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drawings/drawing6.xml" ContentType="application/vnd.openxmlformats-officedocument.drawing+xml"/>
  <Override PartName="/xl/comments6.xml" ContentType="application/vnd.openxmlformats-officedocument.spreadsheetml.comments+xml"/>
  <Override PartName="/xl/drawings/drawing7.xml" ContentType="application/vnd.openxmlformats-officedocument.drawing+xml"/>
  <Override PartName="/xl/comments7.xml" ContentType="application/vnd.openxmlformats-officedocument.spreadsheetml.comments+xml"/>
  <Override PartName="/xl/charts/chart1.xml" ContentType="application/vnd.openxmlformats-officedocument.drawingml.chart+xml"/>
  <Override PartName="/xl/drawings/drawing8.xml" ContentType="application/vnd.openxmlformats-officedocument.drawingml.chartshapes+xml"/>
  <Override PartName="/xl/charts/chart2.xml" ContentType="application/vnd.openxmlformats-officedocument.drawingml.chart+xml"/>
  <Override PartName="/xl/drawings/drawing9.xml" ContentType="application/vnd.openxmlformats-officedocument.drawingml.chartshapes+xml"/>
  <Override PartName="/xl/charts/chart3.xml" ContentType="application/vnd.openxmlformats-officedocument.drawingml.chart+xml"/>
  <Override PartName="/xl/drawings/drawing10.xml" ContentType="application/vnd.openxmlformats-officedocument.drawingml.chartshapes+xml"/>
  <Override PartName="/xl/drawings/drawing11.xml" ContentType="application/vnd.openxmlformats-officedocument.drawing+xml"/>
  <Override PartName="/xl/comments8.xml" ContentType="application/vnd.openxmlformats-officedocument.spreadsheetml.comments+xml"/>
  <Override PartName="/xl/drawings/drawing12.xml" ContentType="application/vnd.openxmlformats-officedocument.drawing+xml"/>
  <Override PartName="/xl/comments9.xml" ContentType="application/vnd.openxmlformats-officedocument.spreadsheetml.comments+xml"/>
  <Override PartName="/xl/charts/chart4.xml" ContentType="application/vnd.openxmlformats-officedocument.drawingml.chart+xml"/>
  <Override PartName="/xl/drawings/drawing13.xml" ContentType="application/vnd.openxmlformats-officedocument.drawingml.chartshapes+xml"/>
  <Override PartName="/xl/charts/chart5.xml" ContentType="application/vnd.openxmlformats-officedocument.drawingml.chart+xml"/>
  <Override PartName="/xl/drawings/drawing14.xml" ContentType="application/vnd.openxmlformats-officedocument.drawingml.chartshapes+xml"/>
  <Override PartName="/xl/comments10.xml" ContentType="application/vnd.openxmlformats-officedocument.spreadsheetml.comments+xml"/>
  <Override PartName="/xl/drawings/drawing15.xml" ContentType="application/vnd.openxmlformats-officedocument.drawing+xml"/>
  <Override PartName="/xl/drawings/drawing16.xml" ContentType="application/vnd.openxmlformats-officedocument.drawing+xml"/>
  <Override PartName="/xl/comments11.xml" ContentType="application/vnd.openxmlformats-officedocument.spreadsheetml.comments+xml"/>
  <Override PartName="/xl/drawings/drawing17.xml" ContentType="application/vnd.openxmlformats-officedocument.drawing+xml"/>
  <Override PartName="/xl/comments12.xml" ContentType="application/vnd.openxmlformats-officedocument.spreadsheetml.comments+xml"/>
  <Override PartName="/xl/charts/chart6.xml" ContentType="application/vnd.openxmlformats-officedocument.drawingml.chart+xml"/>
  <Override PartName="/xl/theme/themeOverride1.xml" ContentType="application/vnd.openxmlformats-officedocument.themeOverrid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731"/>
  <workbookPr codeName="ThisWorkbook" defaultThemeVersion="124226"/>
  <mc:AlternateContent xmlns:mc="http://schemas.openxmlformats.org/markup-compatibility/2006">
    <mc:Choice Requires="x15">
      <x15ac:absPath xmlns:x15ac="http://schemas.microsoft.com/office/spreadsheetml/2010/11/ac" url="\\codata\Shares\CO\ODO\F &amp; P\Forms\Current\Construction (CON)\Excel\"/>
    </mc:Choice>
  </mc:AlternateContent>
  <xr:revisionPtr revIDLastSave="0" documentId="8_{077EC933-817C-4433-828C-DE7888ADFD76}" xr6:coauthVersionLast="47" xr6:coauthVersionMax="47" xr10:uidLastSave="{00000000-0000-0000-0000-000000000000}"/>
  <bookViews>
    <workbookView xWindow="-19320" yWindow="-120" windowWidth="19440" windowHeight="15000" tabRatio="949" firstSheet="1" activeTab="1" xr2:uid="{00000000-000D-0000-FFFF-FFFF00000000}"/>
  </bookViews>
  <sheets>
    <sheet name="Instructions" sheetId="34" r:id="rId1"/>
    <sheet name="DS Log Pg 1" sheetId="30" r:id="rId2"/>
    <sheet name="DS Log Pg 2" sheetId="29" r:id="rId3"/>
    <sheet name="Opt. DS Log Pg 3" sheetId="37" state="hidden" r:id="rId4"/>
    <sheet name="Opt. DS Log Pg 4" sheetId="38" state="hidden" r:id="rId5"/>
    <sheet name="Fluid-Slurry" sheetId="59" r:id="rId6"/>
    <sheet name="Opt Fluid-Slurry" sheetId="60" state="hidden" r:id="rId7"/>
    <sheet name="rein.&amp;spacers" sheetId="39" r:id="rId8"/>
    <sheet name="Est Steel Vol" sheetId="40" r:id="rId9"/>
    <sheet name="Concr. Pg 1" sheetId="13" r:id="rId10"/>
    <sheet name="Concr. Pg 2" sheetId="16" state="hidden" r:id="rId11"/>
    <sheet name="Concr. Pg 3" sheetId="20" state="hidden" r:id="rId12"/>
    <sheet name="Concr. Curve" sheetId="23" r:id="rId13"/>
    <sheet name="Blank Curve" sheetId="18" state="hidden" r:id="rId14"/>
    <sheet name="Pay Summary" sheetId="32" state="hidden" r:id="rId15"/>
    <sheet name="Tubes grouting" sheetId="52" r:id="rId16"/>
    <sheet name="addl. exc.comments" sheetId="45" state="hidden" r:id="rId17"/>
    <sheet name="addl.exc. comments #2" sheetId="48" state="hidden" r:id="rId18"/>
    <sheet name="addl. concr. &amp; reinf. comme" sheetId="50" state="hidden" r:id="rId19"/>
    <sheet name="addl.concr. &amp; reinf.comme#2" sheetId="51" state="hidden" r:id="rId20"/>
    <sheet name="Attachments" sheetId="49" state="hidden" r:id="rId21"/>
    <sheet name="List" sheetId="36" state="hidden" r:id="rId22"/>
    <sheet name="Vol. Calculator" sheetId="56" r:id="rId23"/>
    <sheet name="Sheet1" sheetId="54" r:id="rId24"/>
    <sheet name="Sheet2" sheetId="55" r:id="rId25"/>
    <sheet name="Sheet3" sheetId="47" r:id="rId26"/>
  </sheets>
  <externalReferences>
    <externalReference r:id="rId27"/>
  </externalReferences>
  <definedNames>
    <definedName name="att" localSheetId="5">'Fluid-Slurry'!$AR$26</definedName>
    <definedName name="att" localSheetId="6">'Opt Fluid-Slurry'!$AR$26</definedName>
    <definedName name="att">#REF!</definedName>
    <definedName name="baroid" localSheetId="5">'Fluid-Slurry'!$AR$22</definedName>
    <definedName name="baroid" localSheetId="6">'Opt Fluid-Slurry'!$AR$22</definedName>
    <definedName name="baroid">#REF!</definedName>
    <definedName name="bent" localSheetId="5">'Fluid-Slurry'!$AR$25</definedName>
    <definedName name="bent" localSheetId="6">'Opt Fluid-Slurry'!$AR$25</definedName>
    <definedName name="bent">#REF!</definedName>
    <definedName name="cetco" localSheetId="5">'Fluid-Slurry'!$AR$21</definedName>
    <definedName name="cetco" localSheetId="6">'Opt Fluid-Slurry'!$AR$21</definedName>
    <definedName name="cetco">#REF!</definedName>
    <definedName name="excinsp">[1]List!$E$1</definedName>
    <definedName name="KBI" localSheetId="5">'Fluid-Slurry'!$AR$24</definedName>
    <definedName name="KBI" localSheetId="6">'Opt Fluid-Slurry'!$AR$24</definedName>
    <definedName name="KBI">#REF!</definedName>
    <definedName name="matrix" localSheetId="5">'Fluid-Slurry'!$AR$23</definedName>
    <definedName name="matrix" localSheetId="6">'Opt Fluid-Slurry'!$AR$23</definedName>
    <definedName name="matrix">#REF!</definedName>
    <definedName name="NS" localSheetId="6">'Opt Fluid-Slurry'!$AR$27</definedName>
    <definedName name="NS">'Fluid-Slurry'!$AR$27</definedName>
    <definedName name="PB" localSheetId="5">'Fluid-Slurry'!$AR$22</definedName>
    <definedName name="PB" localSheetId="6">'Opt Fluid-Slurry'!$AR$22</definedName>
    <definedName name="PC" localSheetId="5">'Fluid-Slurry'!$AR$21</definedName>
    <definedName name="PC" localSheetId="6">'Opt Fluid-Slurry'!$AR$21</definedName>
    <definedName name="PK" localSheetId="5">'Fluid-Slurry'!$AR$24</definedName>
    <definedName name="PK" localSheetId="6">'Opt Fluid-Slurry'!$AR$24</definedName>
    <definedName name="PM" localSheetId="5">'Fluid-Slurry'!$AR$23</definedName>
    <definedName name="PM" localSheetId="6">'Opt Fluid-Slurry'!$AR$23</definedName>
    <definedName name="_xlnm.Print_Area" localSheetId="18">'addl. concr. &amp; reinf. comme'!$A$1:$AK$64</definedName>
    <definedName name="_xlnm.Print_Area" localSheetId="16">'addl. exc.comments'!$A$1:$AK$66</definedName>
    <definedName name="_xlnm.Print_Area" localSheetId="19">'addl.concr. &amp; reinf.comme#2'!$A$1:$AK$64</definedName>
    <definedName name="_xlnm.Print_Area" localSheetId="17">'addl.exc. comments #2'!$A$1:$AK$64</definedName>
    <definedName name="_xlnm.Print_Area" localSheetId="20">Attachments!$A$1:$AK$60</definedName>
    <definedName name="_xlnm.Print_Area" localSheetId="13">'Blank Curve'!$B$1:$BI$90</definedName>
    <definedName name="_xlnm.Print_Area" localSheetId="12">'Concr. Curve'!$B$1:$BI$90</definedName>
    <definedName name="_xlnm.Print_Area" localSheetId="9">'Concr. Pg 1'!$B$1:$CH$109</definedName>
    <definedName name="_xlnm.Print_Area" localSheetId="10">'Concr. Pg 2'!$B$1:$CH$106</definedName>
    <definedName name="_xlnm.Print_Area" localSheetId="11">'Concr. Pg 3'!$B$1:$CH$106</definedName>
    <definedName name="_xlnm.Print_Area" localSheetId="1">'DS Log Pg 1'!$A$1:$W$66</definedName>
    <definedName name="_xlnm.Print_Area" localSheetId="2">'DS Log Pg 2'!$A$1:$AA$63</definedName>
    <definedName name="_xlnm.Print_Area" localSheetId="8">'Est Steel Vol'!$A$1:$P$61</definedName>
    <definedName name="_xlnm.Print_Area" localSheetId="5">'Fluid-Slurry'!$A$1:$AH$62</definedName>
    <definedName name="_xlnm.Print_Area" localSheetId="6">'Opt Fluid-Slurry'!$A$1:$AH$62</definedName>
    <definedName name="_xlnm.Print_Area" localSheetId="3">'Opt. DS Log Pg 3'!$A$1:$AA$63</definedName>
    <definedName name="_xlnm.Print_Area" localSheetId="4">'Opt. DS Log Pg 4'!$A$1:$AA$63</definedName>
    <definedName name="_xlnm.Print_Area" localSheetId="14">'Pay Summary'!$B$1:$AC$56</definedName>
    <definedName name="_xlnm.Print_Area" localSheetId="7">'rein.&amp;spacers'!$A$1:$AK$67</definedName>
    <definedName name="_xlnm.Print_Area" localSheetId="15">'Tubes grouting'!$B$1:$AM$44</definedName>
    <definedName name="_xlnm.Print_Area" localSheetId="22">'Vol. Calculator'!$A$1:$K$53</definedName>
    <definedName name="W" localSheetId="6">'Opt Fluid-Slurry'!$AR$28</definedName>
    <definedName name="W">'Fluid-Slurry'!$AR$28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P41" i="60" l="1"/>
  <c r="AP38" i="60"/>
  <c r="AP35" i="60"/>
  <c r="AV23" i="60"/>
  <c r="AV21" i="60"/>
  <c r="Y20" i="60" s="1"/>
  <c r="AA20" i="60"/>
  <c r="AT17" i="60" a="1"/>
  <c r="AT17" i="60" s="1"/>
  <c r="AG3" i="60"/>
  <c r="AF1" i="60"/>
  <c r="AP35" i="59"/>
  <c r="AA20" i="59"/>
  <c r="AV21" i="59"/>
  <c r="AV23" i="59"/>
  <c r="AP41" i="59"/>
  <c r="AP38" i="59"/>
  <c r="AT17" i="59" a="1"/>
  <c r="AT17" i="59" s="1"/>
  <c r="AG3" i="59"/>
  <c r="AF1" i="59"/>
  <c r="BL59" i="13"/>
  <c r="J6" i="56"/>
  <c r="K7" i="56"/>
  <c r="H7" i="56"/>
  <c r="BA11" i="13"/>
  <c r="AK11" i="13"/>
  <c r="J11" i="13"/>
  <c r="BV11" i="13"/>
  <c r="BE8" i="13"/>
  <c r="AK8" i="13"/>
  <c r="J8" i="13"/>
  <c r="BC21" i="60" l="1"/>
  <c r="AG20" i="60" s="1"/>
  <c r="AP34" i="60"/>
  <c r="AP33" i="60"/>
  <c r="AP31" i="60"/>
  <c r="G20" i="60" s="1"/>
  <c r="AP30" i="60"/>
  <c r="Y20" i="59"/>
  <c r="AP33" i="59" s="1"/>
  <c r="BC21" i="59"/>
  <c r="AG20" i="59" s="1"/>
  <c r="I20" i="60" l="1"/>
  <c r="AP31" i="59"/>
  <c r="AP34" i="59"/>
  <c r="I20" i="59" s="1"/>
  <c r="AP30" i="59"/>
  <c r="G20" i="59" s="1"/>
  <c r="E47" i="56" l="1"/>
  <c r="AB23" i="56"/>
  <c r="AB22" i="56"/>
  <c r="AB21" i="56"/>
  <c r="AC21" i="56" s="1"/>
  <c r="AB20" i="56"/>
  <c r="AB19" i="56"/>
  <c r="AB18" i="56"/>
  <c r="AB17" i="56"/>
  <c r="AB16" i="56"/>
  <c r="AB15" i="56"/>
  <c r="AC23" i="56"/>
  <c r="AC22" i="56"/>
  <c r="AD22" i="56" s="1"/>
  <c r="AD23" i="56" s="1"/>
  <c r="AC20" i="56"/>
  <c r="AD20" i="56" s="1"/>
  <c r="AC19" i="56"/>
  <c r="AE19" i="56" s="1"/>
  <c r="AC18" i="56"/>
  <c r="AE18" i="56" s="1"/>
  <c r="AC17" i="56"/>
  <c r="AE17" i="56" s="1"/>
  <c r="AC16" i="56"/>
  <c r="AD16" i="56" s="1"/>
  <c r="AC15" i="56"/>
  <c r="AD15" i="56" s="1"/>
  <c r="AM37" i="13"/>
  <c r="D7" i="56"/>
  <c r="B7" i="56"/>
  <c r="F6" i="56"/>
  <c r="C6" i="56"/>
  <c r="J5" i="56"/>
  <c r="C5" i="56"/>
  <c r="K1" i="56"/>
  <c r="AW1" i="23"/>
  <c r="P45" i="56"/>
  <c r="E37" i="56"/>
  <c r="F37" i="56" s="1"/>
  <c r="I15" i="56" s="1"/>
  <c r="E31" i="56"/>
  <c r="F31" i="56" s="1"/>
  <c r="I14" i="56" s="1"/>
  <c r="E25" i="56"/>
  <c r="F25" i="56" s="1"/>
  <c r="I13" i="56" s="1"/>
  <c r="P19" i="56"/>
  <c r="E19" i="56"/>
  <c r="F19" i="56" s="1"/>
  <c r="I12" i="56" s="1"/>
  <c r="AC14" i="56"/>
  <c r="AD14" i="56" s="1"/>
  <c r="AB14" i="56"/>
  <c r="AC13" i="56"/>
  <c r="AE13" i="56" s="1"/>
  <c r="AB13" i="56"/>
  <c r="P13" i="56"/>
  <c r="E13" i="56"/>
  <c r="F13" i="56" s="1"/>
  <c r="I11" i="56" s="1"/>
  <c r="AC12" i="56"/>
  <c r="AE12" i="56" s="1"/>
  <c r="AB12" i="56"/>
  <c r="AC11" i="56"/>
  <c r="AD11" i="56" s="1"/>
  <c r="AD10" i="56" s="1"/>
  <c r="AB11" i="56"/>
  <c r="AC10" i="56"/>
  <c r="AB10" i="56"/>
  <c r="AB25" i="56" l="1"/>
  <c r="AB26" i="56" s="1"/>
  <c r="AH25" i="56"/>
  <c r="AH26" i="56" s="1"/>
  <c r="AE15" i="56"/>
  <c r="AD21" i="56"/>
  <c r="AE21" i="56"/>
  <c r="AD19" i="56"/>
  <c r="AD17" i="56"/>
  <c r="AD18" i="56"/>
  <c r="AE16" i="56"/>
  <c r="AE20" i="56"/>
  <c r="AE22" i="56"/>
  <c r="AE23" i="56" s="1"/>
  <c r="E41" i="56"/>
  <c r="E45" i="56" s="1"/>
  <c r="F45" i="56" s="1"/>
  <c r="I16" i="56" s="1"/>
  <c r="I17" i="56" s="1"/>
  <c r="P17" i="56"/>
  <c r="AD12" i="56"/>
  <c r="AD13" i="56"/>
  <c r="AE11" i="56"/>
  <c r="AE10" i="56" s="1"/>
  <c r="P11" i="56"/>
  <c r="AE14" i="56"/>
  <c r="AZ29" i="38" a="1"/>
  <c r="AZ29" i="38" s="1"/>
  <c r="AZ28" i="38" a="1"/>
  <c r="AZ28" i="38" s="1"/>
  <c r="AZ29" i="37" a="1"/>
  <c r="AZ29" i="37" s="1"/>
  <c r="AZ28" i="37" a="1"/>
  <c r="AZ28" i="37" s="1"/>
  <c r="AE25" i="56" l="1"/>
  <c r="AE26" i="56"/>
  <c r="I20" i="56"/>
  <c r="P43" i="56"/>
  <c r="AZ29" i="29" a="1"/>
  <c r="AZ29" i="29" s="1"/>
  <c r="AZ28" i="29" a="1"/>
  <c r="AZ28" i="29" s="1"/>
  <c r="CW51" i="13"/>
  <c r="DX147" i="13"/>
  <c r="CQ55" i="13" l="1"/>
  <c r="CQ59" i="13"/>
  <c r="CQ63" i="13"/>
  <c r="CQ67" i="13"/>
  <c r="CQ71" i="13"/>
  <c r="CQ75" i="13"/>
  <c r="CQ79" i="13"/>
  <c r="CQ83" i="13"/>
  <c r="CQ87" i="13"/>
  <c r="CQ98" i="20" l="1"/>
  <c r="CQ94" i="20"/>
  <c r="CQ90" i="20"/>
  <c r="CQ86" i="20"/>
  <c r="CQ82" i="20"/>
  <c r="CQ78" i="20"/>
  <c r="CQ74" i="20"/>
  <c r="CQ70" i="20"/>
  <c r="CQ66" i="20"/>
  <c r="CQ62" i="20"/>
  <c r="CQ58" i="20"/>
  <c r="CQ54" i="20"/>
  <c r="CQ50" i="20"/>
  <c r="CQ46" i="20"/>
  <c r="CQ42" i="20"/>
  <c r="CQ82" i="16"/>
  <c r="CQ86" i="16"/>
  <c r="CQ90" i="16"/>
  <c r="CQ94" i="16"/>
  <c r="CQ98" i="16"/>
  <c r="CQ78" i="16"/>
  <c r="CQ74" i="16"/>
  <c r="CQ70" i="16"/>
  <c r="CQ66" i="16"/>
  <c r="CQ62" i="16"/>
  <c r="CQ58" i="16"/>
  <c r="CQ54" i="16"/>
  <c r="CQ50" i="16"/>
  <c r="CQ46" i="16"/>
  <c r="CQ42" i="16"/>
  <c r="CQ51" i="13"/>
  <c r="Q35" i="52" l="1"/>
  <c r="S17" i="39"/>
  <c r="P39" i="52" l="1"/>
  <c r="S19" i="52" l="1"/>
  <c r="AB19" i="52" l="1"/>
  <c r="L5" i="38"/>
  <c r="I5" i="38"/>
  <c r="L5" i="37"/>
  <c r="I5" i="37"/>
  <c r="L5" i="29" l="1"/>
  <c r="I5" i="29"/>
  <c r="H9" i="39"/>
  <c r="E47" i="36" l="1"/>
  <c r="D47" i="36"/>
  <c r="AA7" i="30" l="1"/>
  <c r="M15" i="52" l="1"/>
  <c r="AG14" i="52"/>
  <c r="S25" i="52"/>
  <c r="S26" i="52"/>
  <c r="S27" i="52"/>
  <c r="S28" i="52"/>
  <c r="S24" i="52"/>
  <c r="S21" i="52"/>
  <c r="S22" i="52"/>
  <c r="S23" i="52"/>
  <c r="S20" i="52"/>
  <c r="M14" i="52"/>
  <c r="AH19" i="52" l="1"/>
  <c r="T30" i="52"/>
  <c r="AB23" i="52"/>
  <c r="AH23" i="52" s="1"/>
  <c r="AB21" i="52"/>
  <c r="AH21" i="52" s="1"/>
  <c r="AB27" i="52"/>
  <c r="AH27" i="52" s="1"/>
  <c r="AB26" i="52"/>
  <c r="AH26" i="52" s="1"/>
  <c r="AB22" i="52"/>
  <c r="AH22" i="52" s="1"/>
  <c r="AB24" i="52"/>
  <c r="AH24" i="52" s="1"/>
  <c r="AB20" i="52"/>
  <c r="AH20" i="52" s="1"/>
  <c r="AB25" i="52"/>
  <c r="AH25" i="52" s="1"/>
  <c r="AB28" i="52"/>
  <c r="AH28" i="52" s="1"/>
  <c r="F13" i="29"/>
  <c r="F30" i="30"/>
  <c r="F21" i="30"/>
  <c r="E21" i="30"/>
  <c r="AB30" i="52" l="1"/>
  <c r="Q31" i="52"/>
  <c r="AH30" i="52"/>
  <c r="K56" i="39"/>
  <c r="Q32" i="52" l="1"/>
  <c r="Q34" i="52" s="1"/>
  <c r="CX48" i="23"/>
  <c r="CU48" i="23" s="1"/>
  <c r="CX47" i="23"/>
  <c r="CX46" i="23"/>
  <c r="CX45" i="23"/>
  <c r="AD8" i="52" l="1"/>
  <c r="AD9" i="52"/>
  <c r="AD10" i="52"/>
  <c r="AD11" i="52"/>
  <c r="AD7" i="52"/>
  <c r="I8" i="52"/>
  <c r="I9" i="52"/>
  <c r="I7" i="52"/>
  <c r="S45" i="39" l="1"/>
  <c r="AC40" i="39"/>
  <c r="S44" i="39"/>
  <c r="CB5" i="13"/>
  <c r="K3" i="56" l="1"/>
  <c r="AW3" i="23"/>
  <c r="H3" i="36"/>
  <c r="I3" i="36"/>
  <c r="CB1" i="13"/>
  <c r="I22" i="40" l="1"/>
  <c r="B6" i="40" l="1"/>
  <c r="AJ3" i="39" l="1"/>
  <c r="AI1" i="39"/>
  <c r="BX299" i="40" l="1"/>
  <c r="BU299" i="40"/>
  <c r="BV299" i="40" s="1"/>
  <c r="BT299" i="40"/>
  <c r="BQ299" i="40"/>
  <c r="BP299" i="40"/>
  <c r="BO299" i="40"/>
  <c r="BJ299" i="40"/>
  <c r="BK299" i="40" s="1"/>
  <c r="BE299" i="40"/>
  <c r="BD299" i="40"/>
  <c r="AZ299" i="40"/>
  <c r="AY299" i="40"/>
  <c r="AU299" i="40"/>
  <c r="AT299" i="40"/>
  <c r="AP299" i="40"/>
  <c r="AO299" i="40"/>
  <c r="AK299" i="40"/>
  <c r="AJ299" i="40"/>
  <c r="AF299" i="40"/>
  <c r="AE299" i="40"/>
  <c r="AD299" i="40"/>
  <c r="AA299" i="40"/>
  <c r="AC299" i="40" s="1"/>
  <c r="AG299" i="40" s="1"/>
  <c r="Z299" i="40"/>
  <c r="BI299" i="40" s="1"/>
  <c r="Y299" i="40"/>
  <c r="BX298" i="40"/>
  <c r="BU298" i="40"/>
  <c r="BV298" i="40" s="1"/>
  <c r="BT298" i="40"/>
  <c r="BQ298" i="40"/>
  <c r="BP298" i="40"/>
  <c r="BO298" i="40"/>
  <c r="BJ298" i="40"/>
  <c r="BK298" i="40" s="1"/>
  <c r="BE298" i="40"/>
  <c r="BD298" i="40"/>
  <c r="AZ298" i="40"/>
  <c r="AY298" i="40"/>
  <c r="AU298" i="40"/>
  <c r="AT298" i="40"/>
  <c r="AP298" i="40"/>
  <c r="AO298" i="40"/>
  <c r="AK298" i="40"/>
  <c r="AJ298" i="40"/>
  <c r="AF298" i="40"/>
  <c r="AE298" i="40"/>
  <c r="AD298" i="40"/>
  <c r="AA298" i="40"/>
  <c r="BL298" i="40" s="1"/>
  <c r="Z298" i="40"/>
  <c r="AB298" i="40" s="1"/>
  <c r="Y298" i="40"/>
  <c r="BX297" i="40"/>
  <c r="BU297" i="40"/>
  <c r="BV297" i="40" s="1"/>
  <c r="BT297" i="40"/>
  <c r="BQ297" i="40"/>
  <c r="BP297" i="40"/>
  <c r="BO297" i="40"/>
  <c r="BJ297" i="40"/>
  <c r="BK297" i="40" s="1"/>
  <c r="BE297" i="40"/>
  <c r="BD297" i="40"/>
  <c r="AZ297" i="40"/>
  <c r="AY297" i="40"/>
  <c r="AU297" i="40"/>
  <c r="AT297" i="40"/>
  <c r="AP297" i="40"/>
  <c r="AO297" i="40"/>
  <c r="AK297" i="40"/>
  <c r="AJ297" i="40"/>
  <c r="AF297" i="40"/>
  <c r="AE297" i="40"/>
  <c r="AD297" i="40"/>
  <c r="AH297" i="40" s="1"/>
  <c r="AI297" i="40" s="1"/>
  <c r="AA297" i="40"/>
  <c r="AC297" i="40" s="1"/>
  <c r="AG297" i="40" s="1"/>
  <c r="Z297" i="40"/>
  <c r="BI297" i="40" s="1"/>
  <c r="Y297" i="40"/>
  <c r="BX296" i="40"/>
  <c r="BU296" i="40"/>
  <c r="BV296" i="40" s="1"/>
  <c r="BT296" i="40"/>
  <c r="BQ296" i="40"/>
  <c r="BP296" i="40"/>
  <c r="BO296" i="40"/>
  <c r="BJ296" i="40"/>
  <c r="BK296" i="40" s="1"/>
  <c r="BE296" i="40"/>
  <c r="BD296" i="40"/>
  <c r="AZ296" i="40"/>
  <c r="AY296" i="40"/>
  <c r="AU296" i="40"/>
  <c r="AT296" i="40"/>
  <c r="AP296" i="40"/>
  <c r="AO296" i="40"/>
  <c r="AK296" i="40"/>
  <c r="AJ296" i="40"/>
  <c r="AF296" i="40"/>
  <c r="AE296" i="40"/>
  <c r="AD296" i="40"/>
  <c r="AA296" i="40"/>
  <c r="BL296" i="40" s="1"/>
  <c r="Z296" i="40"/>
  <c r="Y296" i="40"/>
  <c r="BX295" i="40"/>
  <c r="BU295" i="40"/>
  <c r="BV295" i="40" s="1"/>
  <c r="BT295" i="40"/>
  <c r="BQ295" i="40"/>
  <c r="BP295" i="40"/>
  <c r="BO295" i="40"/>
  <c r="BJ295" i="40"/>
  <c r="BK295" i="40" s="1"/>
  <c r="BE295" i="40"/>
  <c r="BD295" i="40"/>
  <c r="AZ295" i="40"/>
  <c r="AY295" i="40"/>
  <c r="AU295" i="40"/>
  <c r="AT295" i="40"/>
  <c r="AP295" i="40"/>
  <c r="AO295" i="40"/>
  <c r="AK295" i="40"/>
  <c r="AJ295" i="40"/>
  <c r="AF295" i="40"/>
  <c r="AE295" i="40"/>
  <c r="AD295" i="40"/>
  <c r="AA295" i="40"/>
  <c r="AC295" i="40" s="1"/>
  <c r="AG295" i="40" s="1"/>
  <c r="Z295" i="40"/>
  <c r="BI295" i="40" s="1"/>
  <c r="Y295" i="40"/>
  <c r="BX294" i="40"/>
  <c r="BU294" i="40"/>
  <c r="BV294" i="40" s="1"/>
  <c r="BT294" i="40"/>
  <c r="BQ294" i="40"/>
  <c r="BP294" i="40"/>
  <c r="BO294" i="40"/>
  <c r="BJ294" i="40"/>
  <c r="BK294" i="40" s="1"/>
  <c r="BE294" i="40"/>
  <c r="BD294" i="40"/>
  <c r="AZ294" i="40"/>
  <c r="AY294" i="40"/>
  <c r="AU294" i="40"/>
  <c r="AT294" i="40"/>
  <c r="AP294" i="40"/>
  <c r="AO294" i="40"/>
  <c r="AK294" i="40"/>
  <c r="AJ294" i="40"/>
  <c r="AF294" i="40"/>
  <c r="AE294" i="40"/>
  <c r="AD294" i="40"/>
  <c r="AA294" i="40"/>
  <c r="Z294" i="40"/>
  <c r="Y294" i="40"/>
  <c r="BX293" i="40"/>
  <c r="BU293" i="40"/>
  <c r="BV293" i="40" s="1"/>
  <c r="BT293" i="40"/>
  <c r="BQ293" i="40"/>
  <c r="BP293" i="40"/>
  <c r="BO293" i="40"/>
  <c r="BJ293" i="40"/>
  <c r="BK293" i="40" s="1"/>
  <c r="BE293" i="40"/>
  <c r="BD293" i="40"/>
  <c r="AZ293" i="40"/>
  <c r="AY293" i="40"/>
  <c r="AU293" i="40"/>
  <c r="AT293" i="40"/>
  <c r="AP293" i="40"/>
  <c r="AO293" i="40"/>
  <c r="AK293" i="40"/>
  <c r="AJ293" i="40"/>
  <c r="AF293" i="40"/>
  <c r="AE293" i="40"/>
  <c r="AD293" i="40"/>
  <c r="AA293" i="40"/>
  <c r="AC293" i="40" s="1"/>
  <c r="AG293" i="40" s="1"/>
  <c r="Z293" i="40"/>
  <c r="BI293" i="40" s="1"/>
  <c r="Y293" i="40"/>
  <c r="BX292" i="40"/>
  <c r="BU292" i="40"/>
  <c r="BV292" i="40" s="1"/>
  <c r="BT292" i="40"/>
  <c r="BQ292" i="40"/>
  <c r="BP292" i="40"/>
  <c r="BO292" i="40"/>
  <c r="BJ292" i="40"/>
  <c r="BK292" i="40" s="1"/>
  <c r="BE292" i="40"/>
  <c r="BD292" i="40"/>
  <c r="AZ292" i="40"/>
  <c r="AY292" i="40"/>
  <c r="AU292" i="40"/>
  <c r="AT292" i="40"/>
  <c r="AP292" i="40"/>
  <c r="AO292" i="40"/>
  <c r="AK292" i="40"/>
  <c r="AJ292" i="40"/>
  <c r="AF292" i="40"/>
  <c r="AE292" i="40"/>
  <c r="AD292" i="40"/>
  <c r="AA292" i="40"/>
  <c r="Z292" i="40"/>
  <c r="Y292" i="40"/>
  <c r="BX291" i="40"/>
  <c r="BU291" i="40"/>
  <c r="BV291" i="40" s="1"/>
  <c r="BT291" i="40"/>
  <c r="BQ291" i="40"/>
  <c r="BP291" i="40"/>
  <c r="BO291" i="40"/>
  <c r="BK291" i="40"/>
  <c r="BJ291" i="40"/>
  <c r="BE291" i="40"/>
  <c r="BD291" i="40"/>
  <c r="AZ291" i="40"/>
  <c r="AY291" i="40"/>
  <c r="AU291" i="40"/>
  <c r="AT291" i="40"/>
  <c r="AP291" i="40"/>
  <c r="AO291" i="40"/>
  <c r="AK291" i="40"/>
  <c r="AJ291" i="40"/>
  <c r="AF291" i="40"/>
  <c r="AE291" i="40"/>
  <c r="AD291" i="40"/>
  <c r="AA291" i="40"/>
  <c r="AC291" i="40" s="1"/>
  <c r="AG291" i="40" s="1"/>
  <c r="Z291" i="40"/>
  <c r="BI291" i="40" s="1"/>
  <c r="Y291" i="40"/>
  <c r="BX290" i="40"/>
  <c r="BU290" i="40"/>
  <c r="BT290" i="40"/>
  <c r="BQ290" i="40"/>
  <c r="BP290" i="40"/>
  <c r="BO290" i="40"/>
  <c r="BJ290" i="40"/>
  <c r="BK290" i="40" s="1"/>
  <c r="BE290" i="40"/>
  <c r="BD290" i="40"/>
  <c r="AZ290" i="40"/>
  <c r="AY290" i="40"/>
  <c r="AU290" i="40"/>
  <c r="AT290" i="40"/>
  <c r="AP290" i="40"/>
  <c r="AO290" i="40"/>
  <c r="AK290" i="40"/>
  <c r="AJ290" i="40"/>
  <c r="AF290" i="40"/>
  <c r="AE290" i="40"/>
  <c r="AD290" i="40"/>
  <c r="AA290" i="40"/>
  <c r="Z290" i="40"/>
  <c r="Y290" i="40"/>
  <c r="Q278" i="40"/>
  <c r="AZ274" i="40"/>
  <c r="AY274" i="40"/>
  <c r="AB117" i="40" s="1"/>
  <c r="AX274" i="40"/>
  <c r="AB116" i="40" s="1"/>
  <c r="AU274" i="40"/>
  <c r="AA118" i="40" s="1"/>
  <c r="AT274" i="40"/>
  <c r="AA117" i="40" s="1"/>
  <c r="AS274" i="40"/>
  <c r="AA116" i="40" s="1"/>
  <c r="AL274" i="40"/>
  <c r="AM274" i="40" s="1"/>
  <c r="AG274" i="40"/>
  <c r="AA274" i="40"/>
  <c r="Z274" i="40"/>
  <c r="W274" i="40"/>
  <c r="AN274" i="40" s="1"/>
  <c r="V274" i="40"/>
  <c r="Q268" i="40"/>
  <c r="AL264" i="40"/>
  <c r="AM264" i="40" s="1"/>
  <c r="AG264" i="40"/>
  <c r="AA264" i="40"/>
  <c r="Z264" i="40"/>
  <c r="W264" i="40"/>
  <c r="V264" i="40"/>
  <c r="AK264" i="40" s="1"/>
  <c r="Q248" i="40"/>
  <c r="AL244" i="40"/>
  <c r="AM244" i="40" s="1"/>
  <c r="AG244" i="40"/>
  <c r="AA244" i="40"/>
  <c r="Z244" i="40"/>
  <c r="W244" i="40"/>
  <c r="AN244" i="40" s="1"/>
  <c r="V244" i="40"/>
  <c r="X244" i="40" s="1"/>
  <c r="AH244" i="40" s="1"/>
  <c r="BA242" i="40"/>
  <c r="AZ242" i="40"/>
  <c r="Z117" i="40" s="1"/>
  <c r="AY242" i="40"/>
  <c r="AU242" i="40"/>
  <c r="Y118" i="40" s="1"/>
  <c r="AT242" i="40"/>
  <c r="AS242" i="40"/>
  <c r="Q238" i="40"/>
  <c r="AL234" i="40"/>
  <c r="AM234" i="40" s="1"/>
  <c r="AG234" i="40"/>
  <c r="AA234" i="40"/>
  <c r="Z234" i="40"/>
  <c r="W234" i="40"/>
  <c r="AN234" i="40" s="1"/>
  <c r="V234" i="40"/>
  <c r="Q218" i="40"/>
  <c r="AL214" i="40"/>
  <c r="AM214" i="40" s="1"/>
  <c r="AG214" i="40"/>
  <c r="AA214" i="40"/>
  <c r="Z214" i="40"/>
  <c r="W214" i="40"/>
  <c r="AN214" i="40" s="1"/>
  <c r="V214" i="40"/>
  <c r="Q208" i="40"/>
  <c r="AL204" i="40"/>
  <c r="AM204" i="40" s="1"/>
  <c r="AG204" i="40"/>
  <c r="AA204" i="40"/>
  <c r="Z204" i="40"/>
  <c r="W204" i="40"/>
  <c r="AN204" i="40" s="1"/>
  <c r="V204" i="40"/>
  <c r="BF197" i="40"/>
  <c r="BQ196" i="40"/>
  <c r="BF196" i="40"/>
  <c r="BQ195" i="40"/>
  <c r="BF195" i="40"/>
  <c r="BQ194" i="40"/>
  <c r="BF194" i="40"/>
  <c r="CB193" i="40"/>
  <c r="BQ193" i="40"/>
  <c r="BF193" i="40"/>
  <c r="CB192" i="40"/>
  <c r="BQ192" i="40"/>
  <c r="BF192" i="40"/>
  <c r="CB191" i="40"/>
  <c r="BQ191" i="40"/>
  <c r="BF191" i="40"/>
  <c r="CB190" i="40"/>
  <c r="BQ190" i="40"/>
  <c r="BF190" i="40"/>
  <c r="CB189" i="40"/>
  <c r="BQ189" i="40"/>
  <c r="BF189" i="40"/>
  <c r="CB188" i="40"/>
  <c r="BQ188" i="40"/>
  <c r="BF188" i="40"/>
  <c r="CB187" i="40"/>
  <c r="BQ187" i="40"/>
  <c r="BF187" i="40"/>
  <c r="CB186" i="40"/>
  <c r="CC186" i="40" s="1"/>
  <c r="V117" i="40" s="1"/>
  <c r="BQ186" i="40"/>
  <c r="BF186" i="40"/>
  <c r="CB185" i="40"/>
  <c r="BQ185" i="40"/>
  <c r="BF185" i="40"/>
  <c r="Q185" i="40"/>
  <c r="CB184" i="40"/>
  <c r="BQ184" i="40"/>
  <c r="BF184" i="40"/>
  <c r="AL181" i="40"/>
  <c r="AM181" i="40" s="1"/>
  <c r="AG181" i="40"/>
  <c r="AA181" i="40"/>
  <c r="Z181" i="40"/>
  <c r="W181" i="40"/>
  <c r="Y181" i="40" s="1"/>
  <c r="V181" i="40"/>
  <c r="Q165" i="40"/>
  <c r="AM161" i="40"/>
  <c r="AL161" i="40"/>
  <c r="AG161" i="40"/>
  <c r="AA161" i="40"/>
  <c r="Z161" i="40"/>
  <c r="W161" i="40"/>
  <c r="AN161" i="40" s="1"/>
  <c r="V161" i="40"/>
  <c r="X161" i="40" s="1"/>
  <c r="AH161" i="40" s="1"/>
  <c r="Q155" i="40"/>
  <c r="AL151" i="40"/>
  <c r="AM151" i="40" s="1"/>
  <c r="AG151" i="40"/>
  <c r="AA151" i="40"/>
  <c r="Z151" i="40"/>
  <c r="W151" i="40"/>
  <c r="Y151" i="40" s="1"/>
  <c r="V151" i="40"/>
  <c r="AB118" i="40"/>
  <c r="Z118" i="40"/>
  <c r="Y117" i="40"/>
  <c r="Z116" i="40"/>
  <c r="Y116" i="40"/>
  <c r="Y124" i="40" s="1"/>
  <c r="AE103" i="40"/>
  <c r="AE100" i="40" s="1"/>
  <c r="AB103" i="40"/>
  <c r="AB100" i="40" s="1"/>
  <c r="Y103" i="40"/>
  <c r="Y100" i="40" s="1"/>
  <c r="V103" i="40"/>
  <c r="V100" i="40" s="1"/>
  <c r="DK71" i="40"/>
  <c r="DL71" i="40" s="1"/>
  <c r="DE71" i="40"/>
  <c r="CY71" i="40"/>
  <c r="CI71" i="40"/>
  <c r="CX71" i="40" s="1"/>
  <c r="CH71" i="40"/>
  <c r="CT71" i="40" s="1"/>
  <c r="DJ71" i="40" s="1"/>
  <c r="CG71" i="40"/>
  <c r="DK61" i="40"/>
  <c r="DL61" i="40" s="1"/>
  <c r="DE61" i="40"/>
  <c r="CY61" i="40"/>
  <c r="CI61" i="40"/>
  <c r="CX61" i="40" s="1"/>
  <c r="CH61" i="40"/>
  <c r="CG61" i="40"/>
  <c r="CU61" i="40" s="1"/>
  <c r="CW61" i="40" s="1"/>
  <c r="CZ61" i="40" s="1"/>
  <c r="DK51" i="40"/>
  <c r="DL51" i="40" s="1"/>
  <c r="DE51" i="40"/>
  <c r="CL51" i="40"/>
  <c r="CK51" i="40"/>
  <c r="CJ51" i="40"/>
  <c r="CY51" i="40" s="1"/>
  <c r="CI51" i="40"/>
  <c r="CX51" i="40" s="1"/>
  <c r="CH51" i="40"/>
  <c r="CT51" i="40" s="1"/>
  <c r="CG51" i="40"/>
  <c r="CU51" i="40" s="1"/>
  <c r="DM51" i="40" s="1"/>
  <c r="DK41" i="40"/>
  <c r="DL41" i="40" s="1"/>
  <c r="DE41" i="40"/>
  <c r="CL41" i="40"/>
  <c r="CK41" i="40"/>
  <c r="CJ41" i="40"/>
  <c r="CY41" i="40" s="1"/>
  <c r="CI41" i="40"/>
  <c r="CX41" i="40" s="1"/>
  <c r="CH41" i="40"/>
  <c r="CG41" i="40"/>
  <c r="CU41" i="40" s="1"/>
  <c r="CW41" i="40" s="1"/>
  <c r="CZ41" i="40" s="1"/>
  <c r="DK31" i="40"/>
  <c r="DL31" i="40" s="1"/>
  <c r="DF31" i="40"/>
  <c r="CN31" i="40"/>
  <c r="CM31" i="40"/>
  <c r="CL31" i="40"/>
  <c r="CK31" i="40"/>
  <c r="CJ31" i="40"/>
  <c r="CY31" i="40" s="1"/>
  <c r="CI31" i="40"/>
  <c r="CX31" i="40" s="1"/>
  <c r="CH31" i="40"/>
  <c r="CT31" i="40" s="1"/>
  <c r="CG31" i="40"/>
  <c r="CU31" i="40" s="1"/>
  <c r="DK21" i="40"/>
  <c r="DL21" i="40" s="1"/>
  <c r="DE21" i="40"/>
  <c r="CY21" i="40"/>
  <c r="CN21" i="40"/>
  <c r="CM21" i="40"/>
  <c r="CL21" i="40"/>
  <c r="CK21" i="40"/>
  <c r="CJ21" i="40"/>
  <c r="CI21" i="40"/>
  <c r="CX21" i="40" s="1"/>
  <c r="CH21" i="40"/>
  <c r="CG21" i="40"/>
  <c r="CU21" i="40" s="1"/>
  <c r="N21" i="40"/>
  <c r="D18" i="40"/>
  <c r="K8" i="40"/>
  <c r="C20" i="40" s="1"/>
  <c r="J8" i="40"/>
  <c r="B20" i="40" s="1"/>
  <c r="I8" i="40"/>
  <c r="C19" i="40" s="1"/>
  <c r="H8" i="40"/>
  <c r="B19" i="40" s="1"/>
  <c r="G8" i="40"/>
  <c r="F8" i="40"/>
  <c r="E8" i="40"/>
  <c r="D8" i="40"/>
  <c r="F7" i="40"/>
  <c r="J6" i="40"/>
  <c r="K7" i="40" s="1"/>
  <c r="H6" i="40"/>
  <c r="I7" i="40" s="1"/>
  <c r="E6" i="40"/>
  <c r="D6" i="40"/>
  <c r="F5" i="40"/>
  <c r="J3" i="40"/>
  <c r="D3" i="40"/>
  <c r="AC11" i="39"/>
  <c r="AC10" i="39"/>
  <c r="AC9" i="39"/>
  <c r="AC8" i="39"/>
  <c r="AC7" i="39"/>
  <c r="H8" i="39"/>
  <c r="H7" i="39"/>
  <c r="K58" i="39"/>
  <c r="K57" i="39"/>
  <c r="K55" i="39"/>
  <c r="K54" i="39"/>
  <c r="BL297" i="40" l="1"/>
  <c r="BR299" i="40"/>
  <c r="BS299" i="40" s="1"/>
  <c r="AC296" i="40"/>
  <c r="AG296" i="40" s="1"/>
  <c r="AB297" i="40"/>
  <c r="AB299" i="40"/>
  <c r="AQ299" i="40" s="1"/>
  <c r="AR299" i="40" s="1"/>
  <c r="AS299" i="40" s="1"/>
  <c r="AB291" i="40"/>
  <c r="BL291" i="40"/>
  <c r="Y274" i="40"/>
  <c r="AB274" i="40" s="1"/>
  <c r="AC274" i="40" s="1"/>
  <c r="AD274" i="40" s="1"/>
  <c r="AA126" i="40"/>
  <c r="BG195" i="40"/>
  <c r="X117" i="40" s="1"/>
  <c r="Y244" i="40"/>
  <c r="AF244" i="40" s="1"/>
  <c r="AV299" i="40"/>
  <c r="Y125" i="40"/>
  <c r="CC191" i="40"/>
  <c r="V118" i="40" s="1"/>
  <c r="DQ71" i="40"/>
  <c r="BR298" i="40"/>
  <c r="BS298" i="40" s="1"/>
  <c r="BL299" i="40"/>
  <c r="Y126" i="40"/>
  <c r="BR296" i="40"/>
  <c r="BS296" i="40" s="1"/>
  <c r="BI298" i="40"/>
  <c r="BM298" i="40" s="1"/>
  <c r="BN298" i="40" s="1"/>
  <c r="AK161" i="40"/>
  <c r="AO161" i="40" s="1"/>
  <c r="AP161" i="40" s="1"/>
  <c r="BR184" i="40"/>
  <c r="W116" i="40" s="1"/>
  <c r="BR194" i="40"/>
  <c r="W118" i="40" s="1"/>
  <c r="Y204" i="40"/>
  <c r="AB204" i="40" s="1"/>
  <c r="AC204" i="40" s="1"/>
  <c r="AD204" i="40" s="1"/>
  <c r="AA124" i="40"/>
  <c r="AA125" i="40"/>
  <c r="BR290" i="40"/>
  <c r="BS290" i="40" s="1"/>
  <c r="AB295" i="40"/>
  <c r="BR295" i="40"/>
  <c r="BS295" i="40" s="1"/>
  <c r="BG184" i="40"/>
  <c r="X115" i="40" s="1"/>
  <c r="V123" i="40" s="1"/>
  <c r="BG188" i="40"/>
  <c r="X116" i="40" s="1"/>
  <c r="AK244" i="40"/>
  <c r="AO244" i="40" s="1"/>
  <c r="AP244" i="40" s="1"/>
  <c r="BL295" i="40"/>
  <c r="BM295" i="40" s="1"/>
  <c r="BN295" i="40" s="1"/>
  <c r="CC194" i="40"/>
  <c r="AB244" i="40"/>
  <c r="AC244" i="40" s="1"/>
  <c r="AD244" i="40" s="1"/>
  <c r="X264" i="40"/>
  <c r="AH264" i="40" s="1"/>
  <c r="AB293" i="40"/>
  <c r="AL293" i="40" s="1"/>
  <c r="AM293" i="40" s="1"/>
  <c r="AN293" i="40" s="1"/>
  <c r="AC298" i="40"/>
  <c r="AG298" i="40" s="1"/>
  <c r="AW299" i="40"/>
  <c r="AX299" i="40" s="1"/>
  <c r="DQ61" i="40"/>
  <c r="DM31" i="40"/>
  <c r="CW31" i="40"/>
  <c r="CZ31" i="40" s="1"/>
  <c r="DA31" i="40" s="1"/>
  <c r="DB31" i="40" s="1"/>
  <c r="DA61" i="40"/>
  <c r="DB61" i="40" s="1"/>
  <c r="DM61" i="40"/>
  <c r="CU71" i="40"/>
  <c r="CW71" i="40" s="1"/>
  <c r="CZ71" i="40" s="1"/>
  <c r="DA71" i="40" s="1"/>
  <c r="DB71" i="40" s="1"/>
  <c r="D20" i="40"/>
  <c r="H7" i="40"/>
  <c r="K60" i="39"/>
  <c r="B26" i="36" s="1"/>
  <c r="DJ31" i="40"/>
  <c r="CV31" i="40"/>
  <c r="DG31" i="40" s="1"/>
  <c r="CW21" i="40"/>
  <c r="CZ21" i="40" s="1"/>
  <c r="DA21" i="40" s="1"/>
  <c r="DB21" i="40" s="1"/>
  <c r="DM21" i="40"/>
  <c r="DQ31" i="40"/>
  <c r="DD41" i="40"/>
  <c r="CW51" i="40"/>
  <c r="CZ51" i="40" s="1"/>
  <c r="DA51" i="40" s="1"/>
  <c r="DB51" i="40" s="1"/>
  <c r="CC184" i="40"/>
  <c r="V116" i="40" s="1"/>
  <c r="AB294" i="40"/>
  <c r="BI294" i="40"/>
  <c r="AW298" i="40"/>
  <c r="AX298" i="40" s="1"/>
  <c r="DQ21" i="40"/>
  <c r="CV71" i="40"/>
  <c r="DF71" i="40" s="1"/>
  <c r="AC115" i="40"/>
  <c r="U103" i="40" s="1"/>
  <c r="AK234" i="40"/>
  <c r="AO234" i="40" s="1"/>
  <c r="AP234" i="40" s="1"/>
  <c r="X234" i="40"/>
  <c r="AH234" i="40" s="1"/>
  <c r="AV298" i="40"/>
  <c r="AQ298" i="40"/>
  <c r="AR298" i="40" s="1"/>
  <c r="AS298" i="40" s="1"/>
  <c r="BF298" i="40"/>
  <c r="BG298" i="40" s="1"/>
  <c r="BH298" i="40" s="1"/>
  <c r="BA298" i="40"/>
  <c r="BB298" i="40" s="1"/>
  <c r="BC298" i="40" s="1"/>
  <c r="AL298" i="40"/>
  <c r="AM298" i="40" s="1"/>
  <c r="AN298" i="40" s="1"/>
  <c r="D21" i="40"/>
  <c r="DQ41" i="40"/>
  <c r="CT41" i="40"/>
  <c r="CT61" i="40"/>
  <c r="AB151" i="40"/>
  <c r="AF151" i="40"/>
  <c r="AI151" i="40" s="1"/>
  <c r="AJ151" i="40" s="1"/>
  <c r="AK181" i="40"/>
  <c r="X181" i="40"/>
  <c r="AH181" i="40" s="1"/>
  <c r="BR187" i="40"/>
  <c r="W117" i="40" s="1"/>
  <c r="AC117" i="40" s="1"/>
  <c r="BG198" i="40"/>
  <c r="AI244" i="40"/>
  <c r="AJ244" i="40" s="1"/>
  <c r="AN264" i="40"/>
  <c r="Y264" i="40"/>
  <c r="BM291" i="40"/>
  <c r="BN291" i="40" s="1"/>
  <c r="BL292" i="40"/>
  <c r="AC292" i="40"/>
  <c r="AG292" i="40" s="1"/>
  <c r="AH292" i="40" s="1"/>
  <c r="AI292" i="40" s="1"/>
  <c r="AH296" i="40"/>
  <c r="AI296" i="40" s="1"/>
  <c r="AO264" i="40"/>
  <c r="AP264" i="40" s="1"/>
  <c r="DM41" i="40"/>
  <c r="AK151" i="40"/>
  <c r="X151" i="40"/>
  <c r="AH151" i="40" s="1"/>
  <c r="DQ51" i="40"/>
  <c r="D19" i="40"/>
  <c r="H10" i="40"/>
  <c r="DA41" i="40"/>
  <c r="DB41" i="40" s="1"/>
  <c r="DJ51" i="40"/>
  <c r="DN51" i="40" s="1"/>
  <c r="DO51" i="40" s="1"/>
  <c r="CV51" i="40"/>
  <c r="DF51" i="40" s="1"/>
  <c r="DD61" i="40"/>
  <c r="AC151" i="40"/>
  <c r="AD151" i="40" s="1"/>
  <c r="AF181" i="40"/>
  <c r="AB181" i="40"/>
  <c r="AC181" i="40" s="1"/>
  <c r="AD181" i="40" s="1"/>
  <c r="AN151" i="40"/>
  <c r="BF291" i="40"/>
  <c r="BG291" i="40" s="1"/>
  <c r="BH291" i="40" s="1"/>
  <c r="AL291" i="40"/>
  <c r="AM291" i="40" s="1"/>
  <c r="AN291" i="40" s="1"/>
  <c r="AQ291" i="40"/>
  <c r="AR291" i="40" s="1"/>
  <c r="AS291" i="40" s="1"/>
  <c r="BL293" i="40"/>
  <c r="BM293" i="40" s="1"/>
  <c r="BN293" i="40" s="1"/>
  <c r="BL294" i="40"/>
  <c r="AC294" i="40"/>
  <c r="AG294" i="40" s="1"/>
  <c r="AH294" i="40" s="1"/>
  <c r="AI294" i="40" s="1"/>
  <c r="BM299" i="40"/>
  <c r="BN299" i="40" s="1"/>
  <c r="AN181" i="40"/>
  <c r="AK204" i="40"/>
  <c r="AO204" i="40" s="1"/>
  <c r="AP204" i="40" s="1"/>
  <c r="X204" i="40"/>
  <c r="AH204" i="40" s="1"/>
  <c r="Y234" i="40"/>
  <c r="AB290" i="40"/>
  <c r="BI290" i="40"/>
  <c r="AH291" i="40"/>
  <c r="AI291" i="40" s="1"/>
  <c r="BR292" i="40"/>
  <c r="BS292" i="40" s="1"/>
  <c r="AB296" i="40"/>
  <c r="BI296" i="40"/>
  <c r="BM296" i="40" s="1"/>
  <c r="BN296" i="40" s="1"/>
  <c r="AK214" i="40"/>
  <c r="AO214" i="40" s="1"/>
  <c r="AP214" i="40" s="1"/>
  <c r="X214" i="40"/>
  <c r="AH214" i="40" s="1"/>
  <c r="J7" i="40"/>
  <c r="CT21" i="40"/>
  <c r="Y161" i="40"/>
  <c r="BR197" i="40"/>
  <c r="Y214" i="40"/>
  <c r="AK274" i="40"/>
  <c r="AO274" i="40" s="1"/>
  <c r="AP274" i="40" s="1"/>
  <c r="X274" i="40"/>
  <c r="AH274" i="40" s="1"/>
  <c r="BL290" i="40"/>
  <c r="AC290" i="40"/>
  <c r="AG290" i="40" s="1"/>
  <c r="AH290" i="40" s="1"/>
  <c r="AI290" i="40" s="1"/>
  <c r="AV291" i="40"/>
  <c r="AW291" i="40" s="1"/>
  <c r="AX291" i="40" s="1"/>
  <c r="BA291" i="40"/>
  <c r="BB291" i="40" s="1"/>
  <c r="BC291" i="40" s="1"/>
  <c r="AB292" i="40"/>
  <c r="BI292" i="40"/>
  <c r="BM292" i="40" s="1"/>
  <c r="BN292" i="40" s="1"/>
  <c r="AH293" i="40"/>
  <c r="AI293" i="40" s="1"/>
  <c r="BR294" i="40"/>
  <c r="BS294" i="40" s="1"/>
  <c r="BF295" i="40"/>
  <c r="BG295" i="40" s="1"/>
  <c r="BH295" i="40" s="1"/>
  <c r="AL295" i="40"/>
  <c r="AM295" i="40" s="1"/>
  <c r="AN295" i="40" s="1"/>
  <c r="BF297" i="40"/>
  <c r="BG297" i="40" s="1"/>
  <c r="BH297" i="40" s="1"/>
  <c r="AL297" i="40"/>
  <c r="AM297" i="40" s="1"/>
  <c r="AN297" i="40" s="1"/>
  <c r="BA297" i="40"/>
  <c r="BB297" i="40" s="1"/>
  <c r="BC297" i="40" s="1"/>
  <c r="AV297" i="40"/>
  <c r="AW297" i="40" s="1"/>
  <c r="AX297" i="40" s="1"/>
  <c r="AQ297" i="40"/>
  <c r="AR297" i="40" s="1"/>
  <c r="AS297" i="40" s="1"/>
  <c r="AH298" i="40"/>
  <c r="AI298" i="40" s="1"/>
  <c r="BF299" i="40"/>
  <c r="BG299" i="40" s="1"/>
  <c r="BH299" i="40" s="1"/>
  <c r="AL299" i="40"/>
  <c r="AM299" i="40" s="1"/>
  <c r="AN299" i="40" s="1"/>
  <c r="BA299" i="40"/>
  <c r="BB299" i="40"/>
  <c r="BC299" i="40" s="1"/>
  <c r="BR291" i="40"/>
  <c r="BS291" i="40" s="1"/>
  <c r="BR293" i="40"/>
  <c r="BS293" i="40" s="1"/>
  <c r="AH295" i="40"/>
  <c r="AI295" i="40" s="1"/>
  <c r="BM297" i="40"/>
  <c r="BN297" i="40" s="1"/>
  <c r="BR297" i="40"/>
  <c r="BS297" i="40" s="1"/>
  <c r="AH299" i="40"/>
  <c r="AI299" i="40" s="1"/>
  <c r="AF274" i="40" l="1"/>
  <c r="V126" i="40"/>
  <c r="AI181" i="40"/>
  <c r="AJ181" i="40" s="1"/>
  <c r="AF204" i="40"/>
  <c r="AC118" i="40"/>
  <c r="AD103" i="40" s="1"/>
  <c r="AV295" i="40"/>
  <c r="AW295" i="40" s="1"/>
  <c r="AX295" i="40" s="1"/>
  <c r="AQ295" i="40"/>
  <c r="AR295" i="40" s="1"/>
  <c r="AS295" i="40" s="1"/>
  <c r="BA293" i="40"/>
  <c r="BB293" i="40" s="1"/>
  <c r="BC293" i="40" s="1"/>
  <c r="AV293" i="40"/>
  <c r="AW293" i="40" s="1"/>
  <c r="AX293" i="40" s="1"/>
  <c r="BF293" i="40"/>
  <c r="BG293" i="40" s="1"/>
  <c r="BH293" i="40" s="1"/>
  <c r="BA295" i="40"/>
  <c r="BB295" i="40" s="1"/>
  <c r="BC295" i="40" s="1"/>
  <c r="AQ293" i="40"/>
  <c r="AR293" i="40" s="1"/>
  <c r="AS293" i="40" s="1"/>
  <c r="S244" i="40"/>
  <c r="T244" i="40" s="1"/>
  <c r="V125" i="40"/>
  <c r="DN31" i="40"/>
  <c r="DO31" i="40" s="1"/>
  <c r="DD31" i="40"/>
  <c r="DH31" i="40" s="1"/>
  <c r="DI31" i="40" s="1"/>
  <c r="DD71" i="40"/>
  <c r="DG71" i="40" s="1"/>
  <c r="DH71" i="40" s="1"/>
  <c r="DM71" i="40"/>
  <c r="DN71" i="40" s="1"/>
  <c r="DO71" i="40" s="1"/>
  <c r="DD21" i="40"/>
  <c r="V297" i="40"/>
  <c r="Q108" i="40"/>
  <c r="AC125" i="40"/>
  <c r="AA103" i="40"/>
  <c r="V298" i="40"/>
  <c r="AV292" i="40"/>
  <c r="AW292" i="40" s="1"/>
  <c r="AX292" i="40" s="1"/>
  <c r="BF292" i="40"/>
  <c r="BG292" i="40" s="1"/>
  <c r="BH292" i="40" s="1"/>
  <c r="AL292" i="40"/>
  <c r="AM292" i="40" s="1"/>
  <c r="AN292" i="40" s="1"/>
  <c r="AQ292" i="40"/>
  <c r="AR292" i="40" s="1"/>
  <c r="AS292" i="40" s="1"/>
  <c r="BA292" i="40"/>
  <c r="BB292" i="40" s="1"/>
  <c r="BC292" i="40" s="1"/>
  <c r="AV296" i="40"/>
  <c r="AW296" i="40" s="1"/>
  <c r="AX296" i="40" s="1"/>
  <c r="AQ296" i="40"/>
  <c r="AR296" i="40" s="1"/>
  <c r="AS296" i="40" s="1"/>
  <c r="BF296" i="40"/>
  <c r="BG296" i="40" s="1"/>
  <c r="BH296" i="40" s="1"/>
  <c r="BA296" i="40"/>
  <c r="BB296" i="40" s="1"/>
  <c r="BC296" i="40" s="1"/>
  <c r="AL296" i="40"/>
  <c r="AM296" i="40" s="1"/>
  <c r="AN296" i="40" s="1"/>
  <c r="AV290" i="40"/>
  <c r="AW290" i="40" s="1"/>
  <c r="AX290" i="40" s="1"/>
  <c r="BA290" i="40"/>
  <c r="BB290" i="40" s="1"/>
  <c r="BC290" i="40" s="1"/>
  <c r="AQ290" i="40"/>
  <c r="AR290" i="40" s="1"/>
  <c r="AS290" i="40" s="1"/>
  <c r="AL290" i="40"/>
  <c r="AM290" i="40" s="1"/>
  <c r="AN290" i="40" s="1"/>
  <c r="BF290" i="40"/>
  <c r="BG290" i="40" s="1"/>
  <c r="BH290" i="40" s="1"/>
  <c r="DJ41" i="40"/>
  <c r="DN41" i="40" s="1"/>
  <c r="DO41" i="40" s="1"/>
  <c r="CV41" i="40"/>
  <c r="DF41" i="40" s="1"/>
  <c r="DG41" i="40" s="1"/>
  <c r="DH41" i="40" s="1"/>
  <c r="AC116" i="40"/>
  <c r="V124" i="40"/>
  <c r="V291" i="40"/>
  <c r="AC123" i="40"/>
  <c r="Q106" i="40"/>
  <c r="AF264" i="40"/>
  <c r="AI264" i="40" s="1"/>
  <c r="AJ264" i="40" s="1"/>
  <c r="AB264" i="40"/>
  <c r="AC264" i="40" s="1"/>
  <c r="AD264" i="40" s="1"/>
  <c r="AB234" i="40"/>
  <c r="AC234" i="40" s="1"/>
  <c r="AD234" i="40" s="1"/>
  <c r="AF234" i="40"/>
  <c r="AI234" i="40" s="1"/>
  <c r="AJ234" i="40" s="1"/>
  <c r="AO151" i="40"/>
  <c r="AP151" i="40" s="1"/>
  <c r="S151" i="40" s="1"/>
  <c r="AC119" i="40"/>
  <c r="Q110" i="40" s="1"/>
  <c r="BM294" i="40"/>
  <c r="BN294" i="40" s="1"/>
  <c r="AB161" i="40"/>
  <c r="AC161" i="40" s="1"/>
  <c r="AD161" i="40" s="1"/>
  <c r="AF161" i="40"/>
  <c r="AI161" i="40" s="1"/>
  <c r="AJ161" i="40" s="1"/>
  <c r="V299" i="40"/>
  <c r="AB214" i="40"/>
  <c r="AC214" i="40" s="1"/>
  <c r="AD214" i="40" s="1"/>
  <c r="AF214" i="40"/>
  <c r="AI214" i="40" s="1"/>
  <c r="AJ214" i="40" s="1"/>
  <c r="CV21" i="40"/>
  <c r="DF21" i="40" s="1"/>
  <c r="DJ21" i="40"/>
  <c r="DN21" i="40" s="1"/>
  <c r="DO21" i="40" s="1"/>
  <c r="BM290" i="40"/>
  <c r="BN290" i="40" s="1"/>
  <c r="AI274" i="40"/>
  <c r="AJ274" i="40" s="1"/>
  <c r="S274" i="40" s="1"/>
  <c r="D22" i="40"/>
  <c r="S48" i="39" s="1"/>
  <c r="AI204" i="40"/>
  <c r="AJ204" i="40" s="1"/>
  <c r="S204" i="40" s="1"/>
  <c r="Q109" i="40"/>
  <c r="AO181" i="40"/>
  <c r="AP181" i="40" s="1"/>
  <c r="S181" i="40" s="1"/>
  <c r="DJ61" i="40"/>
  <c r="DN61" i="40" s="1"/>
  <c r="DO61" i="40" s="1"/>
  <c r="CV61" i="40"/>
  <c r="DF61" i="40" s="1"/>
  <c r="DG61" i="40" s="1"/>
  <c r="DH61" i="40" s="1"/>
  <c r="AV294" i="40"/>
  <c r="AW294" i="40" s="1"/>
  <c r="AX294" i="40" s="1"/>
  <c r="BA294" i="40"/>
  <c r="BB294" i="40" s="1"/>
  <c r="BC294" i="40" s="1"/>
  <c r="AQ294" i="40"/>
  <c r="AR294" i="40" s="1"/>
  <c r="AS294" i="40" s="1"/>
  <c r="BF294" i="40"/>
  <c r="BG294" i="40" s="1"/>
  <c r="BH294" i="40" s="1"/>
  <c r="AL294" i="40"/>
  <c r="AM294" i="40" s="1"/>
  <c r="AN294" i="40" s="1"/>
  <c r="DD51" i="40"/>
  <c r="DG51" i="40" s="1"/>
  <c r="DH51" i="40" s="1"/>
  <c r="CQ51" i="40" s="1"/>
  <c r="R248" i="40" l="1"/>
  <c r="V293" i="40"/>
  <c r="V295" i="40"/>
  <c r="AC126" i="40"/>
  <c r="S234" i="40"/>
  <c r="V296" i="40"/>
  <c r="X296" i="40" s="1"/>
  <c r="V290" i="40"/>
  <c r="W290" i="40" s="1"/>
  <c r="V294" i="40"/>
  <c r="X294" i="40" s="1"/>
  <c r="V292" i="40"/>
  <c r="S161" i="40"/>
  <c r="T161" i="40" s="1"/>
  <c r="CQ31" i="40"/>
  <c r="DR31" i="40" s="1"/>
  <c r="CQ71" i="40"/>
  <c r="DR71" i="40" s="1"/>
  <c r="DG21" i="40"/>
  <c r="DH21" i="40" s="1"/>
  <c r="CQ21" i="40" s="1"/>
  <c r="CQ41" i="40"/>
  <c r="CR41" i="40" s="1"/>
  <c r="CQ61" i="40"/>
  <c r="DR61" i="40" s="1"/>
  <c r="R185" i="40"/>
  <c r="T181" i="40"/>
  <c r="R278" i="40"/>
  <c r="T274" i="40"/>
  <c r="X292" i="40"/>
  <c r="W292" i="40"/>
  <c r="DR51" i="40"/>
  <c r="CR51" i="40"/>
  <c r="R208" i="40"/>
  <c r="T204" i="40"/>
  <c r="T151" i="40"/>
  <c r="R155" i="40"/>
  <c r="X295" i="40"/>
  <c r="W295" i="40"/>
  <c r="S214" i="40"/>
  <c r="W293" i="40"/>
  <c r="X293" i="40"/>
  <c r="W297" i="40"/>
  <c r="X297" i="40"/>
  <c r="Q107" i="40"/>
  <c r="AC124" i="40"/>
  <c r="X103" i="40"/>
  <c r="X299" i="40"/>
  <c r="W299" i="40"/>
  <c r="T234" i="40"/>
  <c r="R238" i="40"/>
  <c r="X291" i="40"/>
  <c r="W291" i="40"/>
  <c r="X298" i="40"/>
  <c r="W298" i="40"/>
  <c r="S264" i="40"/>
  <c r="W296" i="40" l="1"/>
  <c r="BV290" i="40"/>
  <c r="X290" i="40" s="1"/>
  <c r="W294" i="40"/>
  <c r="CR31" i="40"/>
  <c r="CR71" i="40"/>
  <c r="R165" i="40"/>
  <c r="CR21" i="40"/>
  <c r="N9" i="40"/>
  <c r="O21" i="40" s="1"/>
  <c r="DR41" i="40"/>
  <c r="CR61" i="40"/>
  <c r="DR21" i="40"/>
  <c r="R218" i="40"/>
  <c r="T214" i="40"/>
  <c r="T264" i="40"/>
  <c r="R268" i="40"/>
  <c r="O9" i="40" l="1"/>
  <c r="F12" i="29"/>
  <c r="F14" i="29"/>
  <c r="F15" i="29"/>
  <c r="F16" i="29"/>
  <c r="F17" i="29"/>
  <c r="F18" i="29"/>
  <c r="F19" i="29"/>
  <c r="F20" i="29"/>
  <c r="F21" i="29"/>
  <c r="F22" i="29"/>
  <c r="F23" i="29"/>
  <c r="F24" i="29"/>
  <c r="F25" i="29"/>
  <c r="F26" i="29"/>
  <c r="F27" i="29"/>
  <c r="F28" i="29"/>
  <c r="F29" i="29"/>
  <c r="F30" i="29"/>
  <c r="F31" i="29"/>
  <c r="F32" i="29"/>
  <c r="F33" i="29"/>
  <c r="F34" i="29"/>
  <c r="F35" i="29"/>
  <c r="F36" i="29"/>
  <c r="F37" i="29"/>
  <c r="F38" i="29"/>
  <c r="F39" i="29"/>
  <c r="F40" i="29"/>
  <c r="F41" i="29"/>
  <c r="F42" i="29"/>
  <c r="F43" i="29"/>
  <c r="F44" i="29"/>
  <c r="F45" i="29"/>
  <c r="F46" i="29"/>
  <c r="F47" i="29"/>
  <c r="F48" i="29"/>
  <c r="F49" i="29"/>
  <c r="F50" i="29"/>
  <c r="F51" i="29"/>
  <c r="F52" i="29"/>
  <c r="F53" i="29"/>
  <c r="F54" i="29"/>
  <c r="F55" i="29"/>
  <c r="F56" i="29"/>
  <c r="F57" i="29"/>
  <c r="F58" i="29"/>
  <c r="F59" i="29"/>
  <c r="F10" i="29"/>
  <c r="F11" i="29" s="1"/>
  <c r="F31" i="30"/>
  <c r="F32" i="30" s="1"/>
  <c r="F33" i="30" s="1"/>
  <c r="F34" i="30" s="1"/>
  <c r="F35" i="30" s="1"/>
  <c r="F36" i="30" s="1"/>
  <c r="F37" i="30" s="1"/>
  <c r="F38" i="30" s="1"/>
  <c r="F39" i="30" s="1"/>
  <c r="F40" i="30" s="1"/>
  <c r="F41" i="30" s="1"/>
  <c r="F42" i="30" s="1"/>
  <c r="F43" i="30" s="1"/>
  <c r="F44" i="30" s="1"/>
  <c r="F45" i="30" s="1"/>
  <c r="F46" i="30" s="1"/>
  <c r="F47" i="30" s="1"/>
  <c r="F48" i="30" s="1"/>
  <c r="F49" i="30" s="1"/>
  <c r="F50" i="30" s="1"/>
  <c r="F51" i="30" s="1"/>
  <c r="F52" i="30" s="1"/>
  <c r="F53" i="30" s="1"/>
  <c r="F54" i="30" s="1"/>
  <c r="F55" i="30" s="1"/>
  <c r="F56" i="30" s="1"/>
  <c r="F57" i="30" s="1"/>
  <c r="F58" i="30" s="1"/>
  <c r="F59" i="30" s="1"/>
  <c r="F60" i="30" s="1"/>
  <c r="F61" i="30" s="1"/>
  <c r="F62" i="30" s="1"/>
  <c r="F63" i="30" s="1"/>
  <c r="EY151" i="13" l="1"/>
  <c r="EY150" i="13"/>
  <c r="EY149" i="13"/>
  <c r="EY148" i="13"/>
  <c r="EY147" i="13"/>
  <c r="EY146" i="13"/>
  <c r="EY145" i="13"/>
  <c r="EY144" i="13"/>
  <c r="EY143" i="13"/>
  <c r="EY142" i="13"/>
  <c r="EY141" i="13"/>
  <c r="EY140" i="13"/>
  <c r="EY139" i="13"/>
  <c r="EY138" i="13"/>
  <c r="EY137" i="13"/>
  <c r="EY136" i="13"/>
  <c r="EY135" i="13"/>
  <c r="EY134" i="13"/>
  <c r="EY133" i="13"/>
  <c r="EY132" i="13"/>
  <c r="EY131" i="13"/>
  <c r="EY130" i="13"/>
  <c r="EY129" i="13"/>
  <c r="EY128" i="13"/>
  <c r="EY127" i="13"/>
  <c r="EY126" i="13"/>
  <c r="EY125" i="13"/>
  <c r="EY124" i="13"/>
  <c r="EY123" i="13"/>
  <c r="EY122" i="13"/>
  <c r="EY121" i="13"/>
  <c r="EY120" i="13"/>
  <c r="EY119" i="13"/>
  <c r="EY118" i="13"/>
  <c r="EY117" i="13"/>
  <c r="EY116" i="13"/>
  <c r="EY115" i="13"/>
  <c r="EY114" i="13"/>
  <c r="EY113" i="13"/>
  <c r="EY112" i="13"/>
  <c r="AK3" i="52" l="1"/>
  <c r="AJ1" i="52"/>
  <c r="H31" i="30" l="1"/>
  <c r="I31" i="30" s="1"/>
  <c r="J31" i="30" s="1"/>
  <c r="K31" i="30" s="1"/>
  <c r="L31" i="30" s="1"/>
  <c r="M31" i="30" s="1"/>
  <c r="N31" i="30" s="1"/>
  <c r="O31" i="30" s="1"/>
  <c r="H32" i="30"/>
  <c r="I32" i="30" s="1"/>
  <c r="J32" i="30" s="1"/>
  <c r="K32" i="30" s="1"/>
  <c r="L32" i="30" s="1"/>
  <c r="M32" i="30" s="1"/>
  <c r="N32" i="30" s="1"/>
  <c r="O32" i="30" s="1"/>
  <c r="H33" i="30"/>
  <c r="I33" i="30" s="1"/>
  <c r="J33" i="30" s="1"/>
  <c r="K33" i="30" s="1"/>
  <c r="L33" i="30" s="1"/>
  <c r="M33" i="30" s="1"/>
  <c r="N33" i="30" s="1"/>
  <c r="O33" i="30" s="1"/>
  <c r="H34" i="30"/>
  <c r="I34" i="30" s="1"/>
  <c r="J34" i="30" s="1"/>
  <c r="K34" i="30" s="1"/>
  <c r="L34" i="30" s="1"/>
  <c r="M34" i="30" s="1"/>
  <c r="N34" i="30" s="1"/>
  <c r="O34" i="30" s="1"/>
  <c r="H35" i="30"/>
  <c r="I35" i="30" s="1"/>
  <c r="J35" i="30" s="1"/>
  <c r="K35" i="30" s="1"/>
  <c r="L35" i="30" s="1"/>
  <c r="M35" i="30" s="1"/>
  <c r="N35" i="30" s="1"/>
  <c r="O35" i="30" s="1"/>
  <c r="H36" i="30"/>
  <c r="I36" i="30" s="1"/>
  <c r="J36" i="30" s="1"/>
  <c r="K36" i="30" s="1"/>
  <c r="L36" i="30" s="1"/>
  <c r="M36" i="30" s="1"/>
  <c r="N36" i="30" s="1"/>
  <c r="O36" i="30" s="1"/>
  <c r="H37" i="30"/>
  <c r="I37" i="30" s="1"/>
  <c r="J37" i="30" s="1"/>
  <c r="K37" i="30" s="1"/>
  <c r="L37" i="30" s="1"/>
  <c r="M37" i="30" s="1"/>
  <c r="N37" i="30" s="1"/>
  <c r="O37" i="30" s="1"/>
  <c r="H38" i="30"/>
  <c r="I38" i="30" s="1"/>
  <c r="J38" i="30" s="1"/>
  <c r="K38" i="30" s="1"/>
  <c r="L38" i="30" s="1"/>
  <c r="M38" i="30" s="1"/>
  <c r="N38" i="30" s="1"/>
  <c r="O38" i="30" s="1"/>
  <c r="H39" i="30"/>
  <c r="I39" i="30" s="1"/>
  <c r="J39" i="30" s="1"/>
  <c r="K39" i="30" s="1"/>
  <c r="L39" i="30" s="1"/>
  <c r="M39" i="30" s="1"/>
  <c r="N39" i="30" s="1"/>
  <c r="O39" i="30" s="1"/>
  <c r="H40" i="30"/>
  <c r="I40" i="30" s="1"/>
  <c r="J40" i="30" s="1"/>
  <c r="K40" i="30" s="1"/>
  <c r="L40" i="30" s="1"/>
  <c r="M40" i="30" s="1"/>
  <c r="N40" i="30" s="1"/>
  <c r="O40" i="30" s="1"/>
  <c r="H41" i="30"/>
  <c r="I41" i="30" s="1"/>
  <c r="J41" i="30" s="1"/>
  <c r="K41" i="30" s="1"/>
  <c r="L41" i="30" s="1"/>
  <c r="M41" i="30" s="1"/>
  <c r="N41" i="30" s="1"/>
  <c r="O41" i="30" s="1"/>
  <c r="H42" i="30"/>
  <c r="I42" i="30" s="1"/>
  <c r="J42" i="30" s="1"/>
  <c r="K42" i="30" s="1"/>
  <c r="L42" i="30" s="1"/>
  <c r="M42" i="30" s="1"/>
  <c r="N42" i="30" s="1"/>
  <c r="O42" i="30" s="1"/>
  <c r="H43" i="30"/>
  <c r="I43" i="30" s="1"/>
  <c r="J43" i="30" s="1"/>
  <c r="K43" i="30" s="1"/>
  <c r="L43" i="30" s="1"/>
  <c r="M43" i="30" s="1"/>
  <c r="N43" i="30" s="1"/>
  <c r="O43" i="30" s="1"/>
  <c r="H44" i="30"/>
  <c r="I44" i="30" s="1"/>
  <c r="J44" i="30" s="1"/>
  <c r="K44" i="30" s="1"/>
  <c r="L44" i="30" s="1"/>
  <c r="M44" i="30" s="1"/>
  <c r="N44" i="30" s="1"/>
  <c r="O44" i="30" s="1"/>
  <c r="H45" i="30"/>
  <c r="I45" i="30" s="1"/>
  <c r="J45" i="30" s="1"/>
  <c r="K45" i="30" s="1"/>
  <c r="L45" i="30" s="1"/>
  <c r="M45" i="30" s="1"/>
  <c r="N45" i="30" s="1"/>
  <c r="O45" i="30" s="1"/>
  <c r="H46" i="30"/>
  <c r="I46" i="30" s="1"/>
  <c r="J46" i="30" s="1"/>
  <c r="K46" i="30" s="1"/>
  <c r="L46" i="30" s="1"/>
  <c r="M46" i="30" s="1"/>
  <c r="N46" i="30" s="1"/>
  <c r="O46" i="30" s="1"/>
  <c r="H47" i="30"/>
  <c r="I47" i="30" s="1"/>
  <c r="J47" i="30" s="1"/>
  <c r="K47" i="30" s="1"/>
  <c r="L47" i="30" s="1"/>
  <c r="M47" i="30" s="1"/>
  <c r="N47" i="30" s="1"/>
  <c r="O47" i="30" s="1"/>
  <c r="H48" i="30"/>
  <c r="I48" i="30" s="1"/>
  <c r="J48" i="30" s="1"/>
  <c r="K48" i="30" s="1"/>
  <c r="L48" i="30" s="1"/>
  <c r="M48" i="30" s="1"/>
  <c r="N48" i="30" s="1"/>
  <c r="O48" i="30" s="1"/>
  <c r="H49" i="30"/>
  <c r="I49" i="30" s="1"/>
  <c r="J49" i="30" s="1"/>
  <c r="K49" i="30" s="1"/>
  <c r="L49" i="30" s="1"/>
  <c r="M49" i="30" s="1"/>
  <c r="N49" i="30" s="1"/>
  <c r="O49" i="30" s="1"/>
  <c r="H50" i="30"/>
  <c r="I50" i="30" s="1"/>
  <c r="J50" i="30" s="1"/>
  <c r="K50" i="30" s="1"/>
  <c r="L50" i="30" s="1"/>
  <c r="M50" i="30" s="1"/>
  <c r="N50" i="30" s="1"/>
  <c r="O50" i="30" s="1"/>
  <c r="H51" i="30"/>
  <c r="I51" i="30" s="1"/>
  <c r="J51" i="30" s="1"/>
  <c r="K51" i="30" s="1"/>
  <c r="L51" i="30" s="1"/>
  <c r="M51" i="30" s="1"/>
  <c r="N51" i="30" s="1"/>
  <c r="O51" i="30" s="1"/>
  <c r="H52" i="30"/>
  <c r="I52" i="30" s="1"/>
  <c r="J52" i="30" s="1"/>
  <c r="K52" i="30" s="1"/>
  <c r="L52" i="30" s="1"/>
  <c r="M52" i="30" s="1"/>
  <c r="N52" i="30" s="1"/>
  <c r="O52" i="30" s="1"/>
  <c r="H53" i="30"/>
  <c r="I53" i="30" s="1"/>
  <c r="J53" i="30" s="1"/>
  <c r="K53" i="30" s="1"/>
  <c r="L53" i="30" s="1"/>
  <c r="M53" i="30" s="1"/>
  <c r="N53" i="30" s="1"/>
  <c r="O53" i="30" s="1"/>
  <c r="H54" i="30"/>
  <c r="I54" i="30" s="1"/>
  <c r="J54" i="30" s="1"/>
  <c r="K54" i="30" s="1"/>
  <c r="L54" i="30" s="1"/>
  <c r="M54" i="30" s="1"/>
  <c r="N54" i="30" s="1"/>
  <c r="O54" i="30" s="1"/>
  <c r="H55" i="30"/>
  <c r="I55" i="30" s="1"/>
  <c r="J55" i="30" s="1"/>
  <c r="K55" i="30" s="1"/>
  <c r="L55" i="30" s="1"/>
  <c r="M55" i="30" s="1"/>
  <c r="N55" i="30" s="1"/>
  <c r="O55" i="30" s="1"/>
  <c r="H56" i="30"/>
  <c r="I56" i="30" s="1"/>
  <c r="J56" i="30" s="1"/>
  <c r="K56" i="30" s="1"/>
  <c r="L56" i="30" s="1"/>
  <c r="M56" i="30" s="1"/>
  <c r="N56" i="30" s="1"/>
  <c r="O56" i="30" s="1"/>
  <c r="H57" i="30"/>
  <c r="I57" i="30" s="1"/>
  <c r="J57" i="30" s="1"/>
  <c r="K57" i="30" s="1"/>
  <c r="L57" i="30" s="1"/>
  <c r="M57" i="30" s="1"/>
  <c r="N57" i="30" s="1"/>
  <c r="O57" i="30" s="1"/>
  <c r="H58" i="30"/>
  <c r="I58" i="30" s="1"/>
  <c r="J58" i="30" s="1"/>
  <c r="K58" i="30" s="1"/>
  <c r="L58" i="30" s="1"/>
  <c r="M58" i="30" s="1"/>
  <c r="N58" i="30" s="1"/>
  <c r="O58" i="30" s="1"/>
  <c r="H59" i="30"/>
  <c r="I59" i="30" s="1"/>
  <c r="J59" i="30" s="1"/>
  <c r="K59" i="30" s="1"/>
  <c r="L59" i="30" s="1"/>
  <c r="M59" i="30" s="1"/>
  <c r="N59" i="30" s="1"/>
  <c r="O59" i="30" s="1"/>
  <c r="H60" i="30"/>
  <c r="I60" i="30" s="1"/>
  <c r="J60" i="30" s="1"/>
  <c r="K60" i="30" s="1"/>
  <c r="L60" i="30" s="1"/>
  <c r="M60" i="30" s="1"/>
  <c r="N60" i="30" s="1"/>
  <c r="O60" i="30" s="1"/>
  <c r="H61" i="30"/>
  <c r="I61" i="30" s="1"/>
  <c r="J61" i="30" s="1"/>
  <c r="K61" i="30" s="1"/>
  <c r="L61" i="30" s="1"/>
  <c r="M61" i="30" s="1"/>
  <c r="N61" i="30" s="1"/>
  <c r="O61" i="30" s="1"/>
  <c r="H62" i="30"/>
  <c r="I62" i="30" s="1"/>
  <c r="J62" i="30" s="1"/>
  <c r="K62" i="30" s="1"/>
  <c r="L62" i="30" s="1"/>
  <c r="M62" i="30" s="1"/>
  <c r="N62" i="30" s="1"/>
  <c r="O62" i="30" s="1"/>
  <c r="H63" i="30"/>
  <c r="I63" i="30" s="1"/>
  <c r="J63" i="30" s="1"/>
  <c r="K63" i="30" s="1"/>
  <c r="L63" i="30" s="1"/>
  <c r="M63" i="30" s="1"/>
  <c r="N63" i="30" s="1"/>
  <c r="O63" i="30" s="1"/>
  <c r="H30" i="30"/>
  <c r="I30" i="30" s="1"/>
  <c r="J30" i="30" s="1"/>
  <c r="K30" i="30" s="1"/>
  <c r="L30" i="30" s="1"/>
  <c r="M30" i="30" s="1"/>
  <c r="N30" i="30" s="1"/>
  <c r="O30" i="30" s="1"/>
  <c r="Y3" i="29" l="1"/>
  <c r="AH1" i="45" l="1"/>
  <c r="AH1" i="50" s="1"/>
  <c r="Z1" i="32"/>
  <c r="X1" i="38"/>
  <c r="X1" i="37"/>
  <c r="X1" i="29"/>
  <c r="AW1" i="18" l="1"/>
  <c r="AH1" i="48"/>
  <c r="AH1" i="49"/>
  <c r="AH1" i="51"/>
  <c r="Q75" i="38"/>
  <c r="H9" i="38" s="1"/>
  <c r="Q76" i="38"/>
  <c r="AE18" i="38" s="1"/>
  <c r="Q77" i="38"/>
  <c r="AE19" i="38" s="1"/>
  <c r="Q78" i="38"/>
  <c r="AE20" i="38" s="1"/>
  <c r="Q79" i="38"/>
  <c r="AE21" i="38" s="1"/>
  <c r="Q80" i="38"/>
  <c r="AE22" i="38" s="1"/>
  <c r="AD22" i="38"/>
  <c r="AD14" i="38"/>
  <c r="AD15" i="38"/>
  <c r="AD16" i="38"/>
  <c r="AD17" i="38"/>
  <c r="AD18" i="38"/>
  <c r="AD19" i="38"/>
  <c r="AD20" i="38"/>
  <c r="AD21" i="38"/>
  <c r="AD13" i="38"/>
  <c r="Q72" i="38"/>
  <c r="Q73" i="38"/>
  <c r="AE15" i="38" s="1"/>
  <c r="Q74" i="38"/>
  <c r="AE16" i="38" s="1"/>
  <c r="Q71" i="38"/>
  <c r="AE13" i="38" s="1"/>
  <c r="Q71" i="37"/>
  <c r="H13" i="37" s="1"/>
  <c r="AC22" i="37"/>
  <c r="AC21" i="37"/>
  <c r="AC20" i="37"/>
  <c r="AC19" i="37"/>
  <c r="AC18" i="37"/>
  <c r="AC17" i="37"/>
  <c r="AC16" i="37"/>
  <c r="AC15" i="37"/>
  <c r="AC14" i="37"/>
  <c r="AC13" i="37"/>
  <c r="H15" i="37"/>
  <c r="H16" i="37"/>
  <c r="H19" i="37"/>
  <c r="H23" i="37"/>
  <c r="H24" i="37"/>
  <c r="H27" i="37"/>
  <c r="H31" i="37"/>
  <c r="H32" i="37"/>
  <c r="H35" i="37"/>
  <c r="H39" i="37"/>
  <c r="H40" i="37"/>
  <c r="H43" i="37"/>
  <c r="H44" i="37"/>
  <c r="H47" i="37"/>
  <c r="H48" i="37"/>
  <c r="H51" i="37"/>
  <c r="H52" i="37"/>
  <c r="H55" i="37"/>
  <c r="H56" i="37"/>
  <c r="H59" i="37"/>
  <c r="H9" i="29"/>
  <c r="AB48" i="30"/>
  <c r="AB49" i="30"/>
  <c r="AB50" i="30"/>
  <c r="AB42" i="30"/>
  <c r="AB43" i="30"/>
  <c r="AB44" i="30"/>
  <c r="AB45" i="30"/>
  <c r="AB46" i="30"/>
  <c r="AB47" i="30"/>
  <c r="AA42" i="30"/>
  <c r="AA43" i="30"/>
  <c r="AA44" i="30"/>
  <c r="AA45" i="30"/>
  <c r="AA46" i="30"/>
  <c r="AA47" i="30"/>
  <c r="AA48" i="30"/>
  <c r="AA49" i="30"/>
  <c r="AA50" i="30"/>
  <c r="AC22" i="29"/>
  <c r="AC14" i="29"/>
  <c r="AC15" i="29"/>
  <c r="AC16" i="29"/>
  <c r="AC17" i="29"/>
  <c r="AC18" i="29"/>
  <c r="AC19" i="29"/>
  <c r="AC20" i="29"/>
  <c r="AC21" i="29"/>
  <c r="AC13" i="29"/>
  <c r="Q74" i="29"/>
  <c r="AD16" i="29" s="1"/>
  <c r="H10" i="29"/>
  <c r="H11" i="29"/>
  <c r="H12" i="29"/>
  <c r="H13" i="29"/>
  <c r="H14" i="29"/>
  <c r="H15" i="29"/>
  <c r="H16" i="29"/>
  <c r="H17" i="29"/>
  <c r="H18" i="29"/>
  <c r="H19" i="29"/>
  <c r="H20" i="29"/>
  <c r="H21" i="29"/>
  <c r="H22" i="29"/>
  <c r="H23" i="29"/>
  <c r="H24" i="29"/>
  <c r="H25" i="29"/>
  <c r="H26" i="29"/>
  <c r="H27" i="29"/>
  <c r="H28" i="29"/>
  <c r="H29" i="29"/>
  <c r="H30" i="29"/>
  <c r="H31" i="29"/>
  <c r="H32" i="29"/>
  <c r="H33" i="29"/>
  <c r="H34" i="29"/>
  <c r="H35" i="29"/>
  <c r="H36" i="29"/>
  <c r="H37" i="29"/>
  <c r="H38" i="29"/>
  <c r="H39" i="29"/>
  <c r="H40" i="29"/>
  <c r="H41" i="29"/>
  <c r="H42" i="29"/>
  <c r="H43" i="29"/>
  <c r="H44" i="29"/>
  <c r="H45" i="29"/>
  <c r="H46" i="29"/>
  <c r="H47" i="29"/>
  <c r="H48" i="29"/>
  <c r="H49" i="29"/>
  <c r="H50" i="29"/>
  <c r="H51" i="29"/>
  <c r="H52" i="29"/>
  <c r="H53" i="29"/>
  <c r="H54" i="29"/>
  <c r="H55" i="29"/>
  <c r="H56" i="29"/>
  <c r="H57" i="29"/>
  <c r="H58" i="29"/>
  <c r="H59" i="29"/>
  <c r="Q73" i="29"/>
  <c r="AD15" i="29" s="1"/>
  <c r="Q75" i="29"/>
  <c r="AD17" i="29" s="1"/>
  <c r="AD18" i="29"/>
  <c r="Q77" i="29"/>
  <c r="AD19" i="29" s="1"/>
  <c r="Q78" i="29"/>
  <c r="AD20" i="29" s="1"/>
  <c r="Q79" i="29"/>
  <c r="AD21" i="29" s="1"/>
  <c r="Q72" i="29"/>
  <c r="AD14" i="29" s="1"/>
  <c r="Q71" i="29"/>
  <c r="AD13" i="29" s="1"/>
  <c r="AB41" i="30"/>
  <c r="AA41" i="30"/>
  <c r="CB1" i="20" l="1"/>
  <c r="AD13" i="37"/>
  <c r="CB1" i="16"/>
  <c r="AE17" i="38"/>
  <c r="H12" i="38"/>
  <c r="H16" i="38"/>
  <c r="H20" i="38"/>
  <c r="H24" i="38"/>
  <c r="H28" i="38"/>
  <c r="H32" i="38"/>
  <c r="H36" i="38"/>
  <c r="H40" i="38"/>
  <c r="H44" i="38"/>
  <c r="H48" i="38"/>
  <c r="H52" i="38"/>
  <c r="H56" i="38"/>
  <c r="H10" i="38"/>
  <c r="H14" i="38"/>
  <c r="H22" i="38"/>
  <c r="H26" i="38"/>
  <c r="H34" i="38"/>
  <c r="H42" i="38"/>
  <c r="H50" i="38"/>
  <c r="H58" i="38"/>
  <c r="H15" i="38"/>
  <c r="H23" i="38"/>
  <c r="H31" i="38"/>
  <c r="H39" i="38"/>
  <c r="H47" i="38"/>
  <c r="H55" i="38"/>
  <c r="H13" i="38"/>
  <c r="H17" i="38"/>
  <c r="H21" i="38"/>
  <c r="H25" i="38"/>
  <c r="H29" i="38"/>
  <c r="H33" i="38"/>
  <c r="H37" i="38"/>
  <c r="H41" i="38"/>
  <c r="H45" i="38"/>
  <c r="H49" i="38"/>
  <c r="H53" i="38"/>
  <c r="H57" i="38"/>
  <c r="H18" i="38"/>
  <c r="H30" i="38"/>
  <c r="H38" i="38"/>
  <c r="H46" i="38"/>
  <c r="H54" i="38"/>
  <c r="H11" i="38"/>
  <c r="H19" i="38"/>
  <c r="H27" i="38"/>
  <c r="H35" i="38"/>
  <c r="H43" i="38"/>
  <c r="H51" i="38"/>
  <c r="H59" i="38"/>
  <c r="AE14" i="38"/>
  <c r="H36" i="37"/>
  <c r="H28" i="37"/>
  <c r="H20" i="37"/>
  <c r="H12" i="37"/>
  <c r="H58" i="37"/>
  <c r="H54" i="37"/>
  <c r="H50" i="37"/>
  <c r="H46" i="37"/>
  <c r="H42" i="37"/>
  <c r="H38" i="37"/>
  <c r="H34" i="37"/>
  <c r="H30" i="37"/>
  <c r="H26" i="37"/>
  <c r="H22" i="37"/>
  <c r="H18" i="37"/>
  <c r="H14" i="37"/>
  <c r="H10" i="37"/>
  <c r="H57" i="37"/>
  <c r="H53" i="37"/>
  <c r="H49" i="37"/>
  <c r="H45" i="37"/>
  <c r="H41" i="37"/>
  <c r="H37" i="37"/>
  <c r="H33" i="37"/>
  <c r="H29" i="37"/>
  <c r="H25" i="37"/>
  <c r="H21" i="37"/>
  <c r="H17" i="37"/>
  <c r="AD11" i="51" l="1"/>
  <c r="AD10" i="51"/>
  <c r="AD9" i="51"/>
  <c r="G9" i="51"/>
  <c r="AD8" i="51"/>
  <c r="G8" i="51"/>
  <c r="AD7" i="51"/>
  <c r="G7" i="51"/>
  <c r="Q80" i="37" l="1"/>
  <c r="AD22" i="37" s="1"/>
  <c r="Q79" i="37"/>
  <c r="AD21" i="37" s="1"/>
  <c r="Q78" i="37"/>
  <c r="AD20" i="37" s="1"/>
  <c r="Q77" i="37"/>
  <c r="AD19" i="37" s="1"/>
  <c r="Q76" i="37"/>
  <c r="Q75" i="37"/>
  <c r="Q74" i="37"/>
  <c r="AD16" i="37" s="1"/>
  <c r="Q73" i="37"/>
  <c r="AD15" i="37" s="1"/>
  <c r="Q72" i="37"/>
  <c r="AD14" i="37" s="1"/>
  <c r="H9" i="37" l="1"/>
  <c r="AD18" i="37"/>
  <c r="AD17" i="37"/>
  <c r="H11" i="37"/>
  <c r="AI3" i="45"/>
  <c r="AI3" i="48" s="1"/>
  <c r="AI3" i="50" s="1"/>
  <c r="Z3" i="32"/>
  <c r="Y3" i="38"/>
  <c r="Y3" i="37"/>
  <c r="CB5" i="16" l="1"/>
  <c r="AI3" i="51"/>
  <c r="AI3" i="49"/>
  <c r="CB5" i="20" l="1"/>
  <c r="AW3" i="18"/>
  <c r="AD11" i="50"/>
  <c r="AD10" i="50"/>
  <c r="AD9" i="50"/>
  <c r="G9" i="50"/>
  <c r="AD8" i="50"/>
  <c r="G8" i="50"/>
  <c r="AD7" i="50"/>
  <c r="G7" i="50"/>
  <c r="AD8" i="49" l="1"/>
  <c r="G8" i="49"/>
  <c r="AD7" i="49"/>
  <c r="G7" i="49"/>
  <c r="AD11" i="48"/>
  <c r="AD10" i="48"/>
  <c r="AD9" i="48"/>
  <c r="G9" i="48"/>
  <c r="AD8" i="48"/>
  <c r="G8" i="48"/>
  <c r="AD7" i="48"/>
  <c r="G7" i="48"/>
  <c r="BB8" i="23" l="1"/>
  <c r="G9" i="45" l="1"/>
  <c r="G8" i="45"/>
  <c r="G7" i="45"/>
  <c r="AD11" i="45" l="1"/>
  <c r="AD8" i="45"/>
  <c r="AD7" i="45"/>
  <c r="I4" i="36" l="1"/>
  <c r="H4" i="36"/>
  <c r="AD10" i="45"/>
  <c r="AD9" i="45"/>
  <c r="E59" i="38" l="1"/>
  <c r="E58" i="38"/>
  <c r="E57" i="38"/>
  <c r="E56" i="38"/>
  <c r="E55" i="38"/>
  <c r="E54" i="38"/>
  <c r="E53" i="38"/>
  <c r="E52" i="38"/>
  <c r="E51" i="38"/>
  <c r="E50" i="38"/>
  <c r="E49" i="38"/>
  <c r="P48" i="38"/>
  <c r="E48" i="38"/>
  <c r="E47" i="38"/>
  <c r="P46" i="38"/>
  <c r="E46" i="38"/>
  <c r="E45" i="38"/>
  <c r="E44" i="38"/>
  <c r="E43" i="38"/>
  <c r="E42" i="38"/>
  <c r="E41" i="38"/>
  <c r="E40" i="38"/>
  <c r="E39" i="38"/>
  <c r="E38" i="38"/>
  <c r="E37" i="38"/>
  <c r="E36" i="38"/>
  <c r="E35" i="38"/>
  <c r="E34" i="38"/>
  <c r="E33" i="38"/>
  <c r="E32" i="38"/>
  <c r="E31" i="38"/>
  <c r="E30" i="38"/>
  <c r="E29" i="38"/>
  <c r="E28" i="38"/>
  <c r="E27" i="38"/>
  <c r="E26" i="38"/>
  <c r="E25" i="38"/>
  <c r="E24" i="38"/>
  <c r="E23" i="38"/>
  <c r="E22" i="38"/>
  <c r="E21" i="38"/>
  <c r="E20" i="38"/>
  <c r="E19" i="38"/>
  <c r="E18" i="38"/>
  <c r="E17" i="38"/>
  <c r="E16" i="38"/>
  <c r="E15" i="38"/>
  <c r="E14" i="38"/>
  <c r="E13" i="38"/>
  <c r="E12" i="38"/>
  <c r="E11" i="38"/>
  <c r="E10" i="38"/>
  <c r="F6" i="38"/>
  <c r="P46" i="37"/>
  <c r="P46" i="29"/>
  <c r="T34" i="30" l="1"/>
  <c r="T43" i="30"/>
  <c r="U46" i="30"/>
  <c r="E9" i="32" l="1"/>
  <c r="X11" i="32"/>
  <c r="X8" i="32"/>
  <c r="X9" i="32"/>
  <c r="X10" i="32"/>
  <c r="X7" i="32"/>
  <c r="E8" i="32"/>
  <c r="E7" i="32"/>
  <c r="J17" i="13"/>
  <c r="J19" i="36"/>
  <c r="I19" i="36"/>
  <c r="H19" i="36"/>
  <c r="H10" i="36"/>
  <c r="L10" i="36" l="1"/>
  <c r="K10" i="36"/>
  <c r="J10" i="36"/>
  <c r="I10" i="36"/>
  <c r="D10" i="36"/>
  <c r="H2" i="36"/>
  <c r="I2" i="36"/>
  <c r="F2" i="36"/>
  <c r="E2" i="36"/>
  <c r="C2" i="36"/>
  <c r="B2" i="36"/>
  <c r="B10" i="36"/>
  <c r="E59" i="37"/>
  <c r="E58" i="37"/>
  <c r="E57" i="37"/>
  <c r="E56" i="37"/>
  <c r="E55" i="37"/>
  <c r="E54" i="37"/>
  <c r="E53" i="37"/>
  <c r="E52" i="37"/>
  <c r="E51" i="37"/>
  <c r="E50" i="37"/>
  <c r="E49" i="37"/>
  <c r="P48" i="37"/>
  <c r="E48" i="37"/>
  <c r="E47" i="37"/>
  <c r="E46" i="37"/>
  <c r="E45" i="37"/>
  <c r="E44" i="37"/>
  <c r="E43" i="37"/>
  <c r="E42" i="37"/>
  <c r="E41" i="37"/>
  <c r="E40" i="37"/>
  <c r="E39" i="37"/>
  <c r="E38" i="37"/>
  <c r="E37" i="37"/>
  <c r="E36" i="37"/>
  <c r="E35" i="37"/>
  <c r="E34" i="37"/>
  <c r="E33" i="37"/>
  <c r="E32" i="37"/>
  <c r="E31" i="37"/>
  <c r="E30" i="37"/>
  <c r="E29" i="37"/>
  <c r="E28" i="37"/>
  <c r="E27" i="37"/>
  <c r="E26" i="37"/>
  <c r="E25" i="37"/>
  <c r="E24" i="37"/>
  <c r="E23" i="37"/>
  <c r="E22" i="37"/>
  <c r="E21" i="37"/>
  <c r="E20" i="37"/>
  <c r="E19" i="37"/>
  <c r="E18" i="37"/>
  <c r="E17" i="37"/>
  <c r="E16" i="37"/>
  <c r="E15" i="37"/>
  <c r="E14" i="37"/>
  <c r="E13" i="37"/>
  <c r="E12" i="37"/>
  <c r="E11" i="37"/>
  <c r="E10" i="37"/>
  <c r="F6" i="37"/>
  <c r="B17" i="36" l="1"/>
  <c r="B21" i="36" l="1"/>
  <c r="B5" i="36"/>
  <c r="C3" i="36"/>
  <c r="C24" i="30" l="1"/>
  <c r="F6" i="29" l="1"/>
  <c r="N49" i="32" l="1"/>
  <c r="K49" i="32"/>
  <c r="K48" i="32"/>
  <c r="Q48" i="32" s="1"/>
  <c r="K47" i="32"/>
  <c r="Q47" i="32" s="1"/>
  <c r="K46" i="32"/>
  <c r="Q46" i="32" s="1"/>
  <c r="Q49" i="32" l="1"/>
  <c r="T5" i="29" l="1"/>
  <c r="AN19" i="30" l="1"/>
  <c r="AN22" i="30"/>
  <c r="H22" i="30" s="1"/>
  <c r="H24" i="30" s="1"/>
  <c r="E30" i="30"/>
  <c r="E31" i="30"/>
  <c r="E32" i="30"/>
  <c r="E33" i="30"/>
  <c r="E34" i="30"/>
  <c r="E35" i="30"/>
  <c r="E36" i="30"/>
  <c r="E37" i="30"/>
  <c r="E38" i="30"/>
  <c r="E39" i="30"/>
  <c r="E40" i="30"/>
  <c r="E41" i="30"/>
  <c r="E42" i="30"/>
  <c r="E43" i="30"/>
  <c r="E44" i="30"/>
  <c r="E45" i="30"/>
  <c r="E46" i="30"/>
  <c r="E47" i="30"/>
  <c r="E48" i="30"/>
  <c r="E49" i="30"/>
  <c r="E50" i="30"/>
  <c r="E51" i="30"/>
  <c r="E52" i="30"/>
  <c r="E53" i="30"/>
  <c r="E54" i="30"/>
  <c r="E55" i="30"/>
  <c r="E56" i="30"/>
  <c r="E57" i="30"/>
  <c r="E58" i="30"/>
  <c r="E59" i="30"/>
  <c r="E60" i="30"/>
  <c r="E61" i="30"/>
  <c r="E62" i="30"/>
  <c r="E63" i="30"/>
  <c r="E59" i="29"/>
  <c r="E58" i="29"/>
  <c r="E57" i="29"/>
  <c r="E56" i="29"/>
  <c r="E55" i="29"/>
  <c r="E54" i="29"/>
  <c r="E53" i="29"/>
  <c r="E52" i="29"/>
  <c r="E51" i="29"/>
  <c r="E50" i="29"/>
  <c r="E49" i="29"/>
  <c r="P48" i="29"/>
  <c r="E48" i="29"/>
  <c r="E47" i="29"/>
  <c r="E46" i="29"/>
  <c r="E45" i="29"/>
  <c r="E44" i="29"/>
  <c r="E43" i="29"/>
  <c r="E42" i="29"/>
  <c r="E41" i="29"/>
  <c r="E40" i="29"/>
  <c r="E39" i="29"/>
  <c r="E38" i="29"/>
  <c r="E37" i="29"/>
  <c r="E36" i="29"/>
  <c r="E35" i="29"/>
  <c r="E34" i="29"/>
  <c r="E33" i="29"/>
  <c r="E32" i="29"/>
  <c r="E31" i="29"/>
  <c r="E30" i="29"/>
  <c r="E29" i="29"/>
  <c r="E28" i="29"/>
  <c r="E27" i="29"/>
  <c r="E26" i="29"/>
  <c r="E25" i="29"/>
  <c r="E24" i="29"/>
  <c r="E23" i="29"/>
  <c r="E22" i="29"/>
  <c r="E21" i="29"/>
  <c r="E20" i="29"/>
  <c r="E19" i="29"/>
  <c r="E18" i="29"/>
  <c r="E17" i="29"/>
  <c r="E16" i="29"/>
  <c r="E15" i="29"/>
  <c r="E14" i="29"/>
  <c r="E13" i="29"/>
  <c r="E12" i="29"/>
  <c r="E11" i="29"/>
  <c r="E10" i="29"/>
  <c r="E9" i="29"/>
  <c r="J24" i="30" l="1"/>
  <c r="J23" i="30" s="1"/>
  <c r="K24" i="30" l="1"/>
  <c r="K23" i="30" s="1"/>
  <c r="M24" i="30" s="1"/>
  <c r="M23" i="30" s="1"/>
  <c r="N24" i="30" s="1"/>
  <c r="N23" i="30" s="1"/>
  <c r="O24" i="30" s="1"/>
  <c r="O23" i="30" s="1"/>
  <c r="B109" i="13"/>
  <c r="CQ29" i="13" l="1"/>
  <c r="CI68" i="18" s="1"/>
  <c r="CQ37" i="13"/>
  <c r="CI69" i="18" s="1"/>
  <c r="BU82" i="23"/>
  <c r="CR64" i="23" s="1"/>
  <c r="BU81" i="23"/>
  <c r="CH24" i="23"/>
  <c r="BV88" i="23"/>
  <c r="CI33" i="23" s="1"/>
  <c r="BW76" i="23"/>
  <c r="BU79" i="23" s="1"/>
  <c r="CR74" i="23"/>
  <c r="BY88" i="23"/>
  <c r="CI36" i="23" s="1"/>
  <c r="BW124" i="23"/>
  <c r="BV89" i="23" s="1"/>
  <c r="CR69" i="23"/>
  <c r="BY87" i="23"/>
  <c r="CI35" i="23" s="1"/>
  <c r="BW126" i="23"/>
  <c r="CI37" i="23" s="1"/>
  <c r="CJ37" i="23" s="1"/>
  <c r="CR68" i="23"/>
  <c r="BU80" i="23"/>
  <c r="CI31" i="23" s="1"/>
  <c r="BV87" i="23"/>
  <c r="CI32" i="23" s="1"/>
  <c r="CR73" i="23"/>
  <c r="CC46" i="18"/>
  <c r="CD46" i="18"/>
  <c r="CE46" i="18"/>
  <c r="CF46" i="18"/>
  <c r="CG46" i="18"/>
  <c r="CH46" i="18"/>
  <c r="CI46" i="18"/>
  <c r="CC47" i="18"/>
  <c r="CD47" i="18"/>
  <c r="CE47" i="18"/>
  <c r="CF47" i="18"/>
  <c r="CG47" i="18"/>
  <c r="CH47" i="18"/>
  <c r="CI47" i="18"/>
  <c r="CC48" i="18"/>
  <c r="CD48" i="18"/>
  <c r="CE48" i="18"/>
  <c r="CF48" i="18"/>
  <c r="CG48" i="18"/>
  <c r="CH48" i="18"/>
  <c r="CI48" i="18"/>
  <c r="CC49" i="18"/>
  <c r="CD49" i="18"/>
  <c r="CE49" i="18"/>
  <c r="CF49" i="18"/>
  <c r="CG49" i="18"/>
  <c r="CH49" i="18"/>
  <c r="CI49" i="18"/>
  <c r="CC24" i="18"/>
  <c r="CD24" i="18"/>
  <c r="CE24" i="18"/>
  <c r="CF24" i="18"/>
  <c r="CG24" i="18"/>
  <c r="CC25" i="18"/>
  <c r="CD25" i="18"/>
  <c r="CE25" i="18"/>
  <c r="CF25" i="18"/>
  <c r="CG25" i="18"/>
  <c r="CC26" i="18"/>
  <c r="CD26" i="18"/>
  <c r="CE26" i="18"/>
  <c r="CF26" i="18"/>
  <c r="CG26" i="18"/>
  <c r="CC27" i="18"/>
  <c r="CD27" i="18"/>
  <c r="CE27" i="18"/>
  <c r="CF27" i="18"/>
  <c r="CG27" i="18"/>
  <c r="CC21" i="18"/>
  <c r="CD21" i="18"/>
  <c r="CE21" i="18"/>
  <c r="CF21" i="18"/>
  <c r="CG21" i="18"/>
  <c r="CC22" i="18"/>
  <c r="CD22" i="18"/>
  <c r="CE22" i="18"/>
  <c r="CF22" i="18"/>
  <c r="CG22" i="18"/>
  <c r="CC43" i="18"/>
  <c r="CD43" i="18"/>
  <c r="CE43" i="18"/>
  <c r="CF43" i="18"/>
  <c r="CG43" i="18"/>
  <c r="CH43" i="18"/>
  <c r="CI43" i="18"/>
  <c r="CC44" i="18"/>
  <c r="CD44" i="18"/>
  <c r="CE44" i="18"/>
  <c r="CF44" i="18"/>
  <c r="CG44" i="18"/>
  <c r="CH44" i="18"/>
  <c r="CI44" i="18"/>
  <c r="EJ147" i="13"/>
  <c r="BO109" i="13" s="1"/>
  <c r="DX120" i="13"/>
  <c r="DJ108" i="16" s="1"/>
  <c r="DX121" i="13"/>
  <c r="CE64" i="18" s="1"/>
  <c r="DX122" i="13"/>
  <c r="CE65" i="18" s="1"/>
  <c r="DX123" i="13"/>
  <c r="BT101" i="23" s="1"/>
  <c r="DX124" i="13"/>
  <c r="DJ112" i="16" s="1"/>
  <c r="CE68" i="18"/>
  <c r="CE69" i="18"/>
  <c r="CE70" i="18"/>
  <c r="BB9" i="23"/>
  <c r="BB7" i="23"/>
  <c r="CU67" i="23"/>
  <c r="CV67" i="23"/>
  <c r="CC85" i="23"/>
  <c r="CR42" i="23"/>
  <c r="CY67" i="23"/>
  <c r="CX67" i="23"/>
  <c r="CW67" i="23"/>
  <c r="CQ15" i="23"/>
  <c r="DB29" i="23" s="1"/>
  <c r="CW24" i="23"/>
  <c r="AB6" i="23"/>
  <c r="CA11" i="23"/>
  <c r="CA15" i="23"/>
  <c r="BZ56" i="23"/>
  <c r="BX56" i="23"/>
  <c r="BW56" i="23"/>
  <c r="BV56" i="23" s="1"/>
  <c r="BU124" i="23"/>
  <c r="BV124" i="23"/>
  <c r="BU126" i="23"/>
  <c r="BV126" i="23"/>
  <c r="BT105" i="23"/>
  <c r="BT104" i="23"/>
  <c r="BT103" i="23"/>
  <c r="I7" i="23"/>
  <c r="AY6" i="23"/>
  <c r="AM6" i="23"/>
  <c r="I6" i="23"/>
  <c r="AO5" i="23"/>
  <c r="AB5" i="23"/>
  <c r="I5" i="23"/>
  <c r="BE106" i="13"/>
  <c r="BW120" i="23"/>
  <c r="BV120" i="23"/>
  <c r="BU120" i="23"/>
  <c r="BV76" i="23"/>
  <c r="BU76" i="23"/>
  <c r="BV117" i="23"/>
  <c r="BW117" i="23"/>
  <c r="BU117" i="23"/>
  <c r="BZ101" i="23"/>
  <c r="DM211" i="13"/>
  <c r="DM207" i="13"/>
  <c r="DM203" i="13"/>
  <c r="DM199" i="13"/>
  <c r="DM195" i="13"/>
  <c r="DM191" i="13"/>
  <c r="DM187" i="13"/>
  <c r="DM183" i="13"/>
  <c r="DM179" i="13"/>
  <c r="DM175" i="13"/>
  <c r="DM171" i="13"/>
  <c r="DM167" i="13"/>
  <c r="DM163" i="13"/>
  <c r="DM159" i="13"/>
  <c r="DM155" i="13"/>
  <c r="EJ141" i="13"/>
  <c r="CB101" i="23"/>
  <c r="BX101" i="23"/>
  <c r="AB51" i="13"/>
  <c r="FA154" i="13"/>
  <c r="AB55" i="13"/>
  <c r="EX137" i="13"/>
  <c r="ES145" i="13" s="1"/>
  <c r="EX122" i="13"/>
  <c r="ES133" i="13" s="1"/>
  <c r="EX112" i="13"/>
  <c r="T103" i="20"/>
  <c r="T103" i="16"/>
  <c r="T91" i="13"/>
  <c r="AB83" i="13"/>
  <c r="AB87" i="13"/>
  <c r="EJ139" i="13"/>
  <c r="EJ138" i="13"/>
  <c r="EJ137" i="13"/>
  <c r="EJ133" i="13"/>
  <c r="EJ132" i="13"/>
  <c r="EJ131" i="13"/>
  <c r="EJ126" i="13"/>
  <c r="EJ125" i="13"/>
  <c r="EJ124" i="13"/>
  <c r="EP123" i="13"/>
  <c r="ET123" i="13" s="1"/>
  <c r="EP124" i="13"/>
  <c r="ET124" i="13" s="1"/>
  <c r="EP125" i="13"/>
  <c r="ET125" i="13" s="1"/>
  <c r="EP126" i="13"/>
  <c r="ET126" i="13" s="1"/>
  <c r="EP127" i="13"/>
  <c r="ET127" i="13" s="1"/>
  <c r="EP128" i="13"/>
  <c r="ET128" i="13" s="1"/>
  <c r="EP129" i="13"/>
  <c r="ET129" i="13" s="1"/>
  <c r="EP130" i="13"/>
  <c r="ET130" i="13" s="1"/>
  <c r="EP131" i="13"/>
  <c r="ET131" i="13" s="1"/>
  <c r="EP132" i="13"/>
  <c r="ET132" i="13" s="1"/>
  <c r="EP133" i="13"/>
  <c r="ET133" i="13" s="1"/>
  <c r="EP134" i="13"/>
  <c r="ET134" i="13" s="1"/>
  <c r="EP135" i="13"/>
  <c r="ET135" i="13" s="1"/>
  <c r="EP136" i="13"/>
  <c r="ET136" i="13" s="1"/>
  <c r="EP122" i="13"/>
  <c r="ET122" i="13" s="1"/>
  <c r="EP138" i="13"/>
  <c r="ET138" i="13" s="1"/>
  <c r="EP139" i="13"/>
  <c r="ET139" i="13" s="1"/>
  <c r="EP140" i="13"/>
  <c r="ET140" i="13" s="1"/>
  <c r="EP141" i="13"/>
  <c r="ET141" i="13" s="1"/>
  <c r="EP142" i="13"/>
  <c r="ET142" i="13" s="1"/>
  <c r="EP143" i="13"/>
  <c r="ET143" i="13" s="1"/>
  <c r="EP144" i="13"/>
  <c r="ET144" i="13" s="1"/>
  <c r="EP145" i="13"/>
  <c r="ET145" i="13" s="1"/>
  <c r="EP146" i="13"/>
  <c r="ET146" i="13" s="1"/>
  <c r="EP147" i="13"/>
  <c r="ET147" i="13" s="1"/>
  <c r="EP148" i="13"/>
  <c r="ET148" i="13" s="1"/>
  <c r="EP149" i="13"/>
  <c r="ET149" i="13" s="1"/>
  <c r="EP150" i="13"/>
  <c r="ET150" i="13" s="1"/>
  <c r="EP151" i="13"/>
  <c r="ET151" i="13" s="1"/>
  <c r="EP137" i="13"/>
  <c r="ET137" i="13" s="1"/>
  <c r="EP113" i="13"/>
  <c r="ET113" i="13" s="1"/>
  <c r="EP114" i="13"/>
  <c r="ET114" i="13" s="1"/>
  <c r="EP115" i="13"/>
  <c r="ET115" i="13" s="1"/>
  <c r="EP116" i="13"/>
  <c r="ET116" i="13" s="1"/>
  <c r="EP117" i="13"/>
  <c r="ET117" i="13" s="1"/>
  <c r="EP118" i="13"/>
  <c r="ET118" i="13" s="1"/>
  <c r="EP119" i="13"/>
  <c r="ET119" i="13" s="1"/>
  <c r="EP120" i="13"/>
  <c r="ET120" i="13" s="1"/>
  <c r="EP121" i="13"/>
  <c r="ET121" i="13" s="1"/>
  <c r="EP112" i="13"/>
  <c r="ET112" i="13" s="1"/>
  <c r="EQ138" i="13"/>
  <c r="ER138" i="13" s="1"/>
  <c r="EV138" i="13" s="1"/>
  <c r="EQ139" i="13"/>
  <c r="ER139" i="13" s="1"/>
  <c r="EV139" i="13" s="1"/>
  <c r="EQ140" i="13"/>
  <c r="ER140" i="13" s="1"/>
  <c r="EV140" i="13" s="1"/>
  <c r="EQ141" i="13"/>
  <c r="ER141" i="13" s="1"/>
  <c r="EV141" i="13" s="1"/>
  <c r="EQ142" i="13"/>
  <c r="ER142" i="13" s="1"/>
  <c r="EV142" i="13" s="1"/>
  <c r="EQ143" i="13"/>
  <c r="ER143" i="13" s="1"/>
  <c r="EV143" i="13" s="1"/>
  <c r="EQ144" i="13"/>
  <c r="ER144" i="13" s="1"/>
  <c r="EV144" i="13" s="1"/>
  <c r="EQ145" i="13"/>
  <c r="ER145" i="13" s="1"/>
  <c r="EV145" i="13" s="1"/>
  <c r="EQ146" i="13"/>
  <c r="ER146" i="13" s="1"/>
  <c r="EV146" i="13" s="1"/>
  <c r="EQ147" i="13"/>
  <c r="ER147" i="13" s="1"/>
  <c r="EV147" i="13" s="1"/>
  <c r="EQ148" i="13"/>
  <c r="ER148" i="13" s="1"/>
  <c r="EV148" i="13" s="1"/>
  <c r="EQ149" i="13"/>
  <c r="ER149" i="13" s="1"/>
  <c r="EV149" i="13" s="1"/>
  <c r="EQ150" i="13"/>
  <c r="ER150" i="13" s="1"/>
  <c r="EV150" i="13" s="1"/>
  <c r="EQ151" i="13"/>
  <c r="ER151" i="13" s="1"/>
  <c r="EV151" i="13" s="1"/>
  <c r="EQ137" i="13"/>
  <c r="ER137" i="13" s="1"/>
  <c r="EV137" i="13" s="1"/>
  <c r="EQ124" i="13"/>
  <c r="ER124" i="13" s="1"/>
  <c r="EV124" i="13" s="1"/>
  <c r="EQ125" i="13"/>
  <c r="ER125" i="13" s="1"/>
  <c r="EV125" i="13" s="1"/>
  <c r="EQ126" i="13"/>
  <c r="ER126" i="13" s="1"/>
  <c r="EV126" i="13" s="1"/>
  <c r="EQ127" i="13"/>
  <c r="ER127" i="13" s="1"/>
  <c r="EV127" i="13" s="1"/>
  <c r="EQ128" i="13"/>
  <c r="ER128" i="13" s="1"/>
  <c r="EV128" i="13" s="1"/>
  <c r="EQ129" i="13"/>
  <c r="ER129" i="13" s="1"/>
  <c r="EV129" i="13" s="1"/>
  <c r="EQ130" i="13"/>
  <c r="ER130" i="13" s="1"/>
  <c r="EV130" i="13" s="1"/>
  <c r="EQ131" i="13"/>
  <c r="ER131" i="13" s="1"/>
  <c r="EV131" i="13" s="1"/>
  <c r="EQ132" i="13"/>
  <c r="ER132" i="13" s="1"/>
  <c r="EV132" i="13" s="1"/>
  <c r="EQ133" i="13"/>
  <c r="ER133" i="13" s="1"/>
  <c r="EV133" i="13" s="1"/>
  <c r="EQ134" i="13"/>
  <c r="ER134" i="13" s="1"/>
  <c r="EV134" i="13" s="1"/>
  <c r="EQ135" i="13"/>
  <c r="ER135" i="13" s="1"/>
  <c r="EV135" i="13" s="1"/>
  <c r="EQ136" i="13"/>
  <c r="ER136" i="13" s="1"/>
  <c r="EV136" i="13" s="1"/>
  <c r="EQ123" i="13"/>
  <c r="ER123" i="13" s="1"/>
  <c r="EV123" i="13" s="1"/>
  <c r="EQ122" i="13"/>
  <c r="ER122" i="13" s="1"/>
  <c r="EV122" i="13" s="1"/>
  <c r="EQ113" i="13"/>
  <c r="ER113" i="13" s="1"/>
  <c r="EV113" i="13" s="1"/>
  <c r="EQ114" i="13"/>
  <c r="ER114" i="13" s="1"/>
  <c r="EV114" i="13" s="1"/>
  <c r="EQ115" i="13"/>
  <c r="ER115" i="13" s="1"/>
  <c r="EV115" i="13" s="1"/>
  <c r="EQ116" i="13"/>
  <c r="ER116" i="13" s="1"/>
  <c r="EV116" i="13" s="1"/>
  <c r="EQ117" i="13"/>
  <c r="ER117" i="13" s="1"/>
  <c r="EV117" i="13" s="1"/>
  <c r="EQ118" i="13"/>
  <c r="ER118" i="13" s="1"/>
  <c r="EV118" i="13" s="1"/>
  <c r="EQ119" i="13"/>
  <c r="ER119" i="13" s="1"/>
  <c r="EV119" i="13" s="1"/>
  <c r="EQ120" i="13"/>
  <c r="ER120" i="13" s="1"/>
  <c r="EV120" i="13" s="1"/>
  <c r="EQ121" i="13"/>
  <c r="ER121" i="13" s="1"/>
  <c r="EV121" i="13" s="1"/>
  <c r="EQ112" i="13"/>
  <c r="ER112" i="13" s="1"/>
  <c r="EV112" i="13" s="1"/>
  <c r="J17" i="16"/>
  <c r="AB6" i="18"/>
  <c r="G11" i="18" s="1"/>
  <c r="ES148" i="13"/>
  <c r="AO5" i="18"/>
  <c r="BA11" i="20"/>
  <c r="BA11" i="16"/>
  <c r="BE8" i="20"/>
  <c r="BE8" i="16"/>
  <c r="BF3" i="13"/>
  <c r="AB59" i="13"/>
  <c r="AB63" i="13"/>
  <c r="AB67" i="13"/>
  <c r="AB71" i="13"/>
  <c r="AB75" i="13"/>
  <c r="AB79" i="13"/>
  <c r="DA124" i="20"/>
  <c r="DA124" i="16"/>
  <c r="DA118" i="20"/>
  <c r="DA109" i="20"/>
  <c r="BH102" i="20"/>
  <c r="BD102" i="20"/>
  <c r="AZ102" i="20"/>
  <c r="AV102" i="20"/>
  <c r="AR102" i="20"/>
  <c r="AN102" i="20"/>
  <c r="N28" i="20"/>
  <c r="N25" i="20"/>
  <c r="N22" i="20"/>
  <c r="J17" i="20"/>
  <c r="BV11" i="20"/>
  <c r="AK11" i="20"/>
  <c r="J11" i="20"/>
  <c r="AK8" i="20"/>
  <c r="J8" i="20"/>
  <c r="BH102" i="16"/>
  <c r="AN102" i="16"/>
  <c r="AB46" i="20"/>
  <c r="AB86" i="20"/>
  <c r="AB90" i="20"/>
  <c r="AB94" i="20"/>
  <c r="AB78" i="20"/>
  <c r="AB50" i="20"/>
  <c r="AB54" i="20"/>
  <c r="AB58" i="20"/>
  <c r="AB62" i="20" s="1"/>
  <c r="AB66" i="20" s="1"/>
  <c r="AB98" i="20"/>
  <c r="AB82" i="20"/>
  <c r="AB74" i="20"/>
  <c r="AB70" i="20"/>
  <c r="ES142" i="13"/>
  <c r="BD91" i="13"/>
  <c r="AZ91" i="13"/>
  <c r="AV91" i="13"/>
  <c r="AR91" i="13"/>
  <c r="AN91" i="13"/>
  <c r="AF102" i="20"/>
  <c r="DR41" i="13"/>
  <c r="DI115" i="13" s="1"/>
  <c r="DI203" i="13"/>
  <c r="DI211" i="13"/>
  <c r="DI199" i="13"/>
  <c r="DI207" i="13"/>
  <c r="DI163" i="13"/>
  <c r="DI171" i="13"/>
  <c r="DI179" i="13"/>
  <c r="DI187" i="13"/>
  <c r="DI195" i="13"/>
  <c r="DI155" i="13"/>
  <c r="DI167" i="13"/>
  <c r="DI175" i="13"/>
  <c r="DI183" i="13"/>
  <c r="DI191" i="13"/>
  <c r="DI159" i="13"/>
  <c r="CA7" i="18"/>
  <c r="DM51" i="13"/>
  <c r="AY6" i="18"/>
  <c r="AM6" i="18"/>
  <c r="AB5" i="18"/>
  <c r="I7" i="18"/>
  <c r="I6" i="18"/>
  <c r="I5" i="18"/>
  <c r="CB59" i="18"/>
  <c r="CB63" i="18" s="1"/>
  <c r="CB64" i="18" s="1"/>
  <c r="CB65" i="18" s="1"/>
  <c r="CB66" i="18" s="1"/>
  <c r="CB67" i="18" s="1"/>
  <c r="CB68" i="18" s="1"/>
  <c r="CB69" i="18" s="1"/>
  <c r="CB70" i="18" s="1"/>
  <c r="CB71" i="18" s="1"/>
  <c r="CB72" i="18" s="1"/>
  <c r="CB73" i="18" s="1"/>
  <c r="CB74" i="18" s="1"/>
  <c r="CB75" i="18" s="1"/>
  <c r="CB76" i="18" s="1"/>
  <c r="CB77" i="18" s="1"/>
  <c r="CB78" i="18" s="1"/>
  <c r="CB79" i="18" s="1"/>
  <c r="CB80" i="18" s="1"/>
  <c r="CB81" i="18" s="1"/>
  <c r="CC63" i="18"/>
  <c r="G82" i="18" s="1"/>
  <c r="L86" i="18" s="1"/>
  <c r="CI54" i="18"/>
  <c r="CH54" i="18"/>
  <c r="CG54" i="18"/>
  <c r="CF54" i="18"/>
  <c r="CE54" i="18"/>
  <c r="CD54" i="18"/>
  <c r="CC54" i="18"/>
  <c r="CI53" i="18"/>
  <c r="CH53" i="18"/>
  <c r="CG53" i="18"/>
  <c r="CF53" i="18"/>
  <c r="CE53" i="18"/>
  <c r="CD53" i="18"/>
  <c r="CC53" i="18"/>
  <c r="CI52" i="18"/>
  <c r="CH52" i="18"/>
  <c r="CG52" i="18"/>
  <c r="CF52" i="18"/>
  <c r="CE52" i="18"/>
  <c r="CD52" i="18"/>
  <c r="CC52" i="18"/>
  <c r="CI51" i="18"/>
  <c r="CH51" i="18"/>
  <c r="CG51" i="18"/>
  <c r="CF51" i="18"/>
  <c r="CE51" i="18"/>
  <c r="CD51" i="18"/>
  <c r="CC51" i="18"/>
  <c r="CI50" i="18"/>
  <c r="CH50" i="18"/>
  <c r="CG50" i="18"/>
  <c r="CF50" i="18"/>
  <c r="CE50" i="18"/>
  <c r="CD50" i="18"/>
  <c r="CC50" i="18"/>
  <c r="CI45" i="18"/>
  <c r="CH45" i="18"/>
  <c r="CG45" i="18"/>
  <c r="CF45" i="18"/>
  <c r="CE45" i="18"/>
  <c r="CD45" i="18"/>
  <c r="CC45" i="18"/>
  <c r="CI42" i="18"/>
  <c r="CH42" i="18"/>
  <c r="CG42" i="18"/>
  <c r="CF42" i="18"/>
  <c r="CE42" i="18"/>
  <c r="CD42" i="18"/>
  <c r="CC42" i="18"/>
  <c r="CI41" i="18"/>
  <c r="CH41" i="18"/>
  <c r="CG41" i="18"/>
  <c r="CF41" i="18"/>
  <c r="CE41" i="18"/>
  <c r="CD41" i="18"/>
  <c r="CC41" i="18"/>
  <c r="CG37" i="18"/>
  <c r="CF37" i="18"/>
  <c r="CE37" i="18"/>
  <c r="CD37" i="18"/>
  <c r="CC37" i="18"/>
  <c r="CG36" i="18"/>
  <c r="CF36" i="18"/>
  <c r="CE36" i="18"/>
  <c r="CD36" i="18"/>
  <c r="CC36" i="18"/>
  <c r="CG35" i="18"/>
  <c r="CF35" i="18"/>
  <c r="CE35" i="18"/>
  <c r="CD35" i="18"/>
  <c r="CC35" i="18"/>
  <c r="CG34" i="18"/>
  <c r="CF34" i="18"/>
  <c r="CE34" i="18"/>
  <c r="CD34" i="18"/>
  <c r="CC34" i="18"/>
  <c r="CG33" i="18"/>
  <c r="CF33" i="18"/>
  <c r="CE33" i="18"/>
  <c r="CD33" i="18"/>
  <c r="CC33" i="18"/>
  <c r="CG32" i="18"/>
  <c r="CF32" i="18"/>
  <c r="CE32" i="18"/>
  <c r="CD32" i="18"/>
  <c r="CC32" i="18"/>
  <c r="CG31" i="18"/>
  <c r="CF31" i="18"/>
  <c r="CE31" i="18"/>
  <c r="CD31" i="18"/>
  <c r="CC31" i="18"/>
  <c r="CG30" i="18"/>
  <c r="CF30" i="18"/>
  <c r="CE30" i="18"/>
  <c r="CD30" i="18"/>
  <c r="CC30" i="18"/>
  <c r="CG29" i="18"/>
  <c r="CF29" i="18"/>
  <c r="CE29" i="18"/>
  <c r="CD29" i="18"/>
  <c r="CC29" i="18"/>
  <c r="CG28" i="18"/>
  <c r="CF28" i="18"/>
  <c r="CE28" i="18"/>
  <c r="CD28" i="18"/>
  <c r="CC28" i="18"/>
  <c r="CG23" i="18"/>
  <c r="CF23" i="18"/>
  <c r="CE23" i="18"/>
  <c r="CD23" i="18"/>
  <c r="CC23" i="18"/>
  <c r="CG20" i="18"/>
  <c r="CF20" i="18"/>
  <c r="CE20" i="18"/>
  <c r="CD20" i="18"/>
  <c r="CC20" i="18"/>
  <c r="CG19" i="18"/>
  <c r="CF19" i="18"/>
  <c r="CE19" i="18"/>
  <c r="CD19" i="18"/>
  <c r="CC19" i="18"/>
  <c r="CQ20" i="18"/>
  <c r="CQ17" i="18"/>
  <c r="CN17" i="18"/>
  <c r="CN21" i="18" s="1"/>
  <c r="CO21" i="18"/>
  <c r="BC86" i="18" s="1"/>
  <c r="CR20" i="18"/>
  <c r="BE81" i="18" s="1"/>
  <c r="CC64" i="18"/>
  <c r="H82" i="18" s="1"/>
  <c r="CR21" i="18"/>
  <c r="BE80" i="18" s="1"/>
  <c r="CO22" i="18"/>
  <c r="E79" i="18" s="1"/>
  <c r="CO23" i="18"/>
  <c r="E78" i="18" s="1"/>
  <c r="CR22" i="18"/>
  <c r="BE79" i="18" s="1"/>
  <c r="CC65" i="18"/>
  <c r="I82" i="18" s="1"/>
  <c r="CR23" i="18"/>
  <c r="BE78" i="18" s="1"/>
  <c r="CO24" i="18"/>
  <c r="E77" i="18" s="1"/>
  <c r="CC66" i="18"/>
  <c r="J82" i="18" s="1"/>
  <c r="CO25" i="18"/>
  <c r="E76" i="18" s="1"/>
  <c r="CR24" i="18"/>
  <c r="BE77" i="18"/>
  <c r="CC67" i="18"/>
  <c r="K82" i="18" s="1"/>
  <c r="CR25" i="18"/>
  <c r="BE76" i="18" s="1"/>
  <c r="CO26" i="18"/>
  <c r="E75" i="18" s="1"/>
  <c r="CC68" i="18"/>
  <c r="L82" i="18" s="1"/>
  <c r="CO27" i="18"/>
  <c r="E74" i="18" s="1"/>
  <c r="CR26" i="18"/>
  <c r="BE75" i="18" s="1"/>
  <c r="CC69" i="18"/>
  <c r="M82" i="18" s="1"/>
  <c r="CR27" i="18"/>
  <c r="BE74" i="18" s="1"/>
  <c r="CO28" i="18"/>
  <c r="E73" i="18" s="1"/>
  <c r="CC70" i="18"/>
  <c r="N82" i="18" s="1"/>
  <c r="CO29" i="18"/>
  <c r="E72" i="18" s="1"/>
  <c r="CR28" i="18"/>
  <c r="BE73" i="18" s="1"/>
  <c r="CC71" i="18"/>
  <c r="O82" i="18" s="1"/>
  <c r="CC72" i="18"/>
  <c r="N84" i="18"/>
  <c r="CR29" i="18"/>
  <c r="BE72" i="18" s="1"/>
  <c r="CO30" i="18"/>
  <c r="D71" i="18" s="1"/>
  <c r="CC73" i="18"/>
  <c r="Q82" i="18" s="1"/>
  <c r="CO31" i="18"/>
  <c r="E70" i="18" s="1"/>
  <c r="CR30" i="18"/>
  <c r="BE71" i="18" s="1"/>
  <c r="CC74" i="18"/>
  <c r="R82" i="18" s="1"/>
  <c r="CR31" i="18"/>
  <c r="BE70" i="18" s="1"/>
  <c r="CO32" i="18"/>
  <c r="E69" i="18" s="1"/>
  <c r="CO33" i="18"/>
  <c r="E68" i="18" s="1"/>
  <c r="CR32" i="18"/>
  <c r="BE69" i="18" s="1"/>
  <c r="CC75" i="18"/>
  <c r="S82" i="18" s="1"/>
  <c r="CR33" i="18"/>
  <c r="BE68" i="18" s="1"/>
  <c r="CO34" i="18"/>
  <c r="E67" i="18" s="1"/>
  <c r="CC76" i="18"/>
  <c r="T82" i="18" s="1"/>
  <c r="CO35" i="18"/>
  <c r="E66" i="18" s="1"/>
  <c r="CR34" i="18"/>
  <c r="BE67" i="18" s="1"/>
  <c r="CC77" i="18"/>
  <c r="U82" i="18"/>
  <c r="CR35" i="18"/>
  <c r="BE66" i="18" s="1"/>
  <c r="CO36" i="18"/>
  <c r="E65" i="18" s="1"/>
  <c r="CC78" i="18"/>
  <c r="V82" i="18" s="1"/>
  <c r="CC79" i="18"/>
  <c r="W82" i="18" s="1"/>
  <c r="CO37" i="18"/>
  <c r="E64" i="18" s="1"/>
  <c r="CR36" i="18"/>
  <c r="BE65" i="18" s="1"/>
  <c r="CR37" i="18"/>
  <c r="BE64" i="18" s="1"/>
  <c r="CO38" i="18"/>
  <c r="E63" i="18" s="1"/>
  <c r="CC80" i="18"/>
  <c r="X82" i="18" s="1"/>
  <c r="CC81" i="18"/>
  <c r="Y82" i="18" s="1"/>
  <c r="CB82" i="18"/>
  <c r="CB83" i="18" s="1"/>
  <c r="CB84" i="18" s="1"/>
  <c r="CB85" i="18" s="1"/>
  <c r="CB86" i="18" s="1"/>
  <c r="CB87" i="18" s="1"/>
  <c r="CB88" i="18" s="1"/>
  <c r="CB89" i="18" s="1"/>
  <c r="CB90" i="18" s="1"/>
  <c r="CB91" i="18" s="1"/>
  <c r="CB92" i="18" s="1"/>
  <c r="CB93" i="18" s="1"/>
  <c r="CB94" i="18" s="1"/>
  <c r="CB95" i="18" s="1"/>
  <c r="CB96" i="18" s="1"/>
  <c r="CB97" i="18" s="1"/>
  <c r="CB98" i="18" s="1"/>
  <c r="CB99" i="18" s="1"/>
  <c r="CB100" i="18" s="1"/>
  <c r="CB101" i="18" s="1"/>
  <c r="CB102" i="18" s="1"/>
  <c r="CB103" i="18" s="1"/>
  <c r="CB104" i="18" s="1"/>
  <c r="CB105" i="18" s="1"/>
  <c r="CB106" i="18" s="1"/>
  <c r="CB107" i="18" s="1"/>
  <c r="CB108" i="18" s="1"/>
  <c r="CB109" i="18" s="1"/>
  <c r="CB110" i="18" s="1"/>
  <c r="CB111" i="18" s="1"/>
  <c r="CB112" i="18" s="1"/>
  <c r="CO39" i="18"/>
  <c r="E62" i="18" s="1"/>
  <c r="CR38" i="18"/>
  <c r="BE63" i="18" s="1"/>
  <c r="CC82" i="18"/>
  <c r="X84" i="18"/>
  <c r="CR39" i="18"/>
  <c r="BE62" i="18" s="1"/>
  <c r="CO40" i="18"/>
  <c r="D61" i="18" s="1"/>
  <c r="CO41" i="18"/>
  <c r="E60" i="18" s="1"/>
  <c r="CR40" i="18"/>
  <c r="BE61" i="18" s="1"/>
  <c r="CC83" i="18"/>
  <c r="AA82" i="18" s="1"/>
  <c r="CR41" i="18"/>
  <c r="BE60" i="18" s="1"/>
  <c r="CO42" i="18"/>
  <c r="E59" i="18" s="1"/>
  <c r="CC84" i="18"/>
  <c r="AB82" i="18" s="1"/>
  <c r="CC85" i="18"/>
  <c r="AC82" i="18" s="1"/>
  <c r="CO43" i="18"/>
  <c r="E58" i="18" s="1"/>
  <c r="CR42" i="18"/>
  <c r="BE59" i="18" s="1"/>
  <c r="CR43" i="18"/>
  <c r="BE58" i="18" s="1"/>
  <c r="CO44" i="18"/>
  <c r="E57" i="18" s="1"/>
  <c r="CC86" i="18"/>
  <c r="AD82" i="18" s="1"/>
  <c r="CC87" i="18"/>
  <c r="AE82" i="18" s="1"/>
  <c r="CO45" i="18"/>
  <c r="E56" i="18" s="1"/>
  <c r="CR44" i="18"/>
  <c r="BE57" i="18" s="1"/>
  <c r="CO46" i="18"/>
  <c r="E55" i="18" s="1"/>
  <c r="CR45" i="18"/>
  <c r="BE56" i="18"/>
  <c r="CC88" i="18"/>
  <c r="AF82" i="18" s="1"/>
  <c r="CC89" i="18"/>
  <c r="AG82" i="18"/>
  <c r="CO47" i="18"/>
  <c r="E54" i="18" s="1"/>
  <c r="CR46" i="18"/>
  <c r="BE55" i="18" s="1"/>
  <c r="CC90" i="18"/>
  <c r="AH82" i="18" s="1"/>
  <c r="CR47" i="18"/>
  <c r="BE54" i="18" s="1"/>
  <c r="CO48" i="18"/>
  <c r="E53" i="18" s="1"/>
  <c r="CO49" i="18"/>
  <c r="E52" i="18" s="1"/>
  <c r="CR48" i="18"/>
  <c r="BE53" i="18"/>
  <c r="CC91" i="18"/>
  <c r="AI82" i="18" s="1"/>
  <c r="CC92" i="18"/>
  <c r="AH84" i="18"/>
  <c r="CR49" i="18"/>
  <c r="BE52" i="18" s="1"/>
  <c r="CO50" i="18"/>
  <c r="D51" i="18" s="1"/>
  <c r="CO51" i="18"/>
  <c r="E50" i="18" s="1"/>
  <c r="CR50" i="18"/>
  <c r="BE51" i="18" s="1"/>
  <c r="CC93" i="18"/>
  <c r="AK82" i="18" s="1"/>
  <c r="CC94" i="18"/>
  <c r="AL82" i="18" s="1"/>
  <c r="CR51" i="18"/>
  <c r="BE50" i="18" s="1"/>
  <c r="CO52" i="18"/>
  <c r="E49" i="18" s="1"/>
  <c r="CO53" i="18"/>
  <c r="E48" i="18" s="1"/>
  <c r="CR52" i="18"/>
  <c r="BE49" i="18" s="1"/>
  <c r="CC95" i="18"/>
  <c r="AM82" i="18" s="1"/>
  <c r="CC96" i="18"/>
  <c r="AN82" i="18" s="1"/>
  <c r="CR53" i="18"/>
  <c r="BE48" i="18" s="1"/>
  <c r="CO54" i="18"/>
  <c r="E47" i="18" s="1"/>
  <c r="CO55" i="18"/>
  <c r="E46" i="18" s="1"/>
  <c r="CR54" i="18"/>
  <c r="BE47" i="18" s="1"/>
  <c r="CC97" i="18"/>
  <c r="AO82" i="18" s="1"/>
  <c r="CC98" i="18"/>
  <c r="AP82" i="18" s="1"/>
  <c r="CR55" i="18"/>
  <c r="BE46" i="18" s="1"/>
  <c r="CO56" i="18"/>
  <c r="E45" i="18" s="1"/>
  <c r="CR56" i="18"/>
  <c r="BE45" i="18" s="1"/>
  <c r="CC99" i="18"/>
  <c r="AQ82" i="18" s="1"/>
  <c r="CO57" i="18"/>
  <c r="E44" i="18" s="1"/>
  <c r="CC100" i="18"/>
  <c r="AR82" i="18" s="1"/>
  <c r="CO58" i="18"/>
  <c r="E43" i="18" s="1"/>
  <c r="CR57" i="18"/>
  <c r="BE44" i="18" s="1"/>
  <c r="CO59" i="18"/>
  <c r="E42" i="18" s="1"/>
  <c r="CC101" i="18"/>
  <c r="AS82" i="18" s="1"/>
  <c r="CR58" i="18"/>
  <c r="BE43" i="18" s="1"/>
  <c r="CR59" i="18"/>
  <c r="BE42" i="18" s="1"/>
  <c r="CC102" i="18"/>
  <c r="AR84" i="18"/>
  <c r="CO60" i="18"/>
  <c r="D41" i="18" s="1"/>
  <c r="CO61" i="18"/>
  <c r="E40" i="18" s="1"/>
  <c r="CC103" i="18"/>
  <c r="AU82" i="18" s="1"/>
  <c r="CR60" i="18"/>
  <c r="BE41" i="18"/>
  <c r="CR61" i="18"/>
  <c r="BE40" i="18" s="1"/>
  <c r="CC104" i="18"/>
  <c r="AV82" i="18" s="1"/>
  <c r="CO62" i="18"/>
  <c r="E39" i="18" s="1"/>
  <c r="CC105" i="18"/>
  <c r="AW82" i="18" s="1"/>
  <c r="CR62" i="18"/>
  <c r="BE39" i="18" s="1"/>
  <c r="CO63" i="18"/>
  <c r="E38" i="18" s="1"/>
  <c r="CC106" i="18"/>
  <c r="AX82" i="18" s="1"/>
  <c r="CO64" i="18"/>
  <c r="E37" i="18" s="1"/>
  <c r="CR63" i="18"/>
  <c r="BE38" i="18" s="1"/>
  <c r="CC107" i="18"/>
  <c r="AY82" i="18" s="1"/>
  <c r="CR64" i="18"/>
  <c r="BE37" i="18" s="1"/>
  <c r="CO65" i="18"/>
  <c r="E36" i="18" s="1"/>
  <c r="CR65" i="18"/>
  <c r="BE36" i="18" s="1"/>
  <c r="CC108" i="18"/>
  <c r="AZ82" i="18" s="1"/>
  <c r="CO66" i="18"/>
  <c r="E35" i="18" s="1"/>
  <c r="CC109" i="18"/>
  <c r="BA82" i="18" s="1"/>
  <c r="CO67" i="18"/>
  <c r="E34" i="18" s="1"/>
  <c r="CR66" i="18"/>
  <c r="BE35" i="18" s="1"/>
  <c r="CC110" i="18"/>
  <c r="BB82" i="18" s="1"/>
  <c r="CR67" i="18"/>
  <c r="BE34" i="18" s="1"/>
  <c r="CO68" i="18"/>
  <c r="E33" i="18" s="1"/>
  <c r="CC112" i="18"/>
  <c r="BB84" i="18"/>
  <c r="CC111" i="18"/>
  <c r="BC82" i="18" s="1"/>
  <c r="CO69" i="18"/>
  <c r="E32" i="18" s="1"/>
  <c r="CR68" i="18"/>
  <c r="BE33" i="18" s="1"/>
  <c r="CR69" i="18"/>
  <c r="BE32" i="18" s="1"/>
  <c r="CO70" i="18"/>
  <c r="D31" i="18" s="1"/>
  <c r="CO71" i="18"/>
  <c r="E30" i="18" s="1"/>
  <c r="CR70" i="18"/>
  <c r="BE31" i="18"/>
  <c r="CR71" i="18"/>
  <c r="BE30" i="18" s="1"/>
  <c r="CO72" i="18"/>
  <c r="E29" i="18" s="1"/>
  <c r="CO73" i="18"/>
  <c r="E28" i="18" s="1"/>
  <c r="CR72" i="18"/>
  <c r="BE29" i="18" s="1"/>
  <c r="CR73" i="18"/>
  <c r="BE28" i="18" s="1"/>
  <c r="CO74" i="18"/>
  <c r="E27" i="18" s="1"/>
  <c r="CO75" i="18"/>
  <c r="E26" i="18"/>
  <c r="CR74" i="18"/>
  <c r="BE27" i="18" s="1"/>
  <c r="CR75" i="18"/>
  <c r="BE26" i="18" s="1"/>
  <c r="CO76" i="18"/>
  <c r="E25" i="18" s="1"/>
  <c r="CO77" i="18"/>
  <c r="E24" i="18" s="1"/>
  <c r="CR76" i="18"/>
  <c r="BE25" i="18" s="1"/>
  <c r="CR77" i="18"/>
  <c r="BE24" i="18" s="1"/>
  <c r="CO78" i="18"/>
  <c r="E23" i="18" s="1"/>
  <c r="CO79" i="18"/>
  <c r="E22" i="18" s="1"/>
  <c r="CR78" i="18"/>
  <c r="BE23" i="18" s="1"/>
  <c r="CR79" i="18"/>
  <c r="BE22" i="18" s="1"/>
  <c r="CO80" i="18"/>
  <c r="D21" i="18" s="1"/>
  <c r="CO81" i="18"/>
  <c r="E20" i="18" s="1"/>
  <c r="CR80" i="18"/>
  <c r="BE21" i="18" s="1"/>
  <c r="CR81" i="18"/>
  <c r="BE20" i="18" s="1"/>
  <c r="CO82" i="18"/>
  <c r="E19" i="18" s="1"/>
  <c r="CO83" i="18"/>
  <c r="E18" i="18" s="1"/>
  <c r="CR82" i="18"/>
  <c r="BE19" i="18" s="1"/>
  <c r="CR83" i="18"/>
  <c r="BE18" i="18" s="1"/>
  <c r="CO84" i="18"/>
  <c r="E17" i="18" s="1"/>
  <c r="CO85" i="18"/>
  <c r="E16" i="18" s="1"/>
  <c r="CR84" i="18"/>
  <c r="BE17" i="18" s="1"/>
  <c r="CR85" i="18"/>
  <c r="BE16" i="18" s="1"/>
  <c r="CO86" i="18"/>
  <c r="E15" i="18" s="1"/>
  <c r="CO87" i="18"/>
  <c r="E14" i="18" s="1"/>
  <c r="CR86" i="18"/>
  <c r="BE15" i="18" s="1"/>
  <c r="CR87" i="18"/>
  <c r="BE14" i="18" s="1"/>
  <c r="CO88" i="18"/>
  <c r="E13" i="18" s="1"/>
  <c r="CO89" i="18"/>
  <c r="E12" i="18" s="1"/>
  <c r="CO90" i="18"/>
  <c r="D11" i="18" s="1"/>
  <c r="CR88" i="18"/>
  <c r="BE13" i="18" s="1"/>
  <c r="CR89" i="18"/>
  <c r="BE12" i="18" s="1"/>
  <c r="CR90" i="18"/>
  <c r="BE11" i="18" s="1"/>
  <c r="DA118" i="16"/>
  <c r="DA109" i="16"/>
  <c r="AV102" i="16"/>
  <c r="AZ102" i="16"/>
  <c r="AR102" i="16"/>
  <c r="BD102" i="16"/>
  <c r="DM115" i="13"/>
  <c r="DM119" i="13"/>
  <c r="DM123" i="13"/>
  <c r="DM127" i="13"/>
  <c r="DM131" i="13"/>
  <c r="DM135" i="13"/>
  <c r="DM139" i="13"/>
  <c r="DM143" i="13"/>
  <c r="DM147" i="13"/>
  <c r="DM151" i="13"/>
  <c r="DM99" i="13"/>
  <c r="DM103" i="13"/>
  <c r="DM107" i="13"/>
  <c r="DM111" i="13"/>
  <c r="DM95" i="13"/>
  <c r="DI103" i="13"/>
  <c r="DI119" i="13"/>
  <c r="DI123" i="13"/>
  <c r="DI127" i="13"/>
  <c r="DI131" i="13"/>
  <c r="DI135" i="13"/>
  <c r="DI139" i="13"/>
  <c r="DI143" i="13"/>
  <c r="DI147" i="13"/>
  <c r="DI151" i="13"/>
  <c r="DI99" i="13"/>
  <c r="N28" i="16"/>
  <c r="N25" i="16"/>
  <c r="N22" i="16"/>
  <c r="AB46" i="16" s="1"/>
  <c r="AB58" i="16"/>
  <c r="AB70" i="16"/>
  <c r="AB78" i="16"/>
  <c r="AB86" i="16"/>
  <c r="AB90" i="16"/>
  <c r="AB98" i="16"/>
  <c r="AB42" i="20"/>
  <c r="AB42" i="16"/>
  <c r="AB62" i="16"/>
  <c r="AB66" i="16"/>
  <c r="AB74" i="16"/>
  <c r="AB82" i="16"/>
  <c r="AB94" i="16"/>
  <c r="AB54" i="16"/>
  <c r="BV11" i="16"/>
  <c r="AK11" i="16"/>
  <c r="AK8" i="16"/>
  <c r="J11" i="16"/>
  <c r="J8" i="16"/>
  <c r="BT106" i="13"/>
  <c r="X37" i="13"/>
  <c r="B37" i="13"/>
  <c r="S34" i="13"/>
  <c r="AW31" i="13"/>
  <c r="BN28" i="13"/>
  <c r="BN25" i="13"/>
  <c r="BL51" i="13"/>
  <c r="EO112" i="13" s="1"/>
  <c r="EZ112" i="13" s="1"/>
  <c r="BL87" i="13"/>
  <c r="EO121" i="13" s="1"/>
  <c r="BL74" i="16"/>
  <c r="EO130" i="13" s="1"/>
  <c r="BL66" i="16"/>
  <c r="EO128" i="13" s="1"/>
  <c r="BL54" i="16"/>
  <c r="EO125" i="13" s="1"/>
  <c r="BL94" i="16"/>
  <c r="EO135" i="13" s="1"/>
  <c r="BL50" i="16"/>
  <c r="BL82" i="16"/>
  <c r="EO132" i="13" s="1"/>
  <c r="BL78" i="16"/>
  <c r="EO131" i="13" s="1"/>
  <c r="BL58" i="16"/>
  <c r="EO126" i="13" s="1"/>
  <c r="BL86" i="16"/>
  <c r="EO133" i="13" s="1"/>
  <c r="BL62" i="16"/>
  <c r="EO127" i="13" s="1"/>
  <c r="BL83" i="13"/>
  <c r="EO120" i="13" s="1"/>
  <c r="BL70" i="16"/>
  <c r="EO129" i="13" s="1"/>
  <c r="AX105" i="16"/>
  <c r="AX105" i="20"/>
  <c r="BL42" i="16"/>
  <c r="EO122" i="13" s="1"/>
  <c r="BL90" i="16"/>
  <c r="EO134" i="13" s="1"/>
  <c r="BL42" i="20"/>
  <c r="BL46" i="20"/>
  <c r="EO138" i="13" s="1"/>
  <c r="BL50" i="20"/>
  <c r="EO139" i="13" s="1"/>
  <c r="BL54" i="20"/>
  <c r="EO140" i="13" s="1"/>
  <c r="BL58" i="20"/>
  <c r="EO141" i="13" s="1"/>
  <c r="BL62" i="20"/>
  <c r="EO142" i="13" s="1"/>
  <c r="BL66" i="20"/>
  <c r="EO143" i="13" s="1"/>
  <c r="BL70" i="20"/>
  <c r="EO144" i="13" s="1"/>
  <c r="BL74" i="20"/>
  <c r="EO145" i="13" s="1"/>
  <c r="BL78" i="20"/>
  <c r="EO146" i="13" s="1"/>
  <c r="BL82" i="20"/>
  <c r="EO147" i="13" s="1"/>
  <c r="BL86" i="20"/>
  <c r="EO148" i="13" s="1"/>
  <c r="BL90" i="20"/>
  <c r="EO149" i="13" s="1"/>
  <c r="BL94" i="20"/>
  <c r="EO150" i="13" s="1"/>
  <c r="BL98" i="20"/>
  <c r="EO151" i="13" s="1"/>
  <c r="BL46" i="16"/>
  <c r="EO123" i="13" s="1"/>
  <c r="BP66" i="16"/>
  <c r="DE119" i="13" s="1"/>
  <c r="BP70" i="16"/>
  <c r="DE123" i="13" s="1"/>
  <c r="BP74" i="16"/>
  <c r="DE127" i="13" s="1"/>
  <c r="BP78" i="16"/>
  <c r="DE131" i="13" s="1"/>
  <c r="BP82" i="16"/>
  <c r="DE135" i="13" s="1"/>
  <c r="BP86" i="16"/>
  <c r="DE139" i="13" s="1"/>
  <c r="BP90" i="16"/>
  <c r="DE143" i="13" s="1"/>
  <c r="BP94" i="16"/>
  <c r="DE147" i="13" s="1"/>
  <c r="BL98" i="16"/>
  <c r="EO136" i="13" s="1"/>
  <c r="BP98" i="16"/>
  <c r="DE151" i="13" s="1"/>
  <c r="BP42" i="20"/>
  <c r="DE155" i="13" s="1"/>
  <c r="BP46" i="20"/>
  <c r="DE159" i="13" s="1"/>
  <c r="BP50" i="20"/>
  <c r="DE163" i="13" s="1"/>
  <c r="BP54" i="20"/>
  <c r="DE167" i="13" s="1"/>
  <c r="BP70" i="20"/>
  <c r="DE183" i="13" s="1"/>
  <c r="BP74" i="20"/>
  <c r="DE187" i="13" s="1"/>
  <c r="BP78" i="20"/>
  <c r="DE191" i="13" s="1"/>
  <c r="BP82" i="20"/>
  <c r="DE195" i="13" s="1"/>
  <c r="BP86" i="20"/>
  <c r="DE199" i="13" s="1"/>
  <c r="BP90" i="20"/>
  <c r="DE203" i="13" s="1"/>
  <c r="BP94" i="20"/>
  <c r="DE207" i="13" s="1"/>
  <c r="BP98" i="20"/>
  <c r="DE211" i="13" s="1"/>
  <c r="ES143" i="13" l="1"/>
  <c r="ES147" i="13"/>
  <c r="DJ110" i="16"/>
  <c r="CW25" i="23"/>
  <c r="DL28" i="23"/>
  <c r="CQ21" i="18"/>
  <c r="CQ22" i="18" s="1"/>
  <c r="CQ23" i="18" s="1"/>
  <c r="CQ24" i="18" s="1"/>
  <c r="CQ25" i="18" s="1"/>
  <c r="CQ26" i="18" s="1"/>
  <c r="CQ27" i="18" s="1"/>
  <c r="CQ28" i="18" s="1"/>
  <c r="CQ29" i="18" s="1"/>
  <c r="CQ30" i="18" s="1"/>
  <c r="CQ31" i="18" s="1"/>
  <c r="CQ32" i="18" s="1"/>
  <c r="CQ33" i="18" s="1"/>
  <c r="CQ34" i="18" s="1"/>
  <c r="CQ35" i="18" s="1"/>
  <c r="CQ36" i="18" s="1"/>
  <c r="CQ37" i="18" s="1"/>
  <c r="CQ38" i="18" s="1"/>
  <c r="CQ39" i="18" s="1"/>
  <c r="CQ40" i="18" s="1"/>
  <c r="CQ41" i="18" s="1"/>
  <c r="CQ42" i="18" s="1"/>
  <c r="CQ43" i="18" s="1"/>
  <c r="CQ44" i="18" s="1"/>
  <c r="CQ45" i="18" s="1"/>
  <c r="CQ46" i="18" s="1"/>
  <c r="CQ47" i="18" s="1"/>
  <c r="CQ48" i="18" s="1"/>
  <c r="CQ49" i="18" s="1"/>
  <c r="CQ50" i="18" s="1"/>
  <c r="CQ51" i="18" s="1"/>
  <c r="CQ52" i="18" s="1"/>
  <c r="CQ53" i="18" s="1"/>
  <c r="CQ54" i="18" s="1"/>
  <c r="CQ55" i="18" s="1"/>
  <c r="CQ56" i="18" s="1"/>
  <c r="CQ57" i="18" s="1"/>
  <c r="CQ58" i="18" s="1"/>
  <c r="CQ59" i="18" s="1"/>
  <c r="CQ60" i="18" s="1"/>
  <c r="CQ61" i="18" s="1"/>
  <c r="CQ62" i="18" s="1"/>
  <c r="CQ63" i="18" s="1"/>
  <c r="CQ64" i="18" s="1"/>
  <c r="CQ65" i="18" s="1"/>
  <c r="CQ66" i="18" s="1"/>
  <c r="CQ67" i="18" s="1"/>
  <c r="CQ68" i="18" s="1"/>
  <c r="CQ69" i="18" s="1"/>
  <c r="CQ70" i="18" s="1"/>
  <c r="CQ71" i="18" s="1"/>
  <c r="CQ72" i="18" s="1"/>
  <c r="CQ73" i="18" s="1"/>
  <c r="CQ74" i="18" s="1"/>
  <c r="CQ75" i="18" s="1"/>
  <c r="CQ76" i="18" s="1"/>
  <c r="CQ77" i="18" s="1"/>
  <c r="CQ78" i="18" s="1"/>
  <c r="CQ79" i="18" s="1"/>
  <c r="CQ80" i="18" s="1"/>
  <c r="CQ81" i="18" s="1"/>
  <c r="CQ82" i="18" s="1"/>
  <c r="CQ83" i="18" s="1"/>
  <c r="CQ84" i="18" s="1"/>
  <c r="CQ85" i="18" s="1"/>
  <c r="CQ86" i="18" s="1"/>
  <c r="CQ87" i="18" s="1"/>
  <c r="CQ88" i="18" s="1"/>
  <c r="CQ89" i="18" s="1"/>
  <c r="CQ90" i="18" s="1"/>
  <c r="DK25" i="23"/>
  <c r="DK32" i="23"/>
  <c r="DF29" i="23"/>
  <c r="DL29" i="23"/>
  <c r="DF25" i="23"/>
  <c r="DF24" i="23"/>
  <c r="CV25" i="23"/>
  <c r="DG25" i="23"/>
  <c r="DG29" i="23"/>
  <c r="CV24" i="23"/>
  <c r="DA29" i="23"/>
  <c r="CN22" i="18"/>
  <c r="CN23" i="18" s="1"/>
  <c r="CN24" i="18" s="1"/>
  <c r="CN25" i="18" s="1"/>
  <c r="CN26" i="18" s="1"/>
  <c r="CN27" i="18" s="1"/>
  <c r="CN28" i="18" s="1"/>
  <c r="CN29" i="18" s="1"/>
  <c r="CN30" i="18" s="1"/>
  <c r="CN31" i="18" s="1"/>
  <c r="CN32" i="18" s="1"/>
  <c r="CN33" i="18" s="1"/>
  <c r="CN34" i="18" s="1"/>
  <c r="CN35" i="18" s="1"/>
  <c r="CN36" i="18" s="1"/>
  <c r="CN37" i="18" s="1"/>
  <c r="CN38" i="18" s="1"/>
  <c r="CN39" i="18" s="1"/>
  <c r="CN40" i="18" s="1"/>
  <c r="CN41" i="18" s="1"/>
  <c r="CN42" i="18" s="1"/>
  <c r="CN43" i="18" s="1"/>
  <c r="CN44" i="18" s="1"/>
  <c r="CN45" i="18" s="1"/>
  <c r="CN46" i="18" s="1"/>
  <c r="CN47" i="18" s="1"/>
  <c r="CN48" i="18" s="1"/>
  <c r="CN49" i="18" s="1"/>
  <c r="CN50" i="18" s="1"/>
  <c r="CN51" i="18" s="1"/>
  <c r="CN52" i="18" s="1"/>
  <c r="CN53" i="18" s="1"/>
  <c r="CN54" i="18" s="1"/>
  <c r="CN55" i="18" s="1"/>
  <c r="CN56" i="18" s="1"/>
  <c r="CN57" i="18" s="1"/>
  <c r="CN58" i="18" s="1"/>
  <c r="CN59" i="18" s="1"/>
  <c r="CN60" i="18" s="1"/>
  <c r="CN61" i="18" s="1"/>
  <c r="CN62" i="18" s="1"/>
  <c r="CN63" i="18" s="1"/>
  <c r="CN64" i="18" s="1"/>
  <c r="CN65" i="18" s="1"/>
  <c r="CN66" i="18" s="1"/>
  <c r="CN67" i="18" s="1"/>
  <c r="CN68" i="18" s="1"/>
  <c r="CN69" i="18" s="1"/>
  <c r="CN70" i="18" s="1"/>
  <c r="CN71" i="18" s="1"/>
  <c r="CN72" i="18" s="1"/>
  <c r="CN73" i="18" s="1"/>
  <c r="CN74" i="18" s="1"/>
  <c r="CN75" i="18" s="1"/>
  <c r="CN76" i="18" s="1"/>
  <c r="CN77" i="18" s="1"/>
  <c r="CN78" i="18" s="1"/>
  <c r="CN79" i="18" s="1"/>
  <c r="CN80" i="18" s="1"/>
  <c r="CN81" i="18" s="1"/>
  <c r="CN82" i="18" s="1"/>
  <c r="CN83" i="18" s="1"/>
  <c r="CN84" i="18" s="1"/>
  <c r="CN85" i="18" s="1"/>
  <c r="CN86" i="18" s="1"/>
  <c r="CN87" i="18" s="1"/>
  <c r="CN88" i="18" s="1"/>
  <c r="CN89" i="18" s="1"/>
  <c r="CN90" i="18" s="1"/>
  <c r="ES141" i="13"/>
  <c r="ES140" i="13"/>
  <c r="ES149" i="13"/>
  <c r="ES139" i="13"/>
  <c r="ES151" i="13"/>
  <c r="ES144" i="13"/>
  <c r="DL32" i="23"/>
  <c r="DK29" i="23"/>
  <c r="DK28" i="23"/>
  <c r="DL24" i="23"/>
  <c r="DB28" i="23"/>
  <c r="ES138" i="13"/>
  <c r="ES137" i="13"/>
  <c r="ES150" i="13"/>
  <c r="ES146" i="13"/>
  <c r="CA56" i="23"/>
  <c r="BN31" i="13"/>
  <c r="AB50" i="16"/>
  <c r="DI111" i="13"/>
  <c r="DI95" i="13"/>
  <c r="DI107" i="13"/>
  <c r="ES132" i="13"/>
  <c r="ES135" i="13"/>
  <c r="ES131" i="13"/>
  <c r="ES122" i="13"/>
  <c r="ES124" i="13"/>
  <c r="ES127" i="13"/>
  <c r="ES123" i="13"/>
  <c r="BL71" i="13"/>
  <c r="EO117" i="13" s="1"/>
  <c r="BL75" i="13"/>
  <c r="EO118" i="13" s="1"/>
  <c r="BL79" i="13"/>
  <c r="EO119" i="13" s="1"/>
  <c r="BL67" i="13"/>
  <c r="EO116" i="13" s="1"/>
  <c r="BL63" i="13"/>
  <c r="EO115" i="13" s="1"/>
  <c r="BP58" i="20"/>
  <c r="DJ110" i="20"/>
  <c r="ES130" i="13"/>
  <c r="ES129" i="13"/>
  <c r="BS63" i="23"/>
  <c r="BT100" i="23"/>
  <c r="DJ108" i="20"/>
  <c r="CE66" i="18"/>
  <c r="ES120" i="13"/>
  <c r="DJ112" i="20"/>
  <c r="EW137" i="13"/>
  <c r="Y103" i="20" s="1"/>
  <c r="DJ109" i="16"/>
  <c r="DY109" i="16" s="1"/>
  <c r="ES118" i="13"/>
  <c r="ES128" i="13"/>
  <c r="ES125" i="13"/>
  <c r="ES136" i="13"/>
  <c r="ES134" i="13"/>
  <c r="ES126" i="13"/>
  <c r="BX102" i="23"/>
  <c r="ES119" i="13"/>
  <c r="ES114" i="13"/>
  <c r="EO114" i="13" s="1"/>
  <c r="ES121" i="13"/>
  <c r="AJ102" i="16"/>
  <c r="BP51" i="13"/>
  <c r="DE55" i="13" s="1"/>
  <c r="BP55" i="23" s="1"/>
  <c r="ES115" i="13"/>
  <c r="ES113" i="13"/>
  <c r="BL55" i="13" s="1"/>
  <c r="EO113" i="13" s="1"/>
  <c r="EZ113" i="13" s="1"/>
  <c r="ES117" i="13"/>
  <c r="ES116" i="13"/>
  <c r="DA112" i="20"/>
  <c r="DA121" i="16"/>
  <c r="DA121" i="20"/>
  <c r="DA112" i="16"/>
  <c r="DJ111" i="20"/>
  <c r="DJ111" i="16"/>
  <c r="DJ109" i="20"/>
  <c r="BT99" i="23"/>
  <c r="DA115" i="20"/>
  <c r="EO137" i="13"/>
  <c r="BL102" i="20"/>
  <c r="DA115" i="16"/>
  <c r="EO124" i="13"/>
  <c r="AJ102" i="20"/>
  <c r="EW112" i="13"/>
  <c r="ET152" i="13"/>
  <c r="CI39" i="23"/>
  <c r="CJ39" i="23" s="1"/>
  <c r="DC37" i="23" s="1"/>
  <c r="BL102" i="16"/>
  <c r="EW122" i="13"/>
  <c r="Y103" i="16" s="1"/>
  <c r="AF102" i="16" s="1"/>
  <c r="E80" i="18"/>
  <c r="EJ134" i="13"/>
  <c r="DL25" i="23"/>
  <c r="DG28" i="23"/>
  <c r="DL33" i="23"/>
  <c r="DK24" i="23"/>
  <c r="DF28" i="23"/>
  <c r="DK33" i="23"/>
  <c r="CE67" i="18"/>
  <c r="BT102" i="23"/>
  <c r="DA28" i="23"/>
  <c r="DG24" i="23"/>
  <c r="CE63" i="18"/>
  <c r="BT98" i="23"/>
  <c r="BY89" i="23"/>
  <c r="BY90" i="23" s="1"/>
  <c r="CR70" i="23"/>
  <c r="CR75" i="23"/>
  <c r="CH25" i="23"/>
  <c r="CH26" i="23" s="1"/>
  <c r="DB41" i="23" s="1"/>
  <c r="CI72" i="18"/>
  <c r="CI75" i="18" s="1"/>
  <c r="CR63" i="23"/>
  <c r="EJ127" i="13"/>
  <c r="BY117" i="23"/>
  <c r="CR62" i="23"/>
  <c r="CI38" i="23"/>
  <c r="CJ38" i="23" s="1"/>
  <c r="CI34" i="23"/>
  <c r="CJ34" i="23" s="1"/>
  <c r="BV90" i="23"/>
  <c r="EZ114" i="13" l="1"/>
  <c r="EZ115" i="13" s="1"/>
  <c r="EZ116" i="13" s="1"/>
  <c r="EZ117" i="13" s="1"/>
  <c r="EZ118" i="13" s="1"/>
  <c r="EZ119" i="13" s="1"/>
  <c r="EZ120" i="13" s="1"/>
  <c r="EZ121" i="13" s="1"/>
  <c r="EZ122" i="13" s="1"/>
  <c r="EZ123" i="13" s="1"/>
  <c r="EZ124" i="13" s="1"/>
  <c r="EZ125" i="13" s="1"/>
  <c r="EZ126" i="13" s="1"/>
  <c r="EZ127" i="13" s="1"/>
  <c r="EZ128" i="13" s="1"/>
  <c r="EZ129" i="13" s="1"/>
  <c r="EZ130" i="13" s="1"/>
  <c r="EZ131" i="13" s="1"/>
  <c r="EZ132" i="13" s="1"/>
  <c r="EZ133" i="13" s="1"/>
  <c r="EZ134" i="13" s="1"/>
  <c r="EZ135" i="13" s="1"/>
  <c r="EZ136" i="13" s="1"/>
  <c r="EZ137" i="13" s="1"/>
  <c r="EZ138" i="13" s="1"/>
  <c r="EZ139" i="13" s="1"/>
  <c r="EZ140" i="13" s="1"/>
  <c r="EZ141" i="13" s="1"/>
  <c r="EZ142" i="13" s="1"/>
  <c r="EZ143" i="13" s="1"/>
  <c r="EZ144" i="13" s="1"/>
  <c r="EZ145" i="13" s="1"/>
  <c r="EZ146" i="13" s="1"/>
  <c r="EZ147" i="13" s="1"/>
  <c r="EZ148" i="13" s="1"/>
  <c r="EZ149" i="13" s="1"/>
  <c r="EZ150" i="13" s="1"/>
  <c r="EZ151" i="13" s="1"/>
  <c r="BL8" i="18"/>
  <c r="CR37" i="23"/>
  <c r="DE171" i="13"/>
  <c r="BP62" i="20"/>
  <c r="CQ14" i="20"/>
  <c r="CQ14" i="16"/>
  <c r="AJ91" i="13"/>
  <c r="AJ94" i="13"/>
  <c r="BL91" i="13"/>
  <c r="AN95" i="13"/>
  <c r="BB94" i="13"/>
  <c r="AU94" i="13"/>
  <c r="DI55" i="13"/>
  <c r="BQ55" i="23" s="1"/>
  <c r="BX55" i="23" s="1"/>
  <c r="BW55" i="23" s="1"/>
  <c r="BV55" i="23" s="1"/>
  <c r="BP55" i="13"/>
  <c r="ES152" i="13"/>
  <c r="Y91" i="13"/>
  <c r="AF91" i="13"/>
  <c r="I97" i="13" s="1"/>
  <c r="AF94" i="13"/>
  <c r="BL94" i="13"/>
  <c r="CJ35" i="23"/>
  <c r="CS28" i="23" s="1"/>
  <c r="CW37" i="23"/>
  <c r="CS37" i="23"/>
  <c r="CY26" i="18"/>
  <c r="CY27" i="18" s="1"/>
  <c r="CY31" i="18" s="1"/>
  <c r="CJ32" i="23"/>
  <c r="DC32" i="23" s="1"/>
  <c r="DH37" i="23"/>
  <c r="DB37" i="23"/>
  <c r="CJ33" i="23"/>
  <c r="CW36" i="23" s="1"/>
  <c r="CW33" i="23" s="1"/>
  <c r="CJ36" i="23"/>
  <c r="CX29" i="23" s="1"/>
  <c r="CX37" i="23"/>
  <c r="DG37" i="23"/>
  <c r="DM37" i="23"/>
  <c r="CJ31" i="23"/>
  <c r="CR24" i="23" s="1"/>
  <c r="DL37" i="23"/>
  <c r="BK8" i="23"/>
  <c r="CV41" i="23"/>
  <c r="U47" i="30" l="1"/>
  <c r="U48" i="30" s="1"/>
  <c r="AC31" i="56"/>
  <c r="H30" i="56" s="1"/>
  <c r="FA153" i="13"/>
  <c r="CB103" i="13" s="1"/>
  <c r="BP97" i="13" s="1"/>
  <c r="CU47" i="23"/>
  <c r="CU46" i="23"/>
  <c r="CU45" i="23"/>
  <c r="DE175" i="13"/>
  <c r="BP66" i="20"/>
  <c r="DE179" i="13" s="1"/>
  <c r="CR32" i="23"/>
  <c r="CR29" i="23" s="1"/>
  <c r="CX28" i="23"/>
  <c r="CS25" i="23"/>
  <c r="DG36" i="23"/>
  <c r="DG33" i="23" s="1"/>
  <c r="CR28" i="23"/>
  <c r="CR25" i="23" s="1"/>
  <c r="DE59" i="13"/>
  <c r="BP54" i="23" s="1"/>
  <c r="BP59" i="13"/>
  <c r="CW28" i="23"/>
  <c r="BE101" i="18"/>
  <c r="DM55" i="13"/>
  <c r="BZ55" i="23"/>
  <c r="CA55" i="23" s="1"/>
  <c r="BM55" i="23"/>
  <c r="BR55" i="23" s="1"/>
  <c r="CC55" i="23" s="1"/>
  <c r="M97" i="13"/>
  <c r="Q97" i="13" s="1"/>
  <c r="CC106" i="13"/>
  <c r="BH94" i="13"/>
  <c r="BH91" i="13"/>
  <c r="CW32" i="23"/>
  <c r="CW29" i="23" s="1"/>
  <c r="CR49" i="23" s="1"/>
  <c r="DH36" i="23"/>
  <c r="DF36" i="23" s="1"/>
  <c r="CX66" i="23" s="1"/>
  <c r="CX36" i="23"/>
  <c r="CV36" i="23" s="1"/>
  <c r="CV33" i="23" s="1"/>
  <c r="CV65" i="23" s="1"/>
  <c r="CX33" i="23"/>
  <c r="CS32" i="23"/>
  <c r="CR36" i="23"/>
  <c r="CR33" i="23" s="1"/>
  <c r="CR53" i="23" s="1"/>
  <c r="DC33" i="23"/>
  <c r="DL36" i="23"/>
  <c r="DB32" i="23"/>
  <c r="DB25" i="23" s="1"/>
  <c r="BE100" i="18"/>
  <c r="DG32" i="23"/>
  <c r="DC25" i="23"/>
  <c r="DB24" i="23"/>
  <c r="DC24" i="23"/>
  <c r="CS29" i="23"/>
  <c r="DH32" i="23"/>
  <c r="CX32" i="23"/>
  <c r="CS33" i="23"/>
  <c r="DH33" i="23"/>
  <c r="CS24" i="23"/>
  <c r="CS36" i="23"/>
  <c r="CQ36" i="23" s="1"/>
  <c r="CQ33" i="23" s="1"/>
  <c r="DB36" i="23"/>
  <c r="DB33" i="23" s="1"/>
  <c r="DC36" i="23"/>
  <c r="DA36" i="23" s="1"/>
  <c r="CW66" i="23" s="1"/>
  <c r="DM36" i="23"/>
  <c r="DK36" i="23" s="1"/>
  <c r="CY66" i="23" s="1"/>
  <c r="CY68" i="23" s="1"/>
  <c r="CY32" i="18"/>
  <c r="CR44" i="23"/>
  <c r="CR57" i="23"/>
  <c r="CQ57" i="23"/>
  <c r="I30" i="56" l="1"/>
  <c r="I32" i="56"/>
  <c r="CR56" i="23"/>
  <c r="CR48" i="23"/>
  <c r="CR45" i="23"/>
  <c r="CR52" i="23"/>
  <c r="CQ32" i="23"/>
  <c r="CQ29" i="23" s="1"/>
  <c r="DE63" i="13"/>
  <c r="BP53" i="23" s="1"/>
  <c r="BP63" i="13"/>
  <c r="DI59" i="13"/>
  <c r="BL55" i="23"/>
  <c r="CK51" i="13" s="1"/>
  <c r="CV66" i="23"/>
  <c r="CQ56" i="23"/>
  <c r="CV32" i="23"/>
  <c r="CV29" i="23" s="1"/>
  <c r="DF33" i="23"/>
  <c r="DF32" i="23" s="1"/>
  <c r="CX64" i="23" s="1"/>
  <c r="DA33" i="23"/>
  <c r="CW65" i="23" s="1"/>
  <c r="CU65" i="23"/>
  <c r="CU66" i="23"/>
  <c r="CY33" i="18"/>
  <c r="CY34" i="18" s="1"/>
  <c r="CU64" i="23" l="1"/>
  <c r="DI63" i="13"/>
  <c r="DE67" i="13"/>
  <c r="BP67" i="13"/>
  <c r="BS55" i="23"/>
  <c r="CY35" i="18"/>
  <c r="CY36" i="18" s="1"/>
  <c r="DM59" i="13"/>
  <c r="BQ54" i="23"/>
  <c r="CX65" i="23"/>
  <c r="CX68" i="23" s="1"/>
  <c r="CQ53" i="23"/>
  <c r="CV64" i="23"/>
  <c r="DA32" i="23"/>
  <c r="DA25" i="23" s="1"/>
  <c r="CW61" i="23" s="1"/>
  <c r="CQ49" i="23"/>
  <c r="CQ52" i="23"/>
  <c r="CV28" i="23"/>
  <c r="CV63" i="23"/>
  <c r="CQ28" i="23"/>
  <c r="CU63" i="23"/>
  <c r="DI67" i="13" l="1"/>
  <c r="DE71" i="13"/>
  <c r="BP71" i="13"/>
  <c r="DM63" i="13"/>
  <c r="BQ53" i="23"/>
  <c r="BX53" i="23" s="1"/>
  <c r="BW53" i="23" s="1"/>
  <c r="BP52" i="23"/>
  <c r="CY37" i="18"/>
  <c r="CY38" i="18" s="1"/>
  <c r="BX54" i="23"/>
  <c r="BW54" i="23" s="1"/>
  <c r="BV54" i="23" s="1"/>
  <c r="DA24" i="23"/>
  <c r="CW60" i="23" s="1"/>
  <c r="BZ54" i="23"/>
  <c r="CA54" i="23" s="1"/>
  <c r="CW64" i="23"/>
  <c r="CV62" i="23"/>
  <c r="CV68" i="23" s="1"/>
  <c r="CQ48" i="23"/>
  <c r="CU62" i="23"/>
  <c r="CQ25" i="23"/>
  <c r="CQ45" i="23" s="1"/>
  <c r="DI71" i="13" l="1"/>
  <c r="BQ52" i="23"/>
  <c r="BX52" i="23" s="1"/>
  <c r="BW52" i="23" s="1"/>
  <c r="BV52" i="23" s="1"/>
  <c r="DM67" i="13"/>
  <c r="BZ53" i="23"/>
  <c r="CA53" i="23" s="1"/>
  <c r="DE75" i="13"/>
  <c r="BP75" i="13"/>
  <c r="BP51" i="23"/>
  <c r="BM54" i="23"/>
  <c r="BR54" i="23" s="1"/>
  <c r="BL54" i="23" s="1"/>
  <c r="CK55" i="13" s="1"/>
  <c r="BM53" i="23"/>
  <c r="BR53" i="23" s="1"/>
  <c r="CC53" i="23" s="1"/>
  <c r="CW68" i="23"/>
  <c r="BV53" i="23"/>
  <c r="CY39" i="18"/>
  <c r="CU61" i="23"/>
  <c r="CQ24" i="23"/>
  <c r="DI75" i="13" l="1"/>
  <c r="DM71" i="13"/>
  <c r="BQ51" i="23"/>
  <c r="BZ52" i="23"/>
  <c r="CA52" i="23" s="1"/>
  <c r="DE79" i="13"/>
  <c r="BP79" i="13"/>
  <c r="BP50" i="23"/>
  <c r="BM52" i="23"/>
  <c r="BR52" i="23" s="1"/>
  <c r="CC52" i="23" s="1"/>
  <c r="CC54" i="23"/>
  <c r="BS54" i="23" s="1"/>
  <c r="BL53" i="23"/>
  <c r="CK59" i="13" s="1"/>
  <c r="CY40" i="18"/>
  <c r="CU60" i="23"/>
  <c r="CU68" i="23" s="1"/>
  <c r="CU69" i="23" s="1"/>
  <c r="CQ44" i="23"/>
  <c r="DI79" i="13" l="1"/>
  <c r="BQ50" i="23"/>
  <c r="BZ50" i="23" s="1"/>
  <c r="CA50" i="23" s="1"/>
  <c r="DM75" i="13"/>
  <c r="DE83" i="13"/>
  <c r="BP83" i="13"/>
  <c r="BZ51" i="23"/>
  <c r="CA51" i="23" s="1"/>
  <c r="BX51" i="23"/>
  <c r="BW51" i="23" s="1"/>
  <c r="BM51" i="23" s="1"/>
  <c r="BR51" i="23" s="1"/>
  <c r="BL51" i="23" s="1"/>
  <c r="CK67" i="13" s="1"/>
  <c r="BP49" i="23"/>
  <c r="BL52" i="23"/>
  <c r="CK63" i="13" s="1"/>
  <c r="BS53" i="23"/>
  <c r="CY41" i="18"/>
  <c r="CY42" i="18" s="1"/>
  <c r="EJ145" i="13"/>
  <c r="T109" i="13" s="1"/>
  <c r="CH72" i="18"/>
  <c r="BX50" i="23" l="1"/>
  <c r="BW50" i="23" s="1"/>
  <c r="BM50" i="23" s="1"/>
  <c r="BR50" i="23" s="1"/>
  <c r="CC50" i="23" s="1"/>
  <c r="DM79" i="13"/>
  <c r="BQ49" i="23"/>
  <c r="BX49" i="23" s="1"/>
  <c r="BW49" i="23" s="1"/>
  <c r="DI83" i="13"/>
  <c r="BP48" i="23"/>
  <c r="DE87" i="13"/>
  <c r="BP87" i="13"/>
  <c r="BS52" i="23"/>
  <c r="CC51" i="23"/>
  <c r="BV51" i="23"/>
  <c r="CY43" i="18"/>
  <c r="CY44" i="18" s="1"/>
  <c r="CY45" i="18" s="1"/>
  <c r="BE94" i="18" s="1"/>
  <c r="CV26" i="18"/>
  <c r="CH75" i="18"/>
  <c r="BM49" i="23" l="1"/>
  <c r="BR49" i="23" s="1"/>
  <c r="CC49" i="23" s="1"/>
  <c r="BV50" i="23"/>
  <c r="BS50" i="23" s="1"/>
  <c r="DM83" i="13"/>
  <c r="BZ49" i="23"/>
  <c r="CA49" i="23" s="1"/>
  <c r="BQ48" i="23"/>
  <c r="BZ48" i="23" s="1"/>
  <c r="CA48" i="23" s="1"/>
  <c r="BP47" i="23"/>
  <c r="DE91" i="13"/>
  <c r="BP42" i="16"/>
  <c r="DI87" i="13"/>
  <c r="BS51" i="23"/>
  <c r="BL50" i="23"/>
  <c r="CK71" i="13" s="1"/>
  <c r="BV49" i="23"/>
  <c r="CV27" i="18"/>
  <c r="AX101" i="18"/>
  <c r="BL49" i="23" l="1"/>
  <c r="CK75" i="13" s="1"/>
  <c r="BX48" i="23"/>
  <c r="BW48" i="23" s="1"/>
  <c r="BV48" i="23" s="1"/>
  <c r="BP46" i="23"/>
  <c r="DI91" i="13"/>
  <c r="DE95" i="13"/>
  <c r="BP46" i="16"/>
  <c r="BQ47" i="23"/>
  <c r="BX47" i="23" s="1"/>
  <c r="BW47" i="23" s="1"/>
  <c r="DM87" i="13"/>
  <c r="BS49" i="23"/>
  <c r="CV30" i="18"/>
  <c r="AX100" i="18"/>
  <c r="BM48" i="23" l="1"/>
  <c r="BR48" i="23" s="1"/>
  <c r="CC48" i="23" s="1"/>
  <c r="BV47" i="23"/>
  <c r="BP45" i="23"/>
  <c r="BQ46" i="23"/>
  <c r="BZ46" i="23" s="1"/>
  <c r="CA46" i="23" s="1"/>
  <c r="DM91" i="13"/>
  <c r="DE99" i="13"/>
  <c r="BP50" i="16"/>
  <c r="BZ47" i="23"/>
  <c r="CA47" i="23" s="1"/>
  <c r="BM47" i="23"/>
  <c r="BR47" i="23" s="1"/>
  <c r="CC47" i="23" s="1"/>
  <c r="CV31" i="18"/>
  <c r="BL48" i="23" l="1"/>
  <c r="CK79" i="13" s="1"/>
  <c r="BP44" i="23"/>
  <c r="BX46" i="23"/>
  <c r="BW46" i="23" s="1"/>
  <c r="BM46" i="23" s="1"/>
  <c r="BR46" i="23" s="1"/>
  <c r="CC46" i="23" s="1"/>
  <c r="BQ45" i="23"/>
  <c r="BZ45" i="23" s="1"/>
  <c r="CA45" i="23" s="1"/>
  <c r="DE103" i="13"/>
  <c r="BP54" i="16"/>
  <c r="BS47" i="23"/>
  <c r="BL47" i="23"/>
  <c r="CK83" i="13" s="1"/>
  <c r="BS48" i="23"/>
  <c r="CV32" i="18"/>
  <c r="BP43" i="23" l="1"/>
  <c r="BL46" i="23"/>
  <c r="CK87" i="13" s="1"/>
  <c r="BV46" i="23"/>
  <c r="BS46" i="23" s="1"/>
  <c r="BX45" i="23"/>
  <c r="BW45" i="23" s="1"/>
  <c r="BM45" i="23" s="1"/>
  <c r="BR45" i="23" s="1"/>
  <c r="BL45" i="23" s="1"/>
  <c r="CK42" i="16" s="1"/>
  <c r="BQ44" i="23"/>
  <c r="BZ44" i="23" s="1"/>
  <c r="CA44" i="23" s="1"/>
  <c r="DE107" i="13"/>
  <c r="BP58" i="16"/>
  <c r="CV33" i="18"/>
  <c r="BP42" i="23" l="1"/>
  <c r="BX44" i="23"/>
  <c r="BW44" i="23" s="1"/>
  <c r="BM44" i="23" s="1"/>
  <c r="BR44" i="23" s="1"/>
  <c r="CC44" i="23" s="1"/>
  <c r="BQ43" i="23"/>
  <c r="BQ42" i="23" s="1"/>
  <c r="BX42" i="23" s="1"/>
  <c r="BV45" i="23"/>
  <c r="CC45" i="23"/>
  <c r="DE111" i="13"/>
  <c r="BP62" i="16"/>
  <c r="DE115" i="13" s="1"/>
  <c r="FA155" i="13"/>
  <c r="CV34" i="18"/>
  <c r="BP41" i="23" l="1"/>
  <c r="BW42" i="23"/>
  <c r="BX43" i="23"/>
  <c r="BW43" i="23" s="1"/>
  <c r="BV44" i="23"/>
  <c r="BS44" i="23" s="1"/>
  <c r="BS45" i="23"/>
  <c r="BL44" i="23"/>
  <c r="CK46" i="16" s="1"/>
  <c r="BQ41" i="23"/>
  <c r="BX41" i="23" s="1"/>
  <c r="BW41" i="23" s="1"/>
  <c r="BV41" i="23" s="1"/>
  <c r="BZ42" i="23"/>
  <c r="CA42" i="23" s="1"/>
  <c r="BZ43" i="23"/>
  <c r="CA43" i="23" s="1"/>
  <c r="BP40" i="23"/>
  <c r="BP39" i="23" s="1"/>
  <c r="BP38" i="23" s="1"/>
  <c r="BP37" i="23" s="1"/>
  <c r="BP36" i="23" s="1"/>
  <c r="BP35" i="23" s="1"/>
  <c r="BP34" i="23" s="1"/>
  <c r="BP33" i="23" s="1"/>
  <c r="BP32" i="23" s="1"/>
  <c r="BP31" i="23" s="1"/>
  <c r="BP30" i="23" s="1"/>
  <c r="BP29" i="23" s="1"/>
  <c r="BP28" i="23" s="1"/>
  <c r="BP27" i="23" s="1"/>
  <c r="BP26" i="23" s="1"/>
  <c r="BP25" i="23" s="1"/>
  <c r="BP24" i="23" s="1"/>
  <c r="BP23" i="23" s="1"/>
  <c r="BP22" i="23" s="1"/>
  <c r="BP21" i="23" s="1"/>
  <c r="BP20" i="23" s="1"/>
  <c r="BP19" i="23" s="1"/>
  <c r="BP18" i="23" s="1"/>
  <c r="BP17" i="23" s="1"/>
  <c r="BP16" i="23" s="1"/>
  <c r="CV35" i="18"/>
  <c r="CV36" i="18" s="1"/>
  <c r="BV42" i="23" l="1"/>
  <c r="BM43" i="23"/>
  <c r="BR43" i="23" s="1"/>
  <c r="BL43" i="23" s="1"/>
  <c r="CK50" i="16" s="1"/>
  <c r="BM42" i="23"/>
  <c r="BR42" i="23" s="1"/>
  <c r="CC42" i="23" s="1"/>
  <c r="BS42" i="23" s="1"/>
  <c r="BV43" i="23"/>
  <c r="BZ41" i="23"/>
  <c r="CA41" i="23" s="1"/>
  <c r="BQ40" i="23"/>
  <c r="BX40" i="23" s="1"/>
  <c r="BW40" i="23" s="1"/>
  <c r="BV40" i="23" s="1"/>
  <c r="BM41" i="23"/>
  <c r="BR41" i="23" s="1"/>
  <c r="BL41" i="23" s="1"/>
  <c r="CK58" i="16" s="1"/>
  <c r="CV37" i="18"/>
  <c r="CV38" i="18" s="1"/>
  <c r="CV39" i="18" s="1"/>
  <c r="CV40" i="18" s="1"/>
  <c r="CC43" i="23" l="1"/>
  <c r="BS43" i="23" s="1"/>
  <c r="BL42" i="23"/>
  <c r="CK54" i="16" s="1"/>
  <c r="BZ40" i="23"/>
  <c r="CA40" i="23" s="1"/>
  <c r="BQ39" i="23"/>
  <c r="BQ38" i="23" s="1"/>
  <c r="BX38" i="23" s="1"/>
  <c r="BW38" i="23" s="1"/>
  <c r="CC41" i="23"/>
  <c r="BS41" i="23" s="1"/>
  <c r="BM40" i="23"/>
  <c r="BR40" i="23" s="1"/>
  <c r="CC40" i="23" s="1"/>
  <c r="BS40" i="23" s="1"/>
  <c r="CV41" i="18"/>
  <c r="CV42" i="18" s="1"/>
  <c r="BQ37" i="23" l="1"/>
  <c r="BX37" i="23" s="1"/>
  <c r="BW37" i="23" s="1"/>
  <c r="BZ38" i="23"/>
  <c r="CA38" i="23" s="1"/>
  <c r="BX39" i="23"/>
  <c r="BW39" i="23" s="1"/>
  <c r="BV39" i="23" s="1"/>
  <c r="BZ39" i="23"/>
  <c r="CA39" i="23" s="1"/>
  <c r="BL40" i="23"/>
  <c r="CK62" i="16" s="1"/>
  <c r="CV43" i="18"/>
  <c r="CV44" i="18" s="1"/>
  <c r="BQ36" i="23" l="1"/>
  <c r="BQ35" i="23" s="1"/>
  <c r="BZ37" i="23"/>
  <c r="CA37" i="23" s="1"/>
  <c r="BM38" i="23"/>
  <c r="BR38" i="23" s="1"/>
  <c r="BL38" i="23" s="1"/>
  <c r="CK70" i="16" s="1"/>
  <c r="BV38" i="23"/>
  <c r="BM39" i="23"/>
  <c r="BR39" i="23" s="1"/>
  <c r="BL39" i="23" s="1"/>
  <c r="CK66" i="16" s="1"/>
  <c r="BV37" i="23"/>
  <c r="BM37" i="23"/>
  <c r="BR37" i="23" s="1"/>
  <c r="CV45" i="18"/>
  <c r="CV46" i="18" s="1"/>
  <c r="BX36" i="23" l="1"/>
  <c r="BW36" i="23" s="1"/>
  <c r="BV36" i="23" s="1"/>
  <c r="BZ36" i="23"/>
  <c r="CA36" i="23" s="1"/>
  <c r="CC38" i="23"/>
  <c r="BS38" i="23" s="1"/>
  <c r="CC39" i="23"/>
  <c r="BS39" i="23" s="1"/>
  <c r="BL37" i="23"/>
  <c r="CK74" i="16" s="1"/>
  <c r="CC37" i="23"/>
  <c r="BS37" i="23" s="1"/>
  <c r="BX35" i="23"/>
  <c r="BW35" i="23" s="1"/>
  <c r="BZ35" i="23"/>
  <c r="CA35" i="23" s="1"/>
  <c r="BQ34" i="23"/>
  <c r="CV47" i="18"/>
  <c r="CV48" i="18" s="1"/>
  <c r="CV49" i="18" s="1"/>
  <c r="AX94" i="18" s="1"/>
  <c r="BM36" i="23" l="1"/>
  <c r="BR36" i="23" s="1"/>
  <c r="BL36" i="23" s="1"/>
  <c r="CK78" i="16" s="1"/>
  <c r="BZ34" i="23"/>
  <c r="CA34" i="23" s="1"/>
  <c r="BX34" i="23"/>
  <c r="BW34" i="23" s="1"/>
  <c r="BQ33" i="23"/>
  <c r="BM35" i="23"/>
  <c r="BR35" i="23" s="1"/>
  <c r="BV35" i="23"/>
  <c r="CC36" i="23" l="1"/>
  <c r="BS36" i="23" s="1"/>
  <c r="BZ33" i="23"/>
  <c r="CA33" i="23" s="1"/>
  <c r="BQ32" i="23"/>
  <c r="BX33" i="23"/>
  <c r="BW33" i="23" s="1"/>
  <c r="BV34" i="23"/>
  <c r="BM34" i="23"/>
  <c r="BR34" i="23" s="1"/>
  <c r="BL35" i="23"/>
  <c r="CK82" i="16" s="1"/>
  <c r="CC35" i="23"/>
  <c r="BS35" i="23" s="1"/>
  <c r="BQ31" i="23" l="1"/>
  <c r="BZ32" i="23"/>
  <c r="CA32" i="23" s="1"/>
  <c r="BX32" i="23"/>
  <c r="BW32" i="23" s="1"/>
  <c r="BM33" i="23"/>
  <c r="BR33" i="23" s="1"/>
  <c r="BV33" i="23"/>
  <c r="BL34" i="23"/>
  <c r="CK86" i="16" s="1"/>
  <c r="CC34" i="23"/>
  <c r="BS34" i="23" s="1"/>
  <c r="BV32" i="23" l="1"/>
  <c r="BM32" i="23"/>
  <c r="BR32" i="23" s="1"/>
  <c r="BL33" i="23"/>
  <c r="CK90" i="16" s="1"/>
  <c r="CC33" i="23"/>
  <c r="BS33" i="23" s="1"/>
  <c r="BZ31" i="23"/>
  <c r="CA31" i="23" s="1"/>
  <c r="BX31" i="23"/>
  <c r="BW31" i="23" s="1"/>
  <c r="BQ30" i="23"/>
  <c r="BX30" i="23" l="1"/>
  <c r="BW30" i="23" s="1"/>
  <c r="BQ29" i="23"/>
  <c r="BZ30" i="23"/>
  <c r="CA30" i="23" s="1"/>
  <c r="BV31" i="23"/>
  <c r="BM31" i="23"/>
  <c r="BR31" i="23" s="1"/>
  <c r="CC32" i="23"/>
  <c r="BS32" i="23" s="1"/>
  <c r="BL32" i="23"/>
  <c r="CK94" i="16" s="1"/>
  <c r="BQ28" i="23" l="1"/>
  <c r="BZ29" i="23"/>
  <c r="CA29" i="23" s="1"/>
  <c r="BX29" i="23"/>
  <c r="BW29" i="23" s="1"/>
  <c r="BL31" i="23"/>
  <c r="CK98" i="16" s="1"/>
  <c r="CC31" i="23"/>
  <c r="BS31" i="23" s="1"/>
  <c r="BM30" i="23"/>
  <c r="BR30" i="23" s="1"/>
  <c r="BV30" i="23"/>
  <c r="BV29" i="23" l="1"/>
  <c r="BM29" i="23"/>
  <c r="BR29" i="23" s="1"/>
  <c r="BL30" i="23"/>
  <c r="CK42" i="20" s="1"/>
  <c r="CC30" i="23"/>
  <c r="BS30" i="23" s="1"/>
  <c r="BZ28" i="23"/>
  <c r="CA28" i="23" s="1"/>
  <c r="BQ27" i="23"/>
  <c r="BX28" i="23"/>
  <c r="BW28" i="23" s="1"/>
  <c r="BM28" i="23" l="1"/>
  <c r="BR28" i="23" s="1"/>
  <c r="BV28" i="23"/>
  <c r="BX27" i="23"/>
  <c r="BW27" i="23" s="1"/>
  <c r="BZ27" i="23"/>
  <c r="CA27" i="23" s="1"/>
  <c r="BQ26" i="23"/>
  <c r="CC29" i="23"/>
  <c r="BS29" i="23" s="1"/>
  <c r="BL29" i="23"/>
  <c r="CK46" i="20" s="1"/>
  <c r="BM27" i="23" l="1"/>
  <c r="BR27" i="23" s="1"/>
  <c r="BV27" i="23"/>
  <c r="BQ25" i="23"/>
  <c r="BZ26" i="23"/>
  <c r="CA26" i="23" s="1"/>
  <c r="BX26" i="23"/>
  <c r="BW26" i="23" s="1"/>
  <c r="BL28" i="23"/>
  <c r="CK50" i="20" s="1"/>
  <c r="CC28" i="23"/>
  <c r="BS28" i="23" s="1"/>
  <c r="BX25" i="23" l="1"/>
  <c r="BW25" i="23" s="1"/>
  <c r="BZ25" i="23"/>
  <c r="CA25" i="23" s="1"/>
  <c r="BQ24" i="23"/>
  <c r="BV26" i="23"/>
  <c r="BM26" i="23"/>
  <c r="BR26" i="23" s="1"/>
  <c r="CC27" i="23"/>
  <c r="BS27" i="23" s="1"/>
  <c r="BL27" i="23"/>
  <c r="CK54" i="20" s="1"/>
  <c r="BX24" i="23" l="1"/>
  <c r="BW24" i="23" s="1"/>
  <c r="BZ24" i="23"/>
  <c r="CA24" i="23" s="1"/>
  <c r="BQ23" i="23"/>
  <c r="CC26" i="23"/>
  <c r="BS26" i="23" s="1"/>
  <c r="BL26" i="23"/>
  <c r="CK58" i="20" s="1"/>
  <c r="BV25" i="23"/>
  <c r="BM25" i="23"/>
  <c r="BR25" i="23" s="1"/>
  <c r="BL25" i="23" l="1"/>
  <c r="CK62" i="20" s="1"/>
  <c r="CC25" i="23"/>
  <c r="BS25" i="23" s="1"/>
  <c r="BZ23" i="23"/>
  <c r="CA23" i="23" s="1"/>
  <c r="BX23" i="23"/>
  <c r="BW23" i="23" s="1"/>
  <c r="BQ22" i="23"/>
  <c r="BV24" i="23"/>
  <c r="BM24" i="23"/>
  <c r="BR24" i="23" s="1"/>
  <c r="BV23" i="23" l="1"/>
  <c r="BM23" i="23"/>
  <c r="BR23" i="23" s="1"/>
  <c r="CC24" i="23"/>
  <c r="BS24" i="23" s="1"/>
  <c r="BL24" i="23"/>
  <c r="CK66" i="20" s="1"/>
  <c r="BZ22" i="23"/>
  <c r="CA22" i="23" s="1"/>
  <c r="BX22" i="23"/>
  <c r="BW22" i="23" s="1"/>
  <c r="BQ21" i="23"/>
  <c r="BX21" i="23" l="1"/>
  <c r="BW21" i="23" s="1"/>
  <c r="BZ21" i="23"/>
  <c r="CA21" i="23" s="1"/>
  <c r="BQ20" i="23"/>
  <c r="BV22" i="23"/>
  <c r="BM22" i="23"/>
  <c r="BR22" i="23" s="1"/>
  <c r="BL23" i="23"/>
  <c r="CK70" i="20" s="1"/>
  <c r="CC23" i="23"/>
  <c r="BS23" i="23" s="1"/>
  <c r="BZ20" i="23" l="1"/>
  <c r="CA20" i="23" s="1"/>
  <c r="BX20" i="23"/>
  <c r="BW20" i="23" s="1"/>
  <c r="BQ19" i="23"/>
  <c r="CC22" i="23"/>
  <c r="BS22" i="23" s="1"/>
  <c r="BL22" i="23"/>
  <c r="CK74" i="20" s="1"/>
  <c r="BM21" i="23"/>
  <c r="BR21" i="23" s="1"/>
  <c r="BV21" i="23"/>
  <c r="BQ18" i="23" l="1"/>
  <c r="BZ19" i="23"/>
  <c r="CA19" i="23" s="1"/>
  <c r="BX19" i="23"/>
  <c r="BW19" i="23" s="1"/>
  <c r="BM20" i="23"/>
  <c r="BR20" i="23" s="1"/>
  <c r="BV20" i="23"/>
  <c r="BL21" i="23"/>
  <c r="CK78" i="20" s="1"/>
  <c r="CC21" i="23"/>
  <c r="BS21" i="23" s="1"/>
  <c r="BL20" i="23" l="1"/>
  <c r="CK82" i="20" s="1"/>
  <c r="CC20" i="23"/>
  <c r="BS20" i="23" s="1"/>
  <c r="BV19" i="23"/>
  <c r="BM19" i="23"/>
  <c r="BR19" i="23" s="1"/>
  <c r="BQ17" i="23"/>
  <c r="BZ18" i="23"/>
  <c r="CA18" i="23" s="1"/>
  <c r="BX18" i="23"/>
  <c r="BW18" i="23" s="1"/>
  <c r="BL19" i="23" l="1"/>
  <c r="CK86" i="20" s="1"/>
  <c r="CC19" i="23"/>
  <c r="BS19" i="23" s="1"/>
  <c r="BV18" i="23"/>
  <c r="BM18" i="23"/>
  <c r="BR18" i="23" s="1"/>
  <c r="BZ17" i="23"/>
  <c r="CA17" i="23" s="1"/>
  <c r="BX17" i="23"/>
  <c r="BW17" i="23" s="1"/>
  <c r="BQ16" i="23"/>
  <c r="BM17" i="23" l="1"/>
  <c r="BR17" i="23" s="1"/>
  <c r="BV17" i="23"/>
  <c r="CC18" i="23"/>
  <c r="BS18" i="23" s="1"/>
  <c r="BL18" i="23"/>
  <c r="CK90" i="20" s="1"/>
  <c r="BX16" i="23"/>
  <c r="BW16" i="23" s="1"/>
  <c r="BZ16" i="23"/>
  <c r="CA16" i="23" s="1"/>
  <c r="BM16" i="23" l="1"/>
  <c r="BR16" i="23" s="1"/>
  <c r="BV16" i="23"/>
  <c r="BL17" i="23"/>
  <c r="CK94" i="20" s="1"/>
  <c r="CC17" i="23"/>
  <c r="BS17" i="23" s="1"/>
  <c r="BL16" i="23" l="1"/>
  <c r="CK98" i="20" s="1"/>
  <c r="CC16" i="23"/>
  <c r="BS16" i="2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Castellanos, Juan</author>
  </authors>
  <commentList>
    <comment ref="A32" authorId="0" shapeId="0" xr:uid="{00000000-0006-0000-0000-000001000000}">
      <text>
        <r>
          <rPr>
            <sz val="9"/>
            <color indexed="81"/>
            <rFont val="Tahoma"/>
            <family val="2"/>
          </rPr>
          <t xml:space="preserve">There is a hint or a instruction here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family</author>
    <author>Robert Anthony Hipworth</author>
  </authors>
  <commentList>
    <comment ref="AW9" authorId="0" shapeId="0" xr:uid="{00000000-0006-0000-0D00-000001000000}">
      <text>
        <r>
          <rPr>
            <b/>
            <sz val="9"/>
            <color indexed="81"/>
            <rFont val="Tahoma"/>
            <family val="2"/>
          </rPr>
          <t xml:space="preserve">
Elevation (ft) "Y-2" axis:
</t>
        </r>
        <r>
          <rPr>
            <sz val="9"/>
            <color indexed="81"/>
            <rFont val="Tahoma"/>
            <family val="2"/>
          </rPr>
          <t>Bottom Elev = REF Elev - (avg bottom tag depth)</t>
        </r>
        <r>
          <rPr>
            <b/>
            <sz val="9"/>
            <color indexed="81"/>
            <rFont val="Tahoma"/>
            <family val="2"/>
          </rPr>
          <t xml:space="preserve">
</t>
        </r>
        <r>
          <rPr>
            <sz val="9"/>
            <color indexed="81"/>
            <rFont val="Tahoma"/>
            <family val="2"/>
          </rPr>
          <t xml:space="preserve">In Excel, to automatically calculate and apply all of the Elev (ft) Y-2 axis unit labels (axis on right side of graph), corresponding to current Depth (ft) Y-1 axis values, just input the Bottom EL here.
If Bottom Elev. is input on the Pg. 1 tab of this form, the drop-down list in this cell will include it for selection and input.
If the Bottom EL is unknown, and this input cell is left blank, all Elev (ft) Y-2 axis values will be left blank -  this would typically be the case when printing a Concreting Curve log sheet for later field use.
If the Bottom Elev. was not input, after the installation is complete, the inspector would have the option of inputting the Bottom EL on the form here to print a refined graph sheet.  The Theor. &amp; Actual curve (X, Y) points could then be hand re-plotted to produce a more complete final log.
</t>
        </r>
      </text>
    </comment>
    <comment ref="AR87" authorId="1" shapeId="0" xr:uid="{00000000-0006-0000-0D00-000002000000}">
      <text>
        <r>
          <rPr>
            <sz val="9"/>
            <color indexed="81"/>
            <rFont val="Tahoma"/>
            <family val="2"/>
          </rPr>
          <t xml:space="preserve">
</t>
        </r>
        <r>
          <rPr>
            <b/>
            <sz val="9"/>
            <color indexed="81"/>
            <rFont val="Tahoma"/>
            <family val="2"/>
          </rPr>
          <t>Custom Input of X (cy) &amp; Y (ft) axis MAX value:</t>
        </r>
        <r>
          <rPr>
            <sz val="9"/>
            <color indexed="81"/>
            <rFont val="Tahoma"/>
            <family val="2"/>
          </rPr>
          <t xml:space="preserve">
In Excel, prior to printing a blank Concreteing Curve log field sheet, or sheets, select a maximum axis value for the concrete Volume X (cy) and the Depth Y (ft) chart axis ranges adequate for the anticipated shaft placement.  Select the value from each drop-down lists to best-fit your graphing range needs.  Typically, the axis range needs to be sized to plan geometry, with some extra Depth &amp; Volume capacity added to accommodate the possibility of having to graph extra drilling Depth and concrete Volume (ex. Overpour "OP"). 
The drop-down values provided on the X &amp; Y axis lists are limited to apply minor unit increments on the sheet axis that are more easily used and reviewed.
For example, using the drop-down MAX values provided, for either X cy or Y ft, results in minor unit increments of:  0.1, 0.2, 0.3, 0.4, 0.5, 0.6, 0.7, 0.8, 0.9, 1.0, 1.5. 2.0, 2.5, etc. - cy or ft.
Some minor increments may be easier to use when hand plotting field data.  For example, the minor unit increments of:  0.1, 0.2, 0.5 and 1.0 are easiest to work with.  These are applied when specific drop-down X or Y MAX values are applied.  For example, for X cy use MAX values of 5, 10, 25 &amp; 50 cy, and for Y ft use 7, 14, 35 &amp; 70 ft. 
If the drop-down X &amp; Y axis MAX values provided don't meet your needs, you can just leave cell AX88 and/or cell BE88 blank.  If this is done, no axis units will be Excel-applied, and you can then print the Field Sheet and apply your preferred X and/or Y units to meet your field inspection and graphing needs. 
     </t>
        </r>
      </text>
    </comment>
    <comment ref="AF94" authorId="1" shapeId="0" xr:uid="{00000000-0006-0000-0D00-000003000000}">
      <text>
        <r>
          <rPr>
            <sz val="9"/>
            <color indexed="81"/>
            <rFont val="Tahoma"/>
            <family val="2"/>
          </rPr>
          <t>Suggested Drop-down value to select and apply for:
X</t>
        </r>
        <r>
          <rPr>
            <vertAlign val="subscript"/>
            <sz val="9"/>
            <color indexed="81"/>
            <rFont val="Tahoma"/>
            <family val="2"/>
          </rPr>
          <t>max</t>
        </r>
        <r>
          <rPr>
            <sz val="9"/>
            <color indexed="81"/>
            <rFont val="Tahoma"/>
            <family val="2"/>
          </rPr>
          <t xml:space="preserve"> (cell AX88) &amp; Y</t>
        </r>
        <r>
          <rPr>
            <vertAlign val="subscript"/>
            <sz val="9"/>
            <color indexed="81"/>
            <rFont val="Tahoma"/>
            <family val="2"/>
          </rPr>
          <t>max</t>
        </r>
        <r>
          <rPr>
            <sz val="9"/>
            <color indexed="81"/>
            <rFont val="Tahoma"/>
            <family val="2"/>
          </rPr>
          <t xml:space="preserve"> (cell BE88)
Sheet Theor. Volume (X cy) and Length (Y ft)
(calculated from Pg. 1 data input)  +
10% added to each:  (1.1X and 1.1Y) to provide additional graph space to accomodate potential Over Pour (OP) volume and/or Over Drill length.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Castellanos, Juan</author>
  </authors>
  <commentList>
    <comment ref="F17" authorId="0" shapeId="0" xr:uid="{C1E74284-0404-4086-9812-D09A2707CEB4}">
      <text>
        <r>
          <rPr>
            <b/>
            <sz val="9"/>
            <color indexed="81"/>
            <rFont val="Tahoma"/>
            <family val="2"/>
          </rPr>
          <t>See illustration at the right side, outside the printable view.</t>
        </r>
      </text>
    </comment>
    <comment ref="F22" authorId="0" shapeId="0" xr:uid="{1854093C-D97B-4135-BA6E-873EBA8C678C}">
      <text>
        <r>
          <rPr>
            <b/>
            <sz val="9"/>
            <color indexed="81"/>
            <rFont val="Tahoma"/>
            <family val="2"/>
          </rPr>
          <t>See illustration at the right side, outside the printable view.</t>
        </r>
      </text>
    </comment>
    <comment ref="F27" authorId="0" shapeId="0" xr:uid="{F043097D-F744-477C-8715-6CB4165FB449}">
      <text>
        <r>
          <rPr>
            <b/>
            <sz val="9"/>
            <color indexed="81"/>
            <rFont val="Tahoma"/>
            <family val="2"/>
          </rPr>
          <t>See illustration at the right side, outside the printable view.</t>
        </r>
      </text>
    </comment>
    <comment ref="C30" authorId="0" shapeId="0" xr:uid="{00000000-0006-0000-0F00-000001000000}">
      <text>
        <r>
          <rPr>
            <b/>
            <sz val="9"/>
            <color indexed="81"/>
            <rFont val="Tahoma"/>
            <family val="2"/>
          </rPr>
          <t xml:space="preserve">Compute grout used per tube based on the bags used per tube. See example at the right side
</t>
        </r>
        <r>
          <rPr>
            <sz val="9"/>
            <color indexed="81"/>
            <rFont val="Tahoma"/>
            <family val="2"/>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Castellanos, Juan</author>
  </authors>
  <commentList>
    <comment ref="I20" authorId="0" shapeId="0" xr:uid="{79269646-2650-4D0E-8D27-D79545458F0A}">
      <text>
        <r>
          <rPr>
            <b/>
            <sz val="9"/>
            <color indexed="81"/>
            <rFont val="Tahoma"/>
            <family val="2"/>
          </rPr>
          <t>This value is to be entered on cell BO106 on Concr. Pg1</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Castellanos, Juan</author>
  </authors>
  <commentList>
    <comment ref="B11" authorId="0" shapeId="0" xr:uid="{00000000-0006-0000-0100-000001000000}">
      <text>
        <r>
          <rPr>
            <b/>
            <sz val="16"/>
            <color indexed="81"/>
            <rFont val="Tahoma"/>
            <family val="2"/>
          </rPr>
          <t>Name of the approver (PA, or Senior Engineer, or Permit Manager) to be entered  in this field.  Then the approver shall digitally sign and date on the pdf version of this page.</t>
        </r>
      </text>
    </comment>
    <comment ref="Q16" authorId="0" shapeId="0" xr:uid="{00000000-0006-0000-0100-000002000000}">
      <text>
        <r>
          <rPr>
            <b/>
            <sz val="12"/>
            <color indexed="81"/>
            <rFont val="Tahoma"/>
            <family val="2"/>
          </rPr>
          <t>Enter Dates of Casing Installation, dates of excavation, and  the date of pouring</t>
        </r>
        <r>
          <rPr>
            <sz val="9"/>
            <color indexed="81"/>
            <rFont val="Tahoma"/>
            <family val="2"/>
          </rPr>
          <t xml:space="preserve">
</t>
        </r>
      </text>
    </comment>
    <comment ref="C17" authorId="0" shapeId="0" xr:uid="{00000000-0006-0000-0100-000003000000}">
      <text>
        <r>
          <rPr>
            <b/>
            <sz val="14"/>
            <color indexed="81"/>
            <rFont val="Tahoma"/>
            <family val="2"/>
          </rPr>
          <t>SEE  CASING 
ILLUSTRATION  RIGHT SIDE OF FORM</t>
        </r>
      </text>
    </comment>
    <comment ref="H17" authorId="0" shapeId="0" xr:uid="{00000000-0006-0000-0100-000004000000}">
      <text>
        <r>
          <rPr>
            <b/>
            <sz val="14"/>
            <color indexed="81"/>
            <rFont val="Tahoma"/>
            <family val="2"/>
          </rPr>
          <t xml:space="preserve">SEE CASING ILLUSTRATION 
RIGHT SIDE. </t>
        </r>
      </text>
    </comment>
    <comment ref="B19" authorId="0" shapeId="0" xr:uid="{00000000-0006-0000-0100-000005000000}">
      <text>
        <r>
          <rPr>
            <b/>
            <sz val="18"/>
            <color indexed="81"/>
            <rFont val="Tahoma"/>
            <family val="2"/>
          </rPr>
          <t>Type is either Temporary or Permanent.</t>
        </r>
        <r>
          <rPr>
            <b/>
            <sz val="9"/>
            <color indexed="81"/>
            <rFont val="Tahoma"/>
            <family val="2"/>
          </rPr>
          <t xml:space="preserve">
</t>
        </r>
      </text>
    </comment>
    <comment ref="J20" authorId="0" shapeId="0" xr:uid="{00000000-0006-0000-0100-000006000000}">
      <text>
        <r>
          <rPr>
            <b/>
            <sz val="9"/>
            <color indexed="81"/>
            <rFont val="Tahoma"/>
            <family val="2"/>
          </rPr>
          <t>IF LESS THAN 5 SECTIONS USED LEAVE THIS  SECTION BLANK</t>
        </r>
      </text>
    </comment>
    <comment ref="K20" authorId="0" shapeId="0" xr:uid="{00000000-0006-0000-0100-000007000000}">
      <text>
        <r>
          <rPr>
            <b/>
            <sz val="9"/>
            <color indexed="81"/>
            <rFont val="Tahoma"/>
            <family val="2"/>
          </rPr>
          <t>IF LESS THAN 4 SECTIONS USED LEAVE THIS  SECTION BLANK</t>
        </r>
        <r>
          <rPr>
            <sz val="9"/>
            <color indexed="81"/>
            <rFont val="Tahoma"/>
            <family val="2"/>
          </rPr>
          <t xml:space="preserve">
</t>
        </r>
      </text>
    </comment>
    <comment ref="M20" authorId="0" shapeId="0" xr:uid="{00000000-0006-0000-0100-000008000000}">
      <text>
        <r>
          <rPr>
            <b/>
            <sz val="9"/>
            <color indexed="81"/>
            <rFont val="Tahoma"/>
            <family val="2"/>
          </rPr>
          <t>IF LESS THAN 3 SECTIONS USED LEAVE THIS  SECTION BLANK</t>
        </r>
        <r>
          <rPr>
            <sz val="9"/>
            <color indexed="81"/>
            <rFont val="Tahoma"/>
            <family val="2"/>
          </rPr>
          <t xml:space="preserve">
</t>
        </r>
      </text>
    </comment>
    <comment ref="N20" authorId="0" shapeId="0" xr:uid="{00000000-0006-0000-0100-000009000000}">
      <text>
        <r>
          <rPr>
            <b/>
            <sz val="9"/>
            <color indexed="81"/>
            <rFont val="Tahoma"/>
            <family val="2"/>
          </rPr>
          <t>IF LESS THAN 3 SECTIONS USED LEAVE THIS  SECTION BLANK</t>
        </r>
      </text>
    </comment>
    <comment ref="O20" authorId="0" shapeId="0" xr:uid="{00000000-0006-0000-0100-00000A000000}">
      <text>
        <r>
          <rPr>
            <b/>
            <sz val="9"/>
            <color indexed="81"/>
            <rFont val="Tahoma"/>
            <family val="2"/>
          </rPr>
          <t>IF ONLY ONE CASING IS USED INPUT DATA HERE.  LEAVE THE REST OF THE SECTIONS  BLANK</t>
        </r>
      </text>
    </comment>
    <comment ref="Q23" authorId="0" shapeId="0" xr:uid="{00000000-0006-0000-0100-00000B000000}">
      <text>
        <r>
          <rPr>
            <b/>
            <sz val="12"/>
            <color indexed="81"/>
            <rFont val="Tahoma"/>
            <family val="2"/>
          </rPr>
          <t>Enter initial reference elevation and the location of the reference. Indicate groudn elevation, water table and shaft top elevations (per plan and as-built).</t>
        </r>
      </text>
    </comment>
    <comment ref="B28" authorId="0" shapeId="0" xr:uid="{00000000-0006-0000-0100-00000C000000}">
      <text>
        <r>
          <rPr>
            <b/>
            <sz val="16"/>
            <color indexed="81"/>
            <rFont val="Tahoma"/>
            <family val="2"/>
          </rPr>
          <t>Leaving blank gaps in this column will create #### in the elevations column.  This will be fixed by either entering the depth or entering the ref elevation</t>
        </r>
        <r>
          <rPr>
            <sz val="9"/>
            <color indexed="81"/>
            <rFont val="Tahoma"/>
            <family val="2"/>
          </rPr>
          <t xml:space="preserve">
</t>
        </r>
      </text>
    </comment>
    <comment ref="E28" authorId="0" shapeId="0" xr:uid="{00000000-0006-0000-0100-00000D000000}">
      <text>
        <r>
          <rPr>
            <b/>
            <sz val="14"/>
            <color indexed="81"/>
            <rFont val="Tahoma"/>
            <family val="2"/>
          </rPr>
          <t>Leaving blank gaps in the Depth column or Ref El column will create #### in this column.  This will be fixed by either entering the depth or entering the ref elevation</t>
        </r>
      </text>
    </comment>
    <comment ref="F28" authorId="0" shapeId="0" xr:uid="{00000000-0006-0000-0100-00000E000000}">
      <text>
        <r>
          <rPr>
            <b/>
            <sz val="11"/>
            <color indexed="81"/>
            <rFont val="Tahoma"/>
            <family val="2"/>
          </rPr>
          <t>IT COPIES THE  REFERENCE ELEVATION FROM THE PREVIOUS LINE. IF IT CHANGES INPUT THE NEW  ELEVATIONELEVATION.
NOTE THAT THE EQUATION WILL BE DELETED FOR THAT PARTICULAR LINE</t>
        </r>
      </text>
    </comment>
    <comment ref="G28" authorId="0" shapeId="0" xr:uid="{00000000-0006-0000-0100-00000F000000}">
      <text>
        <r>
          <rPr>
            <b/>
            <sz val="11"/>
            <color indexed="81"/>
            <rFont val="Tahoma"/>
            <family val="2"/>
          </rPr>
          <t>OPTIONAL INPUT.  IF DESIRED , CREATE  THE SOIL DESCRIPTION TABLE BELOW AND ENTER CODES IN THIS COLUMN</t>
        </r>
      </text>
    </comment>
    <comment ref="H28" authorId="0" shapeId="0" xr:uid="{00000000-0006-0000-0100-000010000000}">
      <text>
        <r>
          <rPr>
            <b/>
            <sz val="11"/>
            <color indexed="81"/>
            <rFont val="Tahoma"/>
            <family val="2"/>
          </rPr>
          <t>DESCRIBE THE SOIL. IF CODES ARE ENTERED IN THE PREVIOUS COLUMN,  SOIL DESCRIPTION WILL BE  AUTOMATICALLYGENERATED.  IF SOIL DOES NOT FIT ANY OF THE CODES FROM THE CUSTOM MADE TABLE, ENTER THE DESCRIPTION.</t>
        </r>
      </text>
    </comment>
    <comment ref="V32" authorId="0" shapeId="0" xr:uid="{00000000-0006-0000-0100-000011000000}">
      <text>
        <r>
          <rPr>
            <sz val="16"/>
            <color indexed="81"/>
            <rFont val="Tahoma"/>
            <family val="2"/>
          </rPr>
          <t>If the as built shaft top elevation is not input, the constructed shaft length will not be displayed in cell T43</t>
        </r>
      </text>
    </comment>
    <comment ref="Q35" authorId="0" shapeId="0" xr:uid="{00000000-0006-0000-0100-000012000000}">
      <text>
        <r>
          <rPr>
            <b/>
            <sz val="12"/>
            <color indexed="81"/>
            <rFont val="Tahoma"/>
            <family val="2"/>
          </rPr>
          <t>Enter auger diameter in inches.  Enter also rock socket diameter, rock socket length achieved, and actual shaft diameters.  Indicate whether the shaft was overreamed.</t>
        </r>
      </text>
    </comment>
    <comment ref="V43" authorId="0" shapeId="0" xr:uid="{00000000-0006-0000-0100-000013000000}">
      <text>
        <r>
          <rPr>
            <sz val="16"/>
            <color indexed="81"/>
            <rFont val="Tahoma"/>
            <family val="2"/>
          </rPr>
          <t>If the actual shaft top elevation is not input (cell T32), the constructed shaft length will not be displayed.</t>
        </r>
      </text>
    </comment>
    <comment ref="Q45" authorId="0" shapeId="0" xr:uid="{00000000-0006-0000-0100-000014000000}">
      <text>
        <r>
          <rPr>
            <b/>
            <sz val="14"/>
            <color indexed="81"/>
            <rFont val="Tahoma"/>
            <family val="2"/>
          </rPr>
          <t>No input needed. This information is brought from the concrete pages.</t>
        </r>
      </text>
    </comment>
    <comment ref="O69" authorId="0" shapeId="0" xr:uid="{00000000-0006-0000-0100-000015000000}">
      <text>
        <r>
          <rPr>
            <b/>
            <sz val="11"/>
            <color indexed="81"/>
            <rFont val="Tahoma"/>
            <family val="2"/>
          </rPr>
          <t>OPTIONAL INPUT FOR AUTOMATIC SOIL/ROCK DESCRIPTIONS ABOVE</t>
        </r>
      </text>
    </comment>
    <comment ref="Q69" authorId="0" shapeId="0" xr:uid="{00000000-0006-0000-0100-000016000000}">
      <text>
        <r>
          <rPr>
            <b/>
            <sz val="11"/>
            <color indexed="81"/>
            <rFont val="Tahoma"/>
            <family val="2"/>
          </rPr>
          <t>OPTIONAL INPUT FOR SOIL/ROCK DESCRIPTIONS ABOVE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Castellanos, Juan</author>
  </authors>
  <commentList>
    <comment ref="N7" authorId="0" shapeId="0" xr:uid="{00000000-0006-0000-0200-000001000000}">
      <text>
        <r>
          <rPr>
            <b/>
            <sz val="12"/>
            <color indexed="81"/>
            <rFont val="Tahoma"/>
            <family val="2"/>
          </rPr>
          <t>Document here whether the reinforcement details were checked. However, prior to check the items here the rein.&amp;spacers sheet data must be completed.</t>
        </r>
        <r>
          <rPr>
            <sz val="12"/>
            <color indexed="81"/>
            <rFont val="Tahoma"/>
            <family val="2"/>
          </rPr>
          <t xml:space="preserve">
</t>
        </r>
      </text>
    </comment>
    <comment ref="F9" authorId="0" shapeId="0" xr:uid="{00000000-0006-0000-0200-000002000000}">
      <text>
        <r>
          <rPr>
            <b/>
            <sz val="9"/>
            <color indexed="81"/>
            <rFont val="Tahoma"/>
            <family val="2"/>
          </rPr>
          <t>Castellanos, Juan:</t>
        </r>
        <r>
          <rPr>
            <sz val="9"/>
            <color indexed="81"/>
            <rFont val="Tahoma"/>
            <family val="2"/>
          </rPr>
          <t xml:space="preserve">
</t>
        </r>
        <r>
          <rPr>
            <sz val="11"/>
            <color indexed="81"/>
            <rFont val="Tahoma"/>
            <family val="2"/>
          </rPr>
          <t>INPUT REFERENCE ELEVATION</t>
        </r>
      </text>
    </comment>
    <comment ref="N15" authorId="0" shapeId="0" xr:uid="{00000000-0006-0000-0200-000003000000}">
      <text>
        <r>
          <rPr>
            <b/>
            <sz val="12"/>
            <color indexed="81"/>
            <rFont val="Tahoma"/>
            <family val="2"/>
          </rPr>
          <t>Indicate what tools were used in the clean out operation.</t>
        </r>
        <r>
          <rPr>
            <sz val="9"/>
            <color indexed="81"/>
            <rFont val="Tahoma"/>
            <family val="2"/>
          </rPr>
          <t xml:space="preserve">
</t>
        </r>
      </text>
    </comment>
    <comment ref="N21" authorId="0" shapeId="0" xr:uid="{00000000-0006-0000-0200-000004000000}">
      <text>
        <r>
          <rPr>
            <b/>
            <sz val="12"/>
            <color indexed="81"/>
            <rFont val="Tahoma"/>
            <family val="2"/>
          </rPr>
          <t>Enter date and time of the clean out operation</t>
        </r>
        <r>
          <rPr>
            <sz val="9"/>
            <color indexed="81"/>
            <rFont val="Tahoma"/>
            <family val="2"/>
          </rPr>
          <t xml:space="preserve">
</t>
        </r>
      </text>
    </comment>
    <comment ref="N24" authorId="0" shapeId="0" xr:uid="{00000000-0006-0000-0200-000005000000}">
      <text>
        <r>
          <rPr>
            <b/>
            <sz val="12"/>
            <color indexed="81"/>
            <rFont val="Tahoma"/>
            <family val="2"/>
          </rPr>
          <t>Indicate the method used to perform the bottom cleanliness inspection</t>
        </r>
        <r>
          <rPr>
            <sz val="9"/>
            <color indexed="81"/>
            <rFont val="Tahoma"/>
            <family val="2"/>
          </rPr>
          <t xml:space="preserve">
</t>
        </r>
      </text>
    </comment>
    <comment ref="X27" authorId="0" shapeId="0" xr:uid="{00000000-0006-0000-0200-000006000000}">
      <text>
        <r>
          <rPr>
            <b/>
            <sz val="12"/>
            <color indexed="81"/>
            <rFont val="Tahoma"/>
            <family val="2"/>
          </rPr>
          <t>Enter the reference elevationin ft, that wouold be used to compute the final tip elevation. Purple font indicates this input does not match TOC el. Casing 2 from page 1</t>
        </r>
      </text>
    </comment>
    <comment ref="N35" authorId="0" shapeId="0" xr:uid="{00000000-0006-0000-0200-000007000000}">
      <text>
        <r>
          <rPr>
            <sz val="9"/>
            <color indexed="81"/>
            <rFont val="Tahoma"/>
            <family val="2"/>
          </rPr>
          <t xml:space="preserve">
</t>
        </r>
        <r>
          <rPr>
            <b/>
            <sz val="11"/>
            <color indexed="81"/>
            <rFont val="Tahoma"/>
            <family val="2"/>
          </rPr>
          <t>IN EVERY SOUNDING LOCATION INPUT AS FOLLOWS: 
1. ABOVE THE LINE THE DEPTH BELOW REFERENCE
2. BELOW THE LINE THE THICKNESS OF THE SEDIMENTS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Castellanos, Juan</author>
  </authors>
  <commentList>
    <comment ref="AF17" authorId="0" shapeId="0" xr:uid="{2D65C454-0AF1-47E4-A509-B288D4F301F5}">
      <text>
        <r>
          <rPr>
            <b/>
            <sz val="9"/>
            <color indexed="81"/>
            <rFont val="Tahoma"/>
            <family val="2"/>
          </rPr>
          <t>Enter Ref. El. Used for the sample depths. Purple font indicates this input does not match the TOC elevation from Page 1</t>
        </r>
        <r>
          <rPr>
            <sz val="9"/>
            <color indexed="81"/>
            <rFont val="Tahoma"/>
            <family val="2"/>
          </rPr>
          <t xml:space="preserve">
</t>
        </r>
      </text>
    </comment>
    <comment ref="G18" authorId="0" shapeId="0" xr:uid="{85B1F748-52AB-43BA-9912-9AC552BD7492}">
      <text>
        <r>
          <rPr>
            <b/>
            <sz val="9"/>
            <color indexed="81"/>
            <rFont val="Tahoma"/>
            <family val="2"/>
          </rPr>
          <t xml:space="preserve">Must enter a value.
Y for fresh water
N for salt water
</t>
        </r>
      </text>
    </comment>
    <comment ref="N20" authorId="0" shapeId="0" xr:uid="{F99EA684-19B0-4F04-A63A-86FFF168941A}">
      <text>
        <r>
          <rPr>
            <b/>
            <sz val="9"/>
            <color indexed="81"/>
            <rFont val="Tahoma"/>
            <family val="2"/>
          </rPr>
          <t>For polymers,  enter the lower limit recommended by the manufacturer.</t>
        </r>
        <r>
          <rPr>
            <sz val="9"/>
            <color indexed="81"/>
            <rFont val="Tahoma"/>
            <family val="2"/>
          </rPr>
          <t xml:space="preserve">
</t>
        </r>
      </text>
    </comment>
    <comment ref="P20" authorId="0" shapeId="0" xr:uid="{DC31508B-52EA-44FD-A7C2-0BF90A95DAA7}">
      <text>
        <r>
          <rPr>
            <b/>
            <sz val="9"/>
            <color indexed="81"/>
            <rFont val="Tahoma"/>
            <family val="2"/>
          </rPr>
          <t>For polymers,  enter the lupper limit recommended by the manufacturer.</t>
        </r>
      </text>
    </comment>
    <comment ref="AA20" authorId="0" shapeId="0" xr:uid="{B350DF3C-5415-4AA6-921E-B5CA6BE7A772}">
      <text>
        <r>
          <rPr>
            <b/>
            <sz val="9"/>
            <color indexed="81"/>
            <rFont val="Tahoma"/>
            <family val="2"/>
          </rPr>
          <t>For polymers,  enter the upper limit accepted by FDOT</t>
        </r>
      </text>
    </comment>
    <comment ref="E22" authorId="0" shapeId="0" xr:uid="{D3B6A31A-DB05-4E8B-B094-073257588FD6}">
      <text>
        <r>
          <rPr>
            <b/>
            <sz val="9"/>
            <color indexed="81"/>
            <rFont val="Tahoma"/>
            <family val="2"/>
          </rPr>
          <t xml:space="preserve">Enter here the results of the tests performed by the contractor at the initial pre-mixed (tank) condition and the test results on fluid samples from the excavation. If lines here are not enough, document additional testing in the "Opt Fluid-Slurry" sheet.
</t>
        </r>
      </text>
    </comment>
    <comment ref="E46" authorId="0" shapeId="0" xr:uid="{CC38A0DD-DB0F-4E1B-871B-879872551D95}">
      <text>
        <r>
          <rPr>
            <b/>
            <sz val="9"/>
            <color indexed="81"/>
            <rFont val="Tahoma"/>
            <family val="2"/>
          </rPr>
          <t>Enter results of fluid and slurry testing (for any fluid used: mineral, polymer, water, natural) just prior to placing concrete</t>
        </r>
        <r>
          <rPr>
            <sz val="9"/>
            <color indexed="81"/>
            <rFont val="Tahoma"/>
            <family val="2"/>
          </rPr>
          <t xml:space="preserve">
</t>
        </r>
      </text>
    </comment>
    <comment ref="AF49" authorId="0" shapeId="0" xr:uid="{4B01322D-FFD3-479C-B1A0-79588E0EA9DC}">
      <text>
        <r>
          <rPr>
            <b/>
            <sz val="9"/>
            <color indexed="81"/>
            <rFont val="Tahoma"/>
            <family val="2"/>
          </rPr>
          <t>Enter Ref. El. Used for the sample depths. Purple font indicates this input does not match the TOC elevation from Page 1</t>
        </r>
        <r>
          <rPr>
            <sz val="9"/>
            <color indexed="81"/>
            <rFont val="Tahoma"/>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Castellanos, Juan</author>
  </authors>
  <commentList>
    <comment ref="AF17" authorId="0" shapeId="0" xr:uid="{E3D546F2-0AFA-4555-9E29-B22ED74EE7BC}">
      <text>
        <r>
          <rPr>
            <b/>
            <sz val="9"/>
            <color indexed="81"/>
            <rFont val="Tahoma"/>
            <family val="2"/>
          </rPr>
          <t>Enter Ref. El. Used for the sample depths. Purple font indicates this input does not match the TOC elevation from Page 1</t>
        </r>
        <r>
          <rPr>
            <sz val="9"/>
            <color indexed="81"/>
            <rFont val="Tahoma"/>
            <family val="2"/>
          </rPr>
          <t xml:space="preserve">
</t>
        </r>
      </text>
    </comment>
    <comment ref="G18" authorId="0" shapeId="0" xr:uid="{978D7706-44DC-45F3-8DFB-9FBD00EE4465}">
      <text>
        <r>
          <rPr>
            <b/>
            <sz val="9"/>
            <color indexed="81"/>
            <rFont val="Tahoma"/>
            <family val="2"/>
          </rPr>
          <t xml:space="preserve">Must enter a value.
Y for fresh water
N for salt water
</t>
        </r>
      </text>
    </comment>
    <comment ref="N20" authorId="0" shapeId="0" xr:uid="{79278262-CE3F-4317-A47F-811D4F0A1CA1}">
      <text>
        <r>
          <rPr>
            <b/>
            <sz val="9"/>
            <color indexed="81"/>
            <rFont val="Tahoma"/>
            <family val="2"/>
          </rPr>
          <t>For polymers,  enter the lower limit recommended by the manufacturer.</t>
        </r>
        <r>
          <rPr>
            <sz val="9"/>
            <color indexed="81"/>
            <rFont val="Tahoma"/>
            <family val="2"/>
          </rPr>
          <t xml:space="preserve">
</t>
        </r>
      </text>
    </comment>
    <comment ref="P20" authorId="0" shapeId="0" xr:uid="{C36F8864-F3D8-4CF9-9DB2-6BB23C28EDD8}">
      <text>
        <r>
          <rPr>
            <b/>
            <sz val="9"/>
            <color indexed="81"/>
            <rFont val="Tahoma"/>
            <family val="2"/>
          </rPr>
          <t>For polymers,  enter the lupper limit recommended by the manufacturer.</t>
        </r>
      </text>
    </comment>
    <comment ref="AA20" authorId="0" shapeId="0" xr:uid="{79BDAA3D-FE69-4EE1-92B9-61725FDA862F}">
      <text>
        <r>
          <rPr>
            <b/>
            <sz val="9"/>
            <color indexed="81"/>
            <rFont val="Tahoma"/>
            <family val="2"/>
          </rPr>
          <t>For polymers,  enter the upper limit accepted by FDOT</t>
        </r>
      </text>
    </comment>
    <comment ref="E22" authorId="0" shapeId="0" xr:uid="{72F6B68A-C807-433A-9D3E-084B0BB7EA74}">
      <text>
        <r>
          <rPr>
            <b/>
            <sz val="9"/>
            <color indexed="81"/>
            <rFont val="Tahoma"/>
            <family val="2"/>
          </rPr>
          <t xml:space="preserve">Enter here the results of the tests performed by the contractor at the initial pre-mixed (tank) condition and the test results on fluid samples from the excavation. If lines here are not enough, document additional testing in the "Opt Fluid-Slurry" sheet.
</t>
        </r>
      </text>
    </comment>
    <comment ref="E46" authorId="0" shapeId="0" xr:uid="{2EF8B101-0B3C-415B-9478-82A532D38128}">
      <text>
        <r>
          <rPr>
            <b/>
            <sz val="9"/>
            <color indexed="81"/>
            <rFont val="Tahoma"/>
            <family val="2"/>
          </rPr>
          <t>Enter results of fluid and slurry testing (for any fluid used: mineral, polymer, water, natural) just prior to placing concrete</t>
        </r>
        <r>
          <rPr>
            <sz val="9"/>
            <color indexed="81"/>
            <rFont val="Tahoma"/>
            <family val="2"/>
          </rPr>
          <t xml:space="preserve">
</t>
        </r>
      </text>
    </comment>
    <comment ref="AF49" authorId="0" shapeId="0" xr:uid="{498ECD9B-6D75-4A18-BC34-CB82F021D1D3}">
      <text>
        <r>
          <rPr>
            <b/>
            <sz val="9"/>
            <color indexed="81"/>
            <rFont val="Tahoma"/>
            <family val="2"/>
          </rPr>
          <t>Enter Ref. El. Used for the sample depths. Purple font indicates this input does not match the TOC elevation from Page 1</t>
        </r>
        <r>
          <rPr>
            <sz val="9"/>
            <color indexed="81"/>
            <rFont val="Tahoma"/>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Castellanos, Juan</author>
  </authors>
  <commentList>
    <comment ref="S17" authorId="0" shapeId="0" xr:uid="{00000000-0006-0000-0700-000001000000}">
      <text>
        <r>
          <rPr>
            <b/>
            <sz val="9"/>
            <color indexed="81"/>
            <rFont val="Tahoma"/>
            <family val="2"/>
          </rPr>
          <t>suggested value in parenthesis based on 455-16</t>
        </r>
        <r>
          <rPr>
            <sz val="9"/>
            <color indexed="81"/>
            <rFont val="Tahoma"/>
            <family val="2"/>
          </rPr>
          <t xml:space="preserve">
</t>
        </r>
      </text>
    </comment>
    <comment ref="Q38" authorId="0" shapeId="0" xr:uid="{00000000-0006-0000-0700-000002000000}">
      <text>
        <r>
          <rPr>
            <b/>
            <sz val="9"/>
            <color indexed="81"/>
            <rFont val="Tahoma"/>
            <family val="2"/>
          </rPr>
          <t>Original cage length, as per plans, without including any extensions.</t>
        </r>
        <r>
          <rPr>
            <sz val="9"/>
            <color indexed="81"/>
            <rFont val="Tahoma"/>
            <family val="2"/>
          </rPr>
          <t xml:space="preserve">
</t>
        </r>
      </text>
    </comment>
    <comment ref="AC40" authorId="0" shapeId="0" xr:uid="{00000000-0006-0000-0700-000003000000}">
      <text>
        <r>
          <rPr>
            <b/>
            <sz val="9"/>
            <color indexed="81"/>
            <rFont val="Tahoma"/>
            <family val="2"/>
          </rPr>
          <t xml:space="preserve">suggested number as per 455-16
</t>
        </r>
        <r>
          <rPr>
            <sz val="9"/>
            <color indexed="81"/>
            <rFont val="Tahoma"/>
            <family val="2"/>
          </rPr>
          <t xml:space="preserve">
</t>
        </r>
      </text>
    </comment>
    <comment ref="S44" authorId="0" shapeId="0" xr:uid="{00000000-0006-0000-0700-000004000000}">
      <text>
        <r>
          <rPr>
            <b/>
            <sz val="9"/>
            <color indexed="81"/>
            <rFont val="Tahoma"/>
            <family val="2"/>
          </rPr>
          <t>suggested number in parenthesis from "Est Steel Vol" sheet</t>
        </r>
        <r>
          <rPr>
            <sz val="9"/>
            <color indexed="81"/>
            <rFont val="Tahoma"/>
            <family val="2"/>
          </rPr>
          <t xml:space="preserve">
</t>
        </r>
      </text>
    </comment>
    <comment ref="S45" authorId="0" shapeId="0" xr:uid="{00000000-0006-0000-0700-000005000000}">
      <text>
        <r>
          <rPr>
            <b/>
            <sz val="9"/>
            <color indexed="81"/>
            <rFont val="Tahoma"/>
            <family val="2"/>
          </rPr>
          <t>Enter rebar diameter in inches, up to 3 decimal places.  Bar diameter= Bar#/8</t>
        </r>
        <r>
          <rPr>
            <sz val="9"/>
            <color indexed="81"/>
            <rFont val="Tahoma"/>
            <family val="2"/>
          </rPr>
          <t xml:space="preserve">
</t>
        </r>
      </text>
    </comment>
    <comment ref="S46" authorId="0" shapeId="0" xr:uid="{00000000-0006-0000-0700-000006000000}">
      <text>
        <r>
          <rPr>
            <b/>
            <sz val="9"/>
            <color indexed="81"/>
            <rFont val="Tahoma"/>
            <family val="2"/>
          </rPr>
          <t>Original cage length, as per plans, without including any extensions.</t>
        </r>
        <r>
          <rPr>
            <sz val="9"/>
            <color indexed="81"/>
            <rFont val="Tahoma"/>
            <family val="2"/>
          </rPr>
          <t xml:space="preserve">
</t>
        </r>
      </text>
    </comment>
    <comment ref="S48" authorId="0" shapeId="0" xr:uid="{00000000-0006-0000-0700-000007000000}">
      <text>
        <r>
          <rPr>
            <b/>
            <sz val="9"/>
            <color indexed="81"/>
            <rFont val="Tahoma"/>
            <family val="2"/>
          </rPr>
          <t xml:space="preserve">suggested number in parenthesis from "Est Steel Vol" sheet
</t>
        </r>
        <r>
          <rPr>
            <sz val="9"/>
            <color indexed="81"/>
            <rFont val="Tahoma"/>
            <family val="2"/>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hipworth</author>
    <author>Robert Anthony Hipworth</author>
    <author>Castellanos, Juan</author>
  </authors>
  <commentList>
    <comment ref="DD19" authorId="0" shapeId="0" xr:uid="{00000000-0006-0000-0800-000001000000}">
      <text>
        <r>
          <rPr>
            <u/>
            <sz val="8"/>
            <color indexed="81"/>
            <rFont val="Tahoma"/>
            <family val="2"/>
          </rPr>
          <t>#5 Tie Bars note:</t>
        </r>
        <r>
          <rPr>
            <sz val="8"/>
            <color indexed="81"/>
            <rFont val="Tahoma"/>
            <family val="2"/>
          </rPr>
          <t xml:space="preserve">  2013 &amp; 2010 Int. DS
Top 2-ft, 6 spaces @ 4", therfore 7 tie bars (incl. bar@ 2-ft position).
Below 2-ft:
RC #5 Tie Bars spaced at RD (in), plus
Remaining bottom #5 Tie Bars @ 1.5 ft spacing (max)</t>
        </r>
      </text>
    </comment>
    <comment ref="DF19" authorId="0" shapeId="0" xr:uid="{00000000-0006-0000-0800-000002000000}">
      <text>
        <r>
          <rPr>
            <sz val="8"/>
            <color indexed="81"/>
            <rFont val="Tahoma"/>
            <family val="2"/>
          </rPr>
          <t xml:space="preserve">In the equation, the
26/12 = the required
2 ft 2 inch Tie Bar overlap.
</t>
        </r>
      </text>
    </comment>
    <comment ref="DJ19" authorId="0" shapeId="0" xr:uid="{00000000-0006-0000-0800-000003000000}">
      <text>
        <r>
          <rPr>
            <sz val="8"/>
            <color indexed="81"/>
            <rFont val="Tahoma"/>
            <family val="2"/>
          </rPr>
          <t xml:space="preserve">4 tubes min.
&gt; 4 ft dia, 1 tube per 1-ft of diameter.
</t>
        </r>
      </text>
    </comment>
    <comment ref="DK19" authorId="1" shapeId="0" xr:uid="{00000000-0006-0000-0800-000004000000}">
      <text>
        <r>
          <rPr>
            <b/>
            <sz val="8"/>
            <color indexed="81"/>
            <rFont val="Tahoma"/>
            <family val="2"/>
          </rPr>
          <t>O.D. = 1.9 in
(Sched. 40 tubing)
1.9"/12 = 0.16 ft</t>
        </r>
      </text>
    </comment>
    <comment ref="DM19" authorId="0" shapeId="0" xr:uid="{00000000-0006-0000-0800-000005000000}">
      <text>
        <r>
          <rPr>
            <sz val="8"/>
            <color indexed="81"/>
            <rFont val="Tahoma"/>
            <family val="2"/>
          </rPr>
          <t xml:space="preserve">Full shaft length.
(does not include length above shaft top)
</t>
        </r>
      </text>
    </comment>
    <comment ref="D22" authorId="2" shapeId="0" xr:uid="{00000000-0006-0000-0800-000006000000}">
      <text>
        <r>
          <rPr>
            <b/>
            <sz val="9"/>
            <color indexed="81"/>
            <rFont val="Tahoma"/>
            <family val="2"/>
          </rPr>
          <t>This number will be suggested in the "reinf&amp;spacers" worksheet</t>
        </r>
        <r>
          <rPr>
            <sz val="9"/>
            <color indexed="81"/>
            <rFont val="Tahoma"/>
            <family val="2"/>
          </rPr>
          <t xml:space="preserve">
</t>
        </r>
      </text>
    </comment>
    <comment ref="I22" authorId="2" shapeId="0" xr:uid="{00000000-0006-0000-0800-000007000000}">
      <text>
        <r>
          <rPr>
            <b/>
            <sz val="9"/>
            <color indexed="81"/>
            <rFont val="Tahoma"/>
            <family val="2"/>
          </rPr>
          <t>This number comes from the "reinf.&amp;spacers worksheet" after verifying the actual number</t>
        </r>
        <r>
          <rPr>
            <sz val="9"/>
            <color indexed="81"/>
            <rFont val="Tahoma"/>
            <family val="2"/>
          </rPr>
          <t xml:space="preserve">
</t>
        </r>
      </text>
    </comment>
    <comment ref="DD29" authorId="0" shapeId="0" xr:uid="{00000000-0006-0000-0800-000008000000}">
      <text>
        <r>
          <rPr>
            <u/>
            <sz val="8"/>
            <color indexed="81"/>
            <rFont val="Tahoma"/>
            <family val="2"/>
          </rPr>
          <t xml:space="preserve">
#5 Tie Bars:</t>
        </r>
        <r>
          <rPr>
            <sz val="8"/>
            <color indexed="81"/>
            <rFont val="Tahoma"/>
            <family val="2"/>
          </rPr>
          <t xml:space="preserve">  for Tie Bar volume, Qty of Tie Bars determined as follows ...</t>
        </r>
        <r>
          <rPr>
            <u/>
            <sz val="8"/>
            <color indexed="81"/>
            <rFont val="Tahoma"/>
            <family val="2"/>
          </rPr>
          <t xml:space="preserve">
</t>
        </r>
        <r>
          <rPr>
            <sz val="8"/>
            <color indexed="81"/>
            <rFont val="Tahoma"/>
            <family val="2"/>
          </rPr>
          <t xml:space="preserve">
(1) Top 2-ft, 6 spaces @ 4", therfore 7 tie bars (incl. bar@ 2-ft from TOC)     7 bars
(2) FD spaces @ FE"                                                                                         FD bars
(3) FF spaces @ FG"                                                                                         FF bars
(4) Remaining spaces @ 12" (1.0 ft) max                                         </t>
        </r>
        <r>
          <rPr>
            <u/>
            <sz val="8"/>
            <color indexed="81"/>
            <rFont val="Tahoma"/>
            <family val="2"/>
          </rPr>
          <t>(*sheet calc) bars</t>
        </r>
        <r>
          <rPr>
            <sz val="8"/>
            <color indexed="81"/>
            <rFont val="Tahoma"/>
            <family val="2"/>
          </rPr>
          <t xml:space="preserve">
                                                        Total Qty of Tie Bars = sum (1)+ (2) + (3) + (4)
* Remaining tie bars sheet calc is the "Roundup( )" portion of the equation below.</t>
        </r>
      </text>
    </comment>
    <comment ref="DG29" authorId="0" shapeId="0" xr:uid="{00000000-0006-0000-0800-000009000000}">
      <text>
        <r>
          <rPr>
            <sz val="8"/>
            <color indexed="81"/>
            <rFont val="Tahoma"/>
            <family val="2"/>
          </rPr>
          <t xml:space="preserve">In the equation below, the
26/12 is = to the required
2 ft 2 inch Tie Bar overlap.
</t>
        </r>
      </text>
    </comment>
    <comment ref="DJ29" authorId="0" shapeId="0" xr:uid="{00000000-0006-0000-0800-00000A000000}">
      <text>
        <r>
          <rPr>
            <sz val="8"/>
            <color indexed="81"/>
            <rFont val="Tahoma"/>
            <family val="2"/>
          </rPr>
          <t xml:space="preserve">4 tubes min.
&gt; 4 ft dia, 1 tube per 1-ft of diameter.
</t>
        </r>
      </text>
    </comment>
    <comment ref="DK29" authorId="1" shapeId="0" xr:uid="{00000000-0006-0000-0800-00000B000000}">
      <text>
        <r>
          <rPr>
            <b/>
            <sz val="8"/>
            <color indexed="81"/>
            <rFont val="Tahoma"/>
            <family val="2"/>
          </rPr>
          <t>O.D. = 1.9 in
(Sched. 40 tubing)
1.9"/12 = 0.16 ft</t>
        </r>
      </text>
    </comment>
    <comment ref="DM29" authorId="0" shapeId="0" xr:uid="{00000000-0006-0000-0800-00000C000000}">
      <text>
        <r>
          <rPr>
            <sz val="8"/>
            <color indexed="81"/>
            <rFont val="Tahoma"/>
            <family val="2"/>
          </rPr>
          <t xml:space="preserve">
CSL Length used = Full Shaft Length
(does not include the CSL tube
length extending above TOS)
</t>
        </r>
      </text>
    </comment>
    <comment ref="DD39" authorId="0" shapeId="0" xr:uid="{00000000-0006-0000-0800-00000D000000}">
      <text>
        <r>
          <rPr>
            <u/>
            <sz val="8"/>
            <color indexed="81"/>
            <rFont val="Tahoma"/>
            <family val="2"/>
          </rPr>
          <t>#5 Tie Bars note:</t>
        </r>
        <r>
          <rPr>
            <sz val="8"/>
            <color indexed="81"/>
            <rFont val="Tahoma"/>
            <family val="2"/>
          </rPr>
          <t xml:space="preserve">
Top 2-ft, 6 spaces @ 4", therfore 7 tie bars (incl. bar@ 2-ft position).
Below 2-ft:
#5 Tie Bars @ 1.5 ft spacing (max)
</t>
        </r>
      </text>
    </comment>
    <comment ref="DF39" authorId="0" shapeId="0" xr:uid="{00000000-0006-0000-0800-00000E000000}">
      <text>
        <r>
          <rPr>
            <sz val="8"/>
            <color indexed="81"/>
            <rFont val="Tahoma"/>
            <family val="2"/>
          </rPr>
          <t xml:space="preserve">In the equation, the
26/12 = the required
2 ft 2 inch Tie Bar overlap.
</t>
        </r>
      </text>
    </comment>
    <comment ref="DJ39" authorId="0" shapeId="0" xr:uid="{00000000-0006-0000-0800-00000F000000}">
      <text>
        <r>
          <rPr>
            <sz val="8"/>
            <color indexed="81"/>
            <rFont val="Tahoma"/>
            <family val="2"/>
          </rPr>
          <t xml:space="preserve">4 tubes min.
&gt; 4 ft dia, 1 tube per 1-ft of diameter.
</t>
        </r>
      </text>
    </comment>
    <comment ref="DK39" authorId="1" shapeId="0" xr:uid="{00000000-0006-0000-0800-000010000000}">
      <text>
        <r>
          <rPr>
            <b/>
            <sz val="8"/>
            <color indexed="81"/>
            <rFont val="Tahoma"/>
            <family val="2"/>
          </rPr>
          <t>O.D. = 1.9 in
(Sched. 40 tubing)
1.9"/12 = 0.16 ft</t>
        </r>
      </text>
    </comment>
    <comment ref="DM39" authorId="0" shapeId="0" xr:uid="{00000000-0006-0000-0800-000011000000}">
      <text>
        <r>
          <rPr>
            <sz val="8"/>
            <color indexed="81"/>
            <rFont val="Tahoma"/>
            <family val="2"/>
          </rPr>
          <t xml:space="preserve">Full shaft length.
(does not include length above shaft top)
</t>
        </r>
      </text>
    </comment>
    <comment ref="DD49" authorId="0" shapeId="0" xr:uid="{00000000-0006-0000-0800-000012000000}">
      <text>
        <r>
          <rPr>
            <u/>
            <sz val="8"/>
            <color indexed="81"/>
            <rFont val="Tahoma"/>
            <family val="2"/>
          </rPr>
          <t>#5 Tie Bars note:</t>
        </r>
        <r>
          <rPr>
            <sz val="8"/>
            <color indexed="81"/>
            <rFont val="Tahoma"/>
            <family val="2"/>
          </rPr>
          <t xml:space="preserve">
Top 2-ft, 6 spaces @ 4", therfore 7 tie bars (incl. bar@ 2-ft position).
Below 2-ft:
#5 Tie Bars @ 1.5 ft spacing (max)
</t>
        </r>
      </text>
    </comment>
    <comment ref="DF49" authorId="0" shapeId="0" xr:uid="{00000000-0006-0000-0800-000013000000}">
      <text>
        <r>
          <rPr>
            <sz val="8"/>
            <color indexed="81"/>
            <rFont val="Tahoma"/>
            <family val="2"/>
          </rPr>
          <t xml:space="preserve">In the equation, the
26/12 = the required
2 ft 2 inch Tie Bar overlap.
</t>
        </r>
      </text>
    </comment>
    <comment ref="DJ49" authorId="0" shapeId="0" xr:uid="{00000000-0006-0000-0800-000014000000}">
      <text>
        <r>
          <rPr>
            <sz val="8"/>
            <color indexed="81"/>
            <rFont val="Tahoma"/>
            <family val="2"/>
          </rPr>
          <t xml:space="preserve">4 tubes min.
&gt; 4 ft dia, 1 tube per 1-ft of diameter.
</t>
        </r>
      </text>
    </comment>
    <comment ref="DK49" authorId="1" shapeId="0" xr:uid="{00000000-0006-0000-0800-000015000000}">
      <text>
        <r>
          <rPr>
            <b/>
            <sz val="8"/>
            <color indexed="81"/>
            <rFont val="Tahoma"/>
            <family val="2"/>
          </rPr>
          <t>O.D. = 1.9 in
(Sched. 40 tubing)
1.9"/12 = 0.16 ft</t>
        </r>
      </text>
    </comment>
    <comment ref="DM49" authorId="0" shapeId="0" xr:uid="{00000000-0006-0000-0800-000016000000}">
      <text>
        <r>
          <rPr>
            <sz val="8"/>
            <color indexed="81"/>
            <rFont val="Tahoma"/>
            <family val="2"/>
          </rPr>
          <t xml:space="preserve">Full shaft length.
(does not include length above shaft top)
</t>
        </r>
      </text>
    </comment>
    <comment ref="DF59" authorId="0" shapeId="0" xr:uid="{00000000-0006-0000-0800-000017000000}">
      <text>
        <r>
          <rPr>
            <sz val="8"/>
            <color indexed="81"/>
            <rFont val="Tahoma"/>
            <family val="2"/>
          </rPr>
          <t xml:space="preserve">In the equation, the
26/12 = the required
2 ft 2 inch Tie Bar overlap.
</t>
        </r>
      </text>
    </comment>
    <comment ref="DJ59" authorId="0" shapeId="0" xr:uid="{00000000-0006-0000-0800-000018000000}">
      <text>
        <r>
          <rPr>
            <sz val="8"/>
            <color indexed="81"/>
            <rFont val="Tahoma"/>
            <family val="2"/>
          </rPr>
          <t xml:space="preserve">4 tubes min.
&gt; 4 ft dia, 1 tube per 1-ft of diameter.
</t>
        </r>
      </text>
    </comment>
    <comment ref="DK59" authorId="1" shapeId="0" xr:uid="{00000000-0006-0000-0800-000019000000}">
      <text>
        <r>
          <rPr>
            <b/>
            <sz val="8"/>
            <color indexed="81"/>
            <rFont val="Tahoma"/>
            <family val="2"/>
          </rPr>
          <t>O.D. = 1.9 in
(Sched. 40 tubing)
1.9"/12 = 0.16 ft</t>
        </r>
      </text>
    </comment>
    <comment ref="DM59" authorId="0" shapeId="0" xr:uid="{00000000-0006-0000-0800-00001A000000}">
      <text>
        <r>
          <rPr>
            <sz val="8"/>
            <color indexed="81"/>
            <rFont val="Tahoma"/>
            <family val="2"/>
          </rPr>
          <t xml:space="preserve">Full shaft length.
(does not include length above shaft top)
</t>
        </r>
      </text>
    </comment>
    <comment ref="DF69" authorId="0" shapeId="0" xr:uid="{00000000-0006-0000-0800-00001B000000}">
      <text>
        <r>
          <rPr>
            <sz val="8"/>
            <color indexed="81"/>
            <rFont val="Tahoma"/>
            <family val="2"/>
          </rPr>
          <t xml:space="preserve">In the equation, the
26/12 = the required
2 ft 2 inch Tie Bar overlap.
</t>
        </r>
      </text>
    </comment>
    <comment ref="DJ69" authorId="0" shapeId="0" xr:uid="{00000000-0006-0000-0800-00001C000000}">
      <text>
        <r>
          <rPr>
            <sz val="8"/>
            <color indexed="81"/>
            <rFont val="Tahoma"/>
            <family val="2"/>
          </rPr>
          <t xml:space="preserve">4 tubes min.
&gt; 4 ft dia, 1 tube per 1-ft of diameter.
</t>
        </r>
      </text>
    </comment>
    <comment ref="DK69" authorId="1" shapeId="0" xr:uid="{00000000-0006-0000-0800-00001D000000}">
      <text>
        <r>
          <rPr>
            <b/>
            <sz val="8"/>
            <color indexed="81"/>
            <rFont val="Tahoma"/>
            <family val="2"/>
          </rPr>
          <t>O.D. = 1.9 in
(Sched. 40 tubing)
1.9"/12 = 0.16 ft</t>
        </r>
      </text>
    </comment>
    <comment ref="DM69" authorId="0" shapeId="0" xr:uid="{00000000-0006-0000-0800-00001E000000}">
      <text>
        <r>
          <rPr>
            <sz val="8"/>
            <color indexed="81"/>
            <rFont val="Tahoma"/>
            <family val="2"/>
          </rPr>
          <t xml:space="preserve">Full shaft length.
(does not include length above shaft top)
</t>
        </r>
      </text>
    </comment>
    <comment ref="AF149" authorId="0" shapeId="0" xr:uid="{00000000-0006-0000-0800-00001F000000}">
      <text>
        <r>
          <rPr>
            <u/>
            <sz val="8"/>
            <color indexed="81"/>
            <rFont val="Tahoma"/>
            <family val="2"/>
          </rPr>
          <t>#5 Tie Bars note:</t>
        </r>
        <r>
          <rPr>
            <sz val="8"/>
            <color indexed="81"/>
            <rFont val="Tahoma"/>
            <family val="2"/>
          </rPr>
          <t xml:space="preserve">  2013 &amp; 2010 Int. DS
Top 2-ft, 6 spaces @ 4", therfore 7 tie bars (incl. bar@ 2-ft position).
Below 2-ft:
RC #5 Tie Bars spaced at RD (in), plus
Remaining bottom #5 Tie Bars @ 1.5 ft spacing (max)</t>
        </r>
      </text>
    </comment>
    <comment ref="AH149" authorId="0" shapeId="0" xr:uid="{00000000-0006-0000-0800-000020000000}">
      <text>
        <r>
          <rPr>
            <sz val="8"/>
            <color indexed="81"/>
            <rFont val="Tahoma"/>
            <family val="2"/>
          </rPr>
          <t xml:space="preserve">In the equation, the
26/12 = the required
2 ft 2 inch Tie Bar overlap.
</t>
        </r>
      </text>
    </comment>
    <comment ref="AK149" authorId="0" shapeId="0" xr:uid="{00000000-0006-0000-0800-000021000000}">
      <text>
        <r>
          <rPr>
            <sz val="8"/>
            <color indexed="81"/>
            <rFont val="Tahoma"/>
            <family val="2"/>
          </rPr>
          <t xml:space="preserve">4 tubes min.
&gt; 4 ft dia, 1 tube per 1-ft of diameter.
</t>
        </r>
      </text>
    </comment>
    <comment ref="AL149" authorId="1" shapeId="0" xr:uid="{00000000-0006-0000-0800-000022000000}">
      <text>
        <r>
          <rPr>
            <b/>
            <sz val="8"/>
            <color indexed="81"/>
            <rFont val="Tahoma"/>
            <family val="2"/>
          </rPr>
          <t>O.D. = 1.9 in
(Sched. 40 tubing)
1.9"/12 = 0.16 ft</t>
        </r>
      </text>
    </comment>
    <comment ref="AN149" authorId="0" shapeId="0" xr:uid="{00000000-0006-0000-0800-000023000000}">
      <text>
        <r>
          <rPr>
            <sz val="8"/>
            <color indexed="81"/>
            <rFont val="Tahoma"/>
            <family val="2"/>
          </rPr>
          <t xml:space="preserve">Full shaft length.
(does not include length above shaft top)
</t>
        </r>
      </text>
    </comment>
    <comment ref="AF159" authorId="0" shapeId="0" xr:uid="{00000000-0006-0000-0800-000024000000}">
      <text>
        <r>
          <rPr>
            <u/>
            <sz val="8"/>
            <color indexed="81"/>
            <rFont val="Tahoma"/>
            <family val="2"/>
          </rPr>
          <t>#5 Tie Bars note:</t>
        </r>
        <r>
          <rPr>
            <sz val="8"/>
            <color indexed="81"/>
            <rFont val="Tahoma"/>
            <family val="2"/>
          </rPr>
          <t xml:space="preserve">   2010 DS</t>
        </r>
        <r>
          <rPr>
            <u/>
            <sz val="8"/>
            <color indexed="81"/>
            <rFont val="Tahoma"/>
            <family val="2"/>
          </rPr>
          <t xml:space="preserve">
</t>
        </r>
        <r>
          <rPr>
            <sz val="8"/>
            <color indexed="81"/>
            <rFont val="Tahoma"/>
            <family val="2"/>
          </rPr>
          <t xml:space="preserve">
Top 2-ft, 6 spaces @ 4", therfore 7 tie bars (incl. bar @ 2-ft position).
Below 2-ft:
#5 Tie Bars @ 1.5 ft spacing (max)
</t>
        </r>
      </text>
    </comment>
    <comment ref="AH159" authorId="0" shapeId="0" xr:uid="{00000000-0006-0000-0800-000025000000}">
      <text>
        <r>
          <rPr>
            <sz val="8"/>
            <color indexed="81"/>
            <rFont val="Tahoma"/>
            <family val="2"/>
          </rPr>
          <t xml:space="preserve">In the equation, the
26/12 = the required
2 ft 2 inch Tie Bar overlap.
</t>
        </r>
      </text>
    </comment>
    <comment ref="AK159" authorId="0" shapeId="0" xr:uid="{00000000-0006-0000-0800-000026000000}">
      <text>
        <r>
          <rPr>
            <sz val="8"/>
            <color indexed="81"/>
            <rFont val="Tahoma"/>
            <family val="2"/>
          </rPr>
          <t xml:space="preserve">4 tubes min.
&gt; 4 ft dia, 1 tube per 1-ft of diameter.
</t>
        </r>
      </text>
    </comment>
    <comment ref="AL159" authorId="1" shapeId="0" xr:uid="{00000000-0006-0000-0800-000027000000}">
      <text>
        <r>
          <rPr>
            <b/>
            <sz val="8"/>
            <color indexed="81"/>
            <rFont val="Tahoma"/>
            <family val="2"/>
          </rPr>
          <t>O.D. = 1.9 in
(Sched. 40 tubing)
1.9"/12 = 0.16 ft</t>
        </r>
      </text>
    </comment>
    <comment ref="AN159" authorId="0" shapeId="0" xr:uid="{00000000-0006-0000-0800-000028000000}">
      <text>
        <r>
          <rPr>
            <sz val="8"/>
            <color indexed="81"/>
            <rFont val="Tahoma"/>
            <family val="2"/>
          </rPr>
          <t xml:space="preserve">Full shaft length.
(does not include length above shaft top)
</t>
        </r>
      </text>
    </comment>
    <comment ref="AF179" authorId="0" shapeId="0" xr:uid="{00000000-0006-0000-0800-000029000000}">
      <text>
        <r>
          <rPr>
            <u/>
            <sz val="8"/>
            <color indexed="81"/>
            <rFont val="Tahoma"/>
            <family val="2"/>
          </rPr>
          <t>#5 Tie Bars note:</t>
        </r>
        <r>
          <rPr>
            <sz val="8"/>
            <color indexed="81"/>
            <rFont val="Tahoma"/>
            <family val="2"/>
          </rPr>
          <t xml:space="preserve">
Top 2-ft, 6 spaces @ 4", therfore 7 tie bars (incl. bar@ 2-ft position).
Below 2-ft:
#5 Tie Bars @ 1.5 ft spacing (max)
</t>
        </r>
      </text>
    </comment>
    <comment ref="AH179" authorId="0" shapeId="0" xr:uid="{00000000-0006-0000-0800-00002A000000}">
      <text>
        <r>
          <rPr>
            <sz val="8"/>
            <color indexed="81"/>
            <rFont val="Tahoma"/>
            <family val="2"/>
          </rPr>
          <t xml:space="preserve">In the equation, the
26/12 = the required
2 ft 2 inch Tie Bar overlap.
</t>
        </r>
      </text>
    </comment>
    <comment ref="AK179" authorId="0" shapeId="0" xr:uid="{00000000-0006-0000-0800-00002B000000}">
      <text>
        <r>
          <rPr>
            <sz val="8"/>
            <color indexed="81"/>
            <rFont val="Tahoma"/>
            <family val="2"/>
          </rPr>
          <t xml:space="preserve">4 tubes min.
&gt; 4 ft dia, 1 tube per 1-ft of diameter.
</t>
        </r>
      </text>
    </comment>
    <comment ref="AL179" authorId="1" shapeId="0" xr:uid="{00000000-0006-0000-0800-00002C000000}">
      <text>
        <r>
          <rPr>
            <b/>
            <sz val="8"/>
            <color indexed="81"/>
            <rFont val="Tahoma"/>
            <family val="2"/>
          </rPr>
          <t>O.D. = 1.9 in
(Sched. 40 tubing)
1.9"/12 = 0.16 ft</t>
        </r>
      </text>
    </comment>
    <comment ref="AN179" authorId="0" shapeId="0" xr:uid="{00000000-0006-0000-0800-00002D000000}">
      <text>
        <r>
          <rPr>
            <sz val="8"/>
            <color indexed="81"/>
            <rFont val="Tahoma"/>
            <family val="2"/>
          </rPr>
          <t xml:space="preserve">Full shaft length.
(does not include length above shaft top)
</t>
        </r>
      </text>
    </comment>
    <comment ref="R180" authorId="1" shapeId="0" xr:uid="{00000000-0006-0000-0800-00002E000000}">
      <text>
        <r>
          <rPr>
            <sz val="9"/>
            <color indexed="81"/>
            <rFont val="Tahoma"/>
            <family val="2"/>
          </rPr>
          <t>Ex. FL DOT uses
#</t>
        </r>
        <r>
          <rPr>
            <b/>
            <sz val="9"/>
            <color indexed="81"/>
            <rFont val="Tahoma"/>
            <family val="2"/>
          </rPr>
          <t xml:space="preserve">5 </t>
        </r>
        <r>
          <rPr>
            <sz val="9"/>
            <color indexed="81"/>
            <rFont val="Tahoma"/>
            <family val="2"/>
          </rPr>
          <t xml:space="preserve">Tie Bars
</t>
        </r>
      </text>
    </comment>
    <comment ref="AF202" authorId="0" shapeId="0" xr:uid="{00000000-0006-0000-0800-00002F000000}">
      <text>
        <r>
          <rPr>
            <u/>
            <sz val="8"/>
            <color indexed="81"/>
            <rFont val="Tahoma"/>
            <family val="2"/>
          </rPr>
          <t>#5 Tie Bars note:</t>
        </r>
        <r>
          <rPr>
            <sz val="8"/>
            <color indexed="81"/>
            <rFont val="Tahoma"/>
            <family val="2"/>
          </rPr>
          <t xml:space="preserve">
Top 2-ft, 6 spaces @ 4", therfore 7 tie bars (incl. bar@ 2-ft position).
Below 2-ft:
#5 Tie Bars @ 1.5 ft spacing (max)
</t>
        </r>
      </text>
    </comment>
    <comment ref="AH202" authorId="0" shapeId="0" xr:uid="{00000000-0006-0000-0800-000030000000}">
      <text>
        <r>
          <rPr>
            <sz val="8"/>
            <color indexed="81"/>
            <rFont val="Tahoma"/>
            <family val="2"/>
          </rPr>
          <t xml:space="preserve">In the equation, the
26/12 = the required
2 ft 2 inch Tie Bar overlap.
</t>
        </r>
      </text>
    </comment>
    <comment ref="AK202" authorId="0" shapeId="0" xr:uid="{00000000-0006-0000-0800-000031000000}">
      <text>
        <r>
          <rPr>
            <sz val="8"/>
            <color indexed="81"/>
            <rFont val="Tahoma"/>
            <family val="2"/>
          </rPr>
          <t xml:space="preserve">4 tubes min.
&gt; 4 ft dia, 1 tube per 1-ft of diameter.
</t>
        </r>
      </text>
    </comment>
    <comment ref="AL202" authorId="1" shapeId="0" xr:uid="{00000000-0006-0000-0800-000032000000}">
      <text>
        <r>
          <rPr>
            <b/>
            <sz val="8"/>
            <color indexed="81"/>
            <rFont val="Tahoma"/>
            <family val="2"/>
          </rPr>
          <t>O.D. = 1.9 in
(Sched. 40 tubing)
1.9"/12 = 0.16 ft</t>
        </r>
      </text>
    </comment>
    <comment ref="AN202" authorId="0" shapeId="0" xr:uid="{00000000-0006-0000-0800-000033000000}">
      <text>
        <r>
          <rPr>
            <sz val="8"/>
            <color indexed="81"/>
            <rFont val="Tahoma"/>
            <family val="2"/>
          </rPr>
          <t xml:space="preserve">Full shaft length.
(does not include length above shaft top)
</t>
        </r>
      </text>
    </comment>
    <comment ref="R203" authorId="1" shapeId="0" xr:uid="{00000000-0006-0000-0800-000034000000}">
      <text>
        <r>
          <rPr>
            <sz val="9"/>
            <color indexed="81"/>
            <rFont val="Tahoma"/>
            <family val="2"/>
          </rPr>
          <t>Ex. FL DOT uses
#</t>
        </r>
        <r>
          <rPr>
            <b/>
            <sz val="9"/>
            <color indexed="81"/>
            <rFont val="Tahoma"/>
            <family val="2"/>
          </rPr>
          <t xml:space="preserve">5 </t>
        </r>
        <r>
          <rPr>
            <sz val="9"/>
            <color indexed="81"/>
            <rFont val="Tahoma"/>
            <family val="2"/>
          </rPr>
          <t xml:space="preserve">Tie Bars
</t>
        </r>
      </text>
    </comment>
    <comment ref="AF212" authorId="0" shapeId="0" xr:uid="{00000000-0006-0000-0800-000035000000}">
      <text>
        <r>
          <rPr>
            <u/>
            <sz val="8"/>
            <color indexed="81"/>
            <rFont val="Tahoma"/>
            <family val="2"/>
          </rPr>
          <t>#5 Tie Bars note:</t>
        </r>
        <r>
          <rPr>
            <sz val="8"/>
            <color indexed="81"/>
            <rFont val="Tahoma"/>
            <family val="2"/>
          </rPr>
          <t xml:space="preserve">
Top 2-ft, 6 spaces @ 4", therfore 7 tie bars (incl. bar@ 2-ft position).
Below 2-ft:
#5 Tie Bars @ 1.5 ft spacing (max)
</t>
        </r>
      </text>
    </comment>
    <comment ref="AH212" authorId="0" shapeId="0" xr:uid="{00000000-0006-0000-0800-000036000000}">
      <text>
        <r>
          <rPr>
            <sz val="8"/>
            <color indexed="81"/>
            <rFont val="Tahoma"/>
            <family val="2"/>
          </rPr>
          <t xml:space="preserve">In the equation, the
26/12 = the required
2 ft 2 inch Tie Bar overlap.
</t>
        </r>
      </text>
    </comment>
    <comment ref="AK212" authorId="0" shapeId="0" xr:uid="{00000000-0006-0000-0800-000037000000}">
      <text>
        <r>
          <rPr>
            <sz val="8"/>
            <color indexed="81"/>
            <rFont val="Tahoma"/>
            <family val="2"/>
          </rPr>
          <t xml:space="preserve">4 tubes min.
&gt; 4 ft dia, 1 tube per 1-ft of diameter.
</t>
        </r>
      </text>
    </comment>
    <comment ref="AL212" authorId="1" shapeId="0" xr:uid="{00000000-0006-0000-0800-000038000000}">
      <text>
        <r>
          <rPr>
            <b/>
            <sz val="8"/>
            <color indexed="81"/>
            <rFont val="Tahoma"/>
            <family val="2"/>
          </rPr>
          <t>O.D. = 1.9 in
(Sched. 40 tubing)
1.9"/12 = 0.16 ft</t>
        </r>
      </text>
    </comment>
    <comment ref="AN212" authorId="0" shapeId="0" xr:uid="{00000000-0006-0000-0800-000039000000}">
      <text>
        <r>
          <rPr>
            <sz val="8"/>
            <color indexed="81"/>
            <rFont val="Tahoma"/>
            <family val="2"/>
          </rPr>
          <t xml:space="preserve">Full shaft length.
(does not include length above shaft top)
</t>
        </r>
      </text>
    </comment>
    <comment ref="R213" authorId="1" shapeId="0" xr:uid="{00000000-0006-0000-0800-00003A000000}">
      <text>
        <r>
          <rPr>
            <sz val="9"/>
            <color indexed="81"/>
            <rFont val="Tahoma"/>
            <family val="2"/>
          </rPr>
          <t>Ex. FL DOT uses
#</t>
        </r>
        <r>
          <rPr>
            <b/>
            <sz val="9"/>
            <color indexed="81"/>
            <rFont val="Tahoma"/>
            <family val="2"/>
          </rPr>
          <t xml:space="preserve">5 </t>
        </r>
        <r>
          <rPr>
            <sz val="9"/>
            <color indexed="81"/>
            <rFont val="Tahoma"/>
            <family val="2"/>
          </rPr>
          <t xml:space="preserve">Tie Bars
</t>
        </r>
      </text>
    </comment>
    <comment ref="P232" authorId="1" shapeId="0" xr:uid="{00000000-0006-0000-0800-00003B000000}">
      <text>
        <r>
          <rPr>
            <sz val="9"/>
            <color indexed="81"/>
            <rFont val="Tahoma"/>
            <family val="2"/>
          </rPr>
          <t>Ex. FL DOT uses
#</t>
        </r>
        <r>
          <rPr>
            <b/>
            <sz val="9"/>
            <color indexed="81"/>
            <rFont val="Tahoma"/>
            <family val="2"/>
          </rPr>
          <t xml:space="preserve">11 </t>
        </r>
        <r>
          <rPr>
            <sz val="9"/>
            <color indexed="81"/>
            <rFont val="Tahoma"/>
            <family val="2"/>
          </rPr>
          <t xml:space="preserve">Vertival Bars
</t>
        </r>
      </text>
    </comment>
    <comment ref="Q232" authorId="1" shapeId="0" xr:uid="{00000000-0006-0000-0800-00003C000000}">
      <text>
        <r>
          <rPr>
            <sz val="9"/>
            <color indexed="81"/>
            <rFont val="Tahoma"/>
            <family val="2"/>
          </rPr>
          <t>Ex. FL DOT uses
#</t>
        </r>
        <r>
          <rPr>
            <b/>
            <sz val="9"/>
            <color indexed="81"/>
            <rFont val="Tahoma"/>
            <family val="2"/>
          </rPr>
          <t xml:space="preserve">5 </t>
        </r>
        <r>
          <rPr>
            <sz val="9"/>
            <color indexed="81"/>
            <rFont val="Tahoma"/>
            <family val="2"/>
          </rPr>
          <t xml:space="preserve">Tie Bars
</t>
        </r>
      </text>
    </comment>
    <comment ref="AH232" authorId="0" shapeId="0" xr:uid="{00000000-0006-0000-0800-00003D000000}">
      <text>
        <r>
          <rPr>
            <sz val="8"/>
            <color indexed="81"/>
            <rFont val="Tahoma"/>
            <family val="2"/>
          </rPr>
          <t xml:space="preserve">In the equation, the
26/12 = the required
2 ft 2 inch Tie Bar overlap.
</t>
        </r>
      </text>
    </comment>
    <comment ref="AK232" authorId="0" shapeId="0" xr:uid="{00000000-0006-0000-0800-00003E000000}">
      <text>
        <r>
          <rPr>
            <sz val="8"/>
            <color indexed="81"/>
            <rFont val="Tahoma"/>
            <family val="2"/>
          </rPr>
          <t xml:space="preserve">4 tubes min.
&gt; 4 ft dia, 1 tube per 1-ft of diameter.
</t>
        </r>
      </text>
    </comment>
    <comment ref="AL232" authorId="1" shapeId="0" xr:uid="{00000000-0006-0000-0800-00003F000000}">
      <text>
        <r>
          <rPr>
            <b/>
            <sz val="8"/>
            <color indexed="81"/>
            <rFont val="Tahoma"/>
            <family val="2"/>
          </rPr>
          <t>O.D. = 1.9 in
(Sched. 40 tubing)
1.9"/12 = 0.16 ft</t>
        </r>
      </text>
    </comment>
    <comment ref="AN232" authorId="0" shapeId="0" xr:uid="{00000000-0006-0000-0800-000040000000}">
      <text>
        <r>
          <rPr>
            <sz val="8"/>
            <color indexed="81"/>
            <rFont val="Tahoma"/>
            <family val="2"/>
          </rPr>
          <t xml:space="preserve">Full shaft length.
(does not include length above shaft top)
</t>
        </r>
      </text>
    </comment>
    <comment ref="P242" authorId="1" shapeId="0" xr:uid="{00000000-0006-0000-0800-000041000000}">
      <text>
        <r>
          <rPr>
            <sz val="9"/>
            <color indexed="81"/>
            <rFont val="Tahoma"/>
            <family val="2"/>
          </rPr>
          <t>Ex. FL DOT uses
#</t>
        </r>
        <r>
          <rPr>
            <b/>
            <sz val="9"/>
            <color indexed="81"/>
            <rFont val="Tahoma"/>
            <family val="2"/>
          </rPr>
          <t xml:space="preserve">11 </t>
        </r>
        <r>
          <rPr>
            <sz val="9"/>
            <color indexed="81"/>
            <rFont val="Tahoma"/>
            <family val="2"/>
          </rPr>
          <t xml:space="preserve">Vertival Bars
</t>
        </r>
      </text>
    </comment>
    <comment ref="Q242" authorId="1" shapeId="0" xr:uid="{00000000-0006-0000-0800-000042000000}">
      <text>
        <r>
          <rPr>
            <sz val="9"/>
            <color indexed="81"/>
            <rFont val="Tahoma"/>
            <family val="2"/>
          </rPr>
          <t>Ex. FL DOT uses
#</t>
        </r>
        <r>
          <rPr>
            <b/>
            <sz val="9"/>
            <color indexed="81"/>
            <rFont val="Tahoma"/>
            <family val="2"/>
          </rPr>
          <t xml:space="preserve">5 </t>
        </r>
        <r>
          <rPr>
            <sz val="9"/>
            <color indexed="81"/>
            <rFont val="Tahoma"/>
            <family val="2"/>
          </rPr>
          <t xml:space="preserve">Tie Bars
</t>
        </r>
      </text>
    </comment>
    <comment ref="AH242" authorId="0" shapeId="0" xr:uid="{00000000-0006-0000-0800-000043000000}">
      <text>
        <r>
          <rPr>
            <sz val="8"/>
            <color indexed="81"/>
            <rFont val="Tahoma"/>
            <family val="2"/>
          </rPr>
          <t xml:space="preserve">In the equation, the
26/12 = the required
2 ft 2 inch Tie Bar overlap.
</t>
        </r>
      </text>
    </comment>
    <comment ref="AK242" authorId="0" shapeId="0" xr:uid="{00000000-0006-0000-0800-000044000000}">
      <text>
        <r>
          <rPr>
            <sz val="8"/>
            <color indexed="81"/>
            <rFont val="Tahoma"/>
            <family val="2"/>
          </rPr>
          <t xml:space="preserve">4 tubes min.
&gt; 4 ft dia, 1 tube per 1-ft of diameter.
</t>
        </r>
      </text>
    </comment>
    <comment ref="AL242" authorId="1" shapeId="0" xr:uid="{00000000-0006-0000-0800-000045000000}">
      <text>
        <r>
          <rPr>
            <b/>
            <sz val="8"/>
            <color indexed="81"/>
            <rFont val="Tahoma"/>
            <family val="2"/>
          </rPr>
          <t>O.D. = 1.9 in
(Sched. 40 tubing)
1.9"/12 = 0.16 ft</t>
        </r>
      </text>
    </comment>
    <comment ref="AN242" authorId="0" shapeId="0" xr:uid="{00000000-0006-0000-0800-000046000000}">
      <text>
        <r>
          <rPr>
            <sz val="8"/>
            <color indexed="81"/>
            <rFont val="Tahoma"/>
            <family val="2"/>
          </rPr>
          <t xml:space="preserve">Full shaft length.
(does not include length above shaft top)
</t>
        </r>
      </text>
    </comment>
    <comment ref="P262" authorId="1" shapeId="0" xr:uid="{00000000-0006-0000-0800-000047000000}">
      <text>
        <r>
          <rPr>
            <sz val="9"/>
            <color indexed="81"/>
            <rFont val="Tahoma"/>
            <family val="2"/>
          </rPr>
          <t>Ex. FL DOT uses
#</t>
        </r>
        <r>
          <rPr>
            <b/>
            <sz val="9"/>
            <color indexed="81"/>
            <rFont val="Tahoma"/>
            <family val="2"/>
          </rPr>
          <t xml:space="preserve">11 </t>
        </r>
        <r>
          <rPr>
            <sz val="9"/>
            <color indexed="81"/>
            <rFont val="Tahoma"/>
            <family val="2"/>
          </rPr>
          <t xml:space="preserve">Vertival Bars
</t>
        </r>
      </text>
    </comment>
    <comment ref="Q262" authorId="1" shapeId="0" xr:uid="{00000000-0006-0000-0800-000048000000}">
      <text>
        <r>
          <rPr>
            <sz val="9"/>
            <color indexed="81"/>
            <rFont val="Tahoma"/>
            <family val="2"/>
          </rPr>
          <t>Ex. FL DOT uses
#</t>
        </r>
        <r>
          <rPr>
            <b/>
            <sz val="9"/>
            <color indexed="81"/>
            <rFont val="Tahoma"/>
            <family val="2"/>
          </rPr>
          <t xml:space="preserve">5 </t>
        </r>
        <r>
          <rPr>
            <sz val="9"/>
            <color indexed="81"/>
            <rFont val="Tahoma"/>
            <family val="2"/>
          </rPr>
          <t xml:space="preserve">Tie Bars
</t>
        </r>
      </text>
    </comment>
    <comment ref="AH262" authorId="0" shapeId="0" xr:uid="{00000000-0006-0000-0800-000049000000}">
      <text>
        <r>
          <rPr>
            <sz val="8"/>
            <color indexed="81"/>
            <rFont val="Tahoma"/>
            <family val="2"/>
          </rPr>
          <t xml:space="preserve">In the equation, the
26/12 = the required
2 ft 2 inch Tie Bar overlap.
</t>
        </r>
      </text>
    </comment>
    <comment ref="AK262" authorId="0" shapeId="0" xr:uid="{00000000-0006-0000-0800-00004A000000}">
      <text>
        <r>
          <rPr>
            <sz val="8"/>
            <color indexed="81"/>
            <rFont val="Tahoma"/>
            <family val="2"/>
          </rPr>
          <t xml:space="preserve">4 tubes min.
&gt; 4 ft dia, 1 tube per 1-ft of diameter.
</t>
        </r>
      </text>
    </comment>
    <comment ref="AL262" authorId="1" shapeId="0" xr:uid="{00000000-0006-0000-0800-00004B000000}">
      <text>
        <r>
          <rPr>
            <b/>
            <sz val="8"/>
            <color indexed="81"/>
            <rFont val="Tahoma"/>
            <family val="2"/>
          </rPr>
          <t>O.D. = 1.9 in
(Sched. 40 tubing)
1.9"/12 = 0.16 ft</t>
        </r>
      </text>
    </comment>
    <comment ref="AN262" authorId="0" shapeId="0" xr:uid="{00000000-0006-0000-0800-00004C000000}">
      <text>
        <r>
          <rPr>
            <sz val="8"/>
            <color indexed="81"/>
            <rFont val="Tahoma"/>
            <family val="2"/>
          </rPr>
          <t xml:space="preserve">Full shaft length.
(does not include length above shaft top)
</t>
        </r>
      </text>
    </comment>
    <comment ref="P272" authorId="1" shapeId="0" xr:uid="{00000000-0006-0000-0800-00004D000000}">
      <text>
        <r>
          <rPr>
            <sz val="9"/>
            <color indexed="81"/>
            <rFont val="Tahoma"/>
            <family val="2"/>
          </rPr>
          <t>Ex. FL DOT uses
#</t>
        </r>
        <r>
          <rPr>
            <b/>
            <sz val="9"/>
            <color indexed="81"/>
            <rFont val="Tahoma"/>
            <family val="2"/>
          </rPr>
          <t xml:space="preserve">11 </t>
        </r>
        <r>
          <rPr>
            <sz val="9"/>
            <color indexed="81"/>
            <rFont val="Tahoma"/>
            <family val="2"/>
          </rPr>
          <t xml:space="preserve">Vertival Bars
</t>
        </r>
      </text>
    </comment>
    <comment ref="Q272" authorId="1" shapeId="0" xr:uid="{00000000-0006-0000-0800-00004E000000}">
      <text>
        <r>
          <rPr>
            <sz val="9"/>
            <color indexed="81"/>
            <rFont val="Tahoma"/>
            <family val="2"/>
          </rPr>
          <t>Ex. FL DOT uses
#</t>
        </r>
        <r>
          <rPr>
            <b/>
            <sz val="9"/>
            <color indexed="81"/>
            <rFont val="Tahoma"/>
            <family val="2"/>
          </rPr>
          <t xml:space="preserve">5 </t>
        </r>
        <r>
          <rPr>
            <sz val="9"/>
            <color indexed="81"/>
            <rFont val="Tahoma"/>
            <family val="2"/>
          </rPr>
          <t xml:space="preserve">Tie Bars
</t>
        </r>
      </text>
    </comment>
    <comment ref="AH272" authorId="0" shapeId="0" xr:uid="{00000000-0006-0000-0800-00004F000000}">
      <text>
        <r>
          <rPr>
            <sz val="8"/>
            <color indexed="81"/>
            <rFont val="Tahoma"/>
            <family val="2"/>
          </rPr>
          <t xml:space="preserve">In the equation, the
26/12 = the required
2 ft 2 inch Tie Bar overlap.
</t>
        </r>
      </text>
    </comment>
    <comment ref="AK272" authorId="0" shapeId="0" xr:uid="{00000000-0006-0000-0800-000050000000}">
      <text>
        <r>
          <rPr>
            <sz val="8"/>
            <color indexed="81"/>
            <rFont val="Tahoma"/>
            <family val="2"/>
          </rPr>
          <t xml:space="preserve">4 tubes min.
&gt; 4 ft dia, 1 tube per 1-ft of diameter.
</t>
        </r>
      </text>
    </comment>
    <comment ref="AL272" authorId="1" shapeId="0" xr:uid="{00000000-0006-0000-0800-000051000000}">
      <text>
        <r>
          <rPr>
            <b/>
            <sz val="8"/>
            <color indexed="81"/>
            <rFont val="Tahoma"/>
            <family val="2"/>
          </rPr>
          <t>O.D. = 1.9 in
(Sched. 40 tubing)
1.9"/12 = 0.16 ft</t>
        </r>
      </text>
    </comment>
    <comment ref="AN272" authorId="0" shapeId="0" xr:uid="{00000000-0006-0000-0800-000052000000}">
      <text>
        <r>
          <rPr>
            <sz val="8"/>
            <color indexed="81"/>
            <rFont val="Tahoma"/>
            <family val="2"/>
          </rPr>
          <t xml:space="preserve">Full shaft length.
(does not include length above shaft top)
</t>
        </r>
      </text>
    </comment>
    <comment ref="X287" authorId="1" shapeId="0" xr:uid="{00000000-0006-0000-0800-000053000000}">
      <text>
        <r>
          <rPr>
            <sz val="9"/>
            <color indexed="81"/>
            <rFont val="Tahoma"/>
            <family val="2"/>
          </rPr>
          <t xml:space="preserve">
Est. Steel Vol. (cy) = Total Shaft Vol. (cy) x Steel Vol. Factor
Ex.
For a 5 ft x 20 ft shaft, with a Steel factor of .0205:
Tot. Vol. = 14.544 cy.
Total Steel Vol = 14.544 x 0.0205 = 0.298 cy</t>
        </r>
      </text>
    </comment>
    <comment ref="BU287" authorId="1" shapeId="0" xr:uid="{00000000-0006-0000-0800-000054000000}">
      <text>
        <r>
          <rPr>
            <b/>
            <sz val="9"/>
            <color indexed="81"/>
            <rFont val="Tahoma"/>
            <family val="2"/>
          </rPr>
          <t>Total Shaft Vol:
calculated using shaft Dia &amp; Length</t>
        </r>
        <r>
          <rPr>
            <sz val="9"/>
            <color indexed="81"/>
            <rFont val="Tahoma"/>
            <family val="2"/>
          </rPr>
          <t xml:space="preserve">
</t>
        </r>
      </text>
    </comment>
    <comment ref="BV287" authorId="1" shapeId="0" xr:uid="{00000000-0006-0000-0800-000055000000}">
      <text>
        <r>
          <rPr>
            <sz val="9"/>
            <color indexed="81"/>
            <rFont val="Tahoma"/>
            <family val="2"/>
          </rPr>
          <t xml:space="preserve">
Est. Steel Vol. (cy) = Factor x Tot. Vol. (cy)
</t>
        </r>
      </text>
    </comment>
    <comment ref="AL288" authorId="0" shapeId="0" xr:uid="{00000000-0006-0000-0800-000056000000}">
      <text>
        <r>
          <rPr>
            <sz val="8"/>
            <color indexed="81"/>
            <rFont val="Tahoma"/>
            <family val="2"/>
          </rPr>
          <t xml:space="preserve">In the equation, the
26/12 = the required
2 ft 2 inch Tie Bar overlap.
</t>
        </r>
      </text>
    </comment>
    <comment ref="AQ288" authorId="0" shapeId="0" xr:uid="{00000000-0006-0000-0800-000057000000}">
      <text>
        <r>
          <rPr>
            <sz val="8"/>
            <color indexed="81"/>
            <rFont val="Tahoma"/>
            <family val="2"/>
          </rPr>
          <t xml:space="preserve">In the equation, the
26/12 = the required
2 ft 2 inch Tie Bar overlap.
</t>
        </r>
      </text>
    </comment>
    <comment ref="AV288" authorId="0" shapeId="0" xr:uid="{00000000-0006-0000-0800-000058000000}">
      <text>
        <r>
          <rPr>
            <sz val="8"/>
            <color indexed="81"/>
            <rFont val="Tahoma"/>
            <family val="2"/>
          </rPr>
          <t xml:space="preserve">In the equation, the
26/12 = the required
2 ft 2 inch Tie Bar overlap.
</t>
        </r>
      </text>
    </comment>
    <comment ref="BA288" authorId="0" shapeId="0" xr:uid="{00000000-0006-0000-0800-000059000000}">
      <text>
        <r>
          <rPr>
            <sz val="8"/>
            <color indexed="81"/>
            <rFont val="Tahoma"/>
            <family val="2"/>
          </rPr>
          <t xml:space="preserve">In the equation, the
26/12 = the required
2 ft 2 inch Tie Bar overlap.
</t>
        </r>
      </text>
    </comment>
    <comment ref="BF288" authorId="0" shapeId="0" xr:uid="{00000000-0006-0000-0800-00005A000000}">
      <text>
        <r>
          <rPr>
            <sz val="8"/>
            <color indexed="81"/>
            <rFont val="Tahoma"/>
            <family val="2"/>
          </rPr>
          <t xml:space="preserve">In the equation, the
26/12 = the required
2 ft 2 inch Tie Bar overlap.
</t>
        </r>
      </text>
    </comment>
    <comment ref="BI288" authorId="0" shapeId="0" xr:uid="{00000000-0006-0000-0800-00005B000000}">
      <text>
        <r>
          <rPr>
            <sz val="8"/>
            <color indexed="81"/>
            <rFont val="Tahoma"/>
            <family val="2"/>
          </rPr>
          <t xml:space="preserve">4 tubes min.
&gt; 4 ft dia, 1 tube per 1-ft of diameter.
</t>
        </r>
      </text>
    </comment>
    <comment ref="BJ288" authorId="1" shapeId="0" xr:uid="{00000000-0006-0000-0800-00005C000000}">
      <text>
        <r>
          <rPr>
            <b/>
            <sz val="8"/>
            <color indexed="81"/>
            <rFont val="Tahoma"/>
            <family val="2"/>
          </rPr>
          <t>O.D. = 1.9 in
(Sched. 40 tubing)
1.9"/12 = 0.16 ft</t>
        </r>
      </text>
    </comment>
    <comment ref="BL288" authorId="0" shapeId="0" xr:uid="{00000000-0006-0000-0800-00005D000000}">
      <text>
        <r>
          <rPr>
            <sz val="8"/>
            <color indexed="81"/>
            <rFont val="Tahoma"/>
            <family val="2"/>
          </rPr>
          <t xml:space="preserve">Full shaft length.
(does not include length above shaft top)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Castellanos, Juan</author>
  </authors>
  <commentList>
    <comment ref="T41" authorId="0" shapeId="0" xr:uid="{03389D02-CCFD-4061-B043-C6B701D02615}">
      <text>
        <r>
          <rPr>
            <b/>
            <sz val="9"/>
            <color indexed="81"/>
            <rFont val="Tahoma"/>
            <family val="2"/>
          </rPr>
          <t>In first truck: a red color font indicates tremie bottom is more than 0.5' from BOS. Blue font with yellow highlight indicates treme bottom is deeper than BOS.</t>
        </r>
        <r>
          <rPr>
            <sz val="9"/>
            <color indexed="81"/>
            <rFont val="Tahoma"/>
            <family val="2"/>
          </rPr>
          <t xml:space="preserve">
</t>
        </r>
      </text>
    </comment>
    <comment ref="BE98" authorId="0" shapeId="0" xr:uid="{00000000-0006-0000-0900-000001000000}">
      <text>
        <r>
          <rPr>
            <b/>
            <sz val="9"/>
            <color indexed="81"/>
            <rFont val="Tahoma"/>
            <family val="2"/>
          </rPr>
          <t>Input the maximum elapsed time (in hours) that can be allowed based on the slump loss test</t>
        </r>
        <r>
          <rPr>
            <sz val="9"/>
            <color indexed="81"/>
            <rFont val="Tahoma"/>
            <family val="2"/>
          </rPr>
          <t xml:space="preserve">
</t>
        </r>
      </text>
    </comment>
    <comment ref="B99" authorId="0" shapeId="0" xr:uid="{00000000-0006-0000-0900-000002000000}">
      <text>
        <r>
          <rPr>
            <b/>
            <sz val="9"/>
            <color indexed="81"/>
            <rFont val="Tahoma"/>
            <family val="2"/>
          </rPr>
          <t>Be consistent with the casing numbers used in DS Log Pg 1</t>
        </r>
        <r>
          <rPr>
            <sz val="9"/>
            <color indexed="81"/>
            <rFont val="Tahoma"/>
            <family val="2"/>
          </rPr>
          <t xml:space="preserve">
</t>
        </r>
      </text>
    </comment>
    <comment ref="BO106" authorId="0" shapeId="0" xr:uid="{6235FD2C-02C8-44C5-A61F-49D584AE39B1}">
      <text>
        <r>
          <rPr>
            <b/>
            <sz val="9"/>
            <color indexed="81"/>
            <rFont val="Tahoma"/>
            <family val="2"/>
          </rPr>
          <t>Ensure correct value from the concrete curve is entered.</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Castellanos, Juan</author>
    <author>family</author>
    <author>Robert Anthony Hipworth</author>
  </authors>
  <commentList>
    <comment ref="W7" authorId="0" shapeId="0" xr:uid="{00000000-0006-0000-0C00-000001000000}">
      <text>
        <r>
          <rPr>
            <b/>
            <sz val="9"/>
            <color indexed="81"/>
            <rFont val="Tahoma"/>
            <family val="2"/>
          </rPr>
          <t>You can plot either by elevation or shaft length.  The drop down box lets you choose the method</t>
        </r>
        <r>
          <rPr>
            <sz val="9"/>
            <color indexed="81"/>
            <rFont val="Tahoma"/>
            <family val="2"/>
          </rPr>
          <t xml:space="preserve">
</t>
        </r>
      </text>
    </comment>
    <comment ref="AB7" authorId="0" shapeId="0" xr:uid="{984A4064-03A0-44D4-9195-86AB5DD01866}">
      <text>
        <r>
          <rPr>
            <b/>
            <sz val="9"/>
            <color indexed="81"/>
            <rFont val="Tahoma"/>
            <family val="2"/>
          </rPr>
          <t>Volumes must be plotted against elevations.</t>
        </r>
        <r>
          <rPr>
            <sz val="9"/>
            <color indexed="81"/>
            <rFont val="Tahoma"/>
            <family val="2"/>
          </rPr>
          <t xml:space="preserve">
</t>
        </r>
      </text>
    </comment>
    <comment ref="AG7" authorId="0" shapeId="0" xr:uid="{00000000-0006-0000-0C00-000002000000}">
      <text>
        <r>
          <rPr>
            <b/>
            <sz val="9"/>
            <color indexed="81"/>
            <rFont val="Tahoma"/>
            <family val="2"/>
          </rPr>
          <t>You can input your own calculated value or the value suggested  in the Drop Down box.  The value from the drop down box comes from the rein.&amp;spacers sheet</t>
        </r>
        <r>
          <rPr>
            <sz val="9"/>
            <color indexed="81"/>
            <rFont val="Tahoma"/>
            <family val="2"/>
          </rPr>
          <t xml:space="preserve">
</t>
        </r>
      </text>
    </comment>
    <comment ref="AW9" authorId="1" shapeId="0" xr:uid="{00000000-0006-0000-0C00-000003000000}">
      <text>
        <r>
          <rPr>
            <b/>
            <sz val="9"/>
            <color indexed="81"/>
            <rFont val="Tahoma"/>
            <family val="2"/>
          </rPr>
          <t xml:space="preserve">
Elevation (ft):
</t>
        </r>
        <r>
          <rPr>
            <sz val="9"/>
            <color indexed="81"/>
            <rFont val="Tahoma"/>
            <family val="2"/>
          </rPr>
          <t>Bottom Elev = REF Elev - (avg bottom tag depth) from DS log Pg 1</t>
        </r>
        <r>
          <rPr>
            <b/>
            <sz val="9"/>
            <color indexed="81"/>
            <rFont val="Tahoma"/>
            <family val="2"/>
          </rPr>
          <t xml:space="preserve">
</t>
        </r>
      </text>
    </comment>
    <comment ref="CQ14" authorId="2" shapeId="0" xr:uid="{00000000-0006-0000-0C00-000004000000}">
      <text>
        <r>
          <rPr>
            <sz val="9"/>
            <color indexed="81"/>
            <rFont val="Tahoma"/>
            <family val="2"/>
          </rPr>
          <t xml:space="preserve">When a curve segment is N/A, input of this "#DIV/0!" (1/0) in point data blocks will result in those line segments not being plotted. 
</t>
        </r>
      </text>
    </comment>
    <comment ref="CS22" authorId="2" shapeId="0" xr:uid="{00000000-0006-0000-0C00-000005000000}">
      <text>
        <r>
          <rPr>
            <sz val="9"/>
            <color indexed="81"/>
            <rFont val="Tahoma"/>
            <family val="2"/>
          </rPr>
          <t xml:space="preserve">This Y (Length) data is used in calcs to apply Est Steel Vol. to Theor. Curve when user inputs the Est. Steel Vol. into cell A07.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<sst xmlns="http://schemas.openxmlformats.org/spreadsheetml/2006/main" count="3458" uniqueCount="1316">
  <si>
    <t>Truck No.</t>
  </si>
  <si>
    <t>Testing</t>
  </si>
  <si>
    <t>Left in Truck</t>
  </si>
  <si>
    <t>Notes:</t>
  </si>
  <si>
    <t>Batch Time</t>
  </si>
  <si>
    <t>Finish Time</t>
  </si>
  <si>
    <t>#</t>
  </si>
  <si>
    <t>Volume</t>
  </si>
  <si>
    <t>CONSTRUCTION</t>
  </si>
  <si>
    <t>Notes</t>
  </si>
  <si>
    <t>Page</t>
  </si>
  <si>
    <t>Tremie Depth</t>
  </si>
  <si>
    <t>(cy)</t>
  </si>
  <si>
    <t>(ft)</t>
  </si>
  <si>
    <t>Prime Lines</t>
  </si>
  <si>
    <r>
      <rPr>
        <b/>
        <sz val="14"/>
        <color theme="1"/>
        <rFont val="Calibri"/>
        <family val="2"/>
        <scheme val="minor"/>
      </rPr>
      <t xml:space="preserve">Accum. </t>
    </r>
    <r>
      <rPr>
        <b/>
        <sz val="13"/>
        <color theme="1"/>
        <rFont val="Calibri"/>
        <family val="2"/>
        <scheme val="minor"/>
      </rPr>
      <t>Vol. Placed</t>
    </r>
  </si>
  <si>
    <t>Rebar Cage Centered?</t>
  </si>
  <si>
    <t>Surface Form</t>
  </si>
  <si>
    <r>
      <t xml:space="preserve">ID </t>
    </r>
    <r>
      <rPr>
        <sz val="16"/>
        <color theme="1"/>
        <rFont val="Calibri"/>
        <family val="2"/>
        <scheme val="minor"/>
      </rPr>
      <t>(in)</t>
    </r>
  </si>
  <si>
    <r>
      <t xml:space="preserve">Length </t>
    </r>
    <r>
      <rPr>
        <sz val="16"/>
        <color theme="1"/>
        <rFont val="Calibri"/>
        <family val="2"/>
        <scheme val="minor"/>
      </rPr>
      <t>(ft)</t>
    </r>
  </si>
  <si>
    <t>)</t>
  </si>
  <si>
    <t>STATE OF FLORIDA DEPERTMENT OF TRANSPORTATION</t>
  </si>
  <si>
    <t>DRILLED SHAFT CONCRETE PLACEMENT LOG</t>
  </si>
  <si>
    <r>
      <t>Pump Line</t>
    </r>
    <r>
      <rPr>
        <sz val="16"/>
        <color theme="1"/>
        <rFont val="Calibri"/>
        <family val="2"/>
        <scheme val="minor"/>
      </rPr>
      <t>(s)</t>
    </r>
  </si>
  <si>
    <t>Depth to Concr.</t>
  </si>
  <si>
    <t>Concr. Elev.</t>
  </si>
  <si>
    <t>Top Elev.</t>
  </si>
  <si>
    <t>REF Elev.</t>
  </si>
  <si>
    <t>Bottom Elev.</t>
  </si>
  <si>
    <t>SHAFT</t>
  </si>
  <si>
    <t>X (cy)</t>
  </si>
  <si>
    <t>Y (ft)</t>
  </si>
  <si>
    <t>"Depth"</t>
  </si>
  <si>
    <t>Elev.</t>
  </si>
  <si>
    <t>Lift</t>
  </si>
  <si>
    <t>(</t>
  </si>
  <si>
    <r>
      <t xml:space="preserve">N  </t>
    </r>
    <r>
      <rPr>
        <sz val="16"/>
        <color theme="1"/>
        <rFont val="Calibri"/>
        <family val="2"/>
        <scheme val="minor"/>
      </rPr>
      <t xml:space="preserve">( </t>
    </r>
  </si>
  <si>
    <t>"Beauty Ring"</t>
  </si>
  <si>
    <r>
      <t xml:space="preserve">Left on Ground </t>
    </r>
    <r>
      <rPr>
        <sz val="14"/>
        <color theme="1"/>
        <rFont val="Calibri"/>
        <family val="2"/>
        <scheme val="minor"/>
      </rPr>
      <t>(Spillage)</t>
    </r>
  </si>
  <si>
    <r>
      <t xml:space="preserve">Volume </t>
    </r>
    <r>
      <rPr>
        <sz val="16"/>
        <rFont val="Calibri"/>
        <family val="2"/>
        <scheme val="minor"/>
      </rPr>
      <t>(VL)</t>
    </r>
  </si>
  <si>
    <r>
      <t xml:space="preserve">Volume </t>
    </r>
    <r>
      <rPr>
        <b/>
        <sz val="12"/>
        <color theme="1"/>
        <rFont val="Calibri"/>
        <family val="2"/>
        <scheme val="minor"/>
      </rPr>
      <t>Delivered</t>
    </r>
    <r>
      <rPr>
        <b/>
        <sz val="14"/>
        <color theme="1"/>
        <rFont val="Calibri"/>
        <family val="2"/>
        <scheme val="minor"/>
      </rPr>
      <t xml:space="preserve"> </t>
    </r>
    <r>
      <rPr>
        <sz val="14"/>
        <color theme="1"/>
        <rFont val="Calibri"/>
        <family val="2"/>
        <scheme val="minor"/>
      </rPr>
      <t>(VD)</t>
    </r>
  </si>
  <si>
    <r>
      <t xml:space="preserve">Volume in Lines </t>
    </r>
    <r>
      <rPr>
        <sz val="14"/>
        <color theme="1"/>
        <rFont val="Calibri"/>
        <family val="2"/>
        <scheme val="minor"/>
      </rPr>
      <t>(VL)</t>
    </r>
  </si>
  <si>
    <r>
      <t xml:space="preserve">Vol. Placed </t>
    </r>
    <r>
      <rPr>
        <sz val="14"/>
        <color theme="1"/>
        <rFont val="Calibri"/>
        <family val="2"/>
        <scheme val="minor"/>
      </rPr>
      <t>(VP)</t>
    </r>
  </si>
  <si>
    <r>
      <rPr>
        <b/>
        <sz val="10"/>
        <color theme="1"/>
        <rFont val="Calibri"/>
        <family val="2"/>
        <scheme val="minor"/>
      </rPr>
      <t>OP</t>
    </r>
    <r>
      <rPr>
        <sz val="10"/>
        <color theme="1"/>
        <rFont val="Calibri"/>
        <family val="2"/>
        <scheme val="minor"/>
      </rPr>
      <t xml:space="preserve"> = VP - VT</t>
    </r>
  </si>
  <si>
    <t>X</t>
  </si>
  <si>
    <t xml:space="preserve"> Project Name</t>
  </si>
  <si>
    <t xml:space="preserve"> Project No.</t>
  </si>
  <si>
    <t xml:space="preserve"> Contractor</t>
  </si>
  <si>
    <t xml:space="preserve"> Inspected By</t>
  </si>
  <si>
    <t xml:space="preserve"> Pier No.</t>
  </si>
  <si>
    <t xml:space="preserve"> Station</t>
  </si>
  <si>
    <t xml:space="preserve"> Placement Method:</t>
  </si>
  <si>
    <t xml:space="preserve">Approved By </t>
  </si>
  <si>
    <t xml:space="preserve">Date </t>
  </si>
  <si>
    <t xml:space="preserve">TIN # </t>
  </si>
  <si>
    <t>Selection "X"</t>
  </si>
  <si>
    <t xml:space="preserve"> (ft)</t>
  </si>
  <si>
    <r>
      <t xml:space="preserve"> ( </t>
    </r>
    <r>
      <rPr>
        <vertAlign val="superscript"/>
        <sz val="16"/>
        <color theme="1"/>
        <rFont val="Calibri"/>
        <family val="2"/>
      </rPr>
      <t>◦</t>
    </r>
    <r>
      <rPr>
        <sz val="14"/>
        <color theme="1"/>
        <rFont val="Calibri"/>
        <family val="2"/>
      </rPr>
      <t>F )</t>
    </r>
  </si>
  <si>
    <t>drop-downs</t>
  </si>
  <si>
    <t>Bottom</t>
  </si>
  <si>
    <t>Top</t>
  </si>
  <si>
    <t>Vol. Del. - Pg 2 - Lifts 11-25</t>
  </si>
  <si>
    <t>Total Vol Waste - Pg 2 - Lifts 11-25</t>
  </si>
  <si>
    <t>Vol Placed - Pg 2 - Lifts 11-25</t>
  </si>
  <si>
    <t>Total Vol Waste - Pg 3 - Lifts 26-40</t>
  </si>
  <si>
    <t>Vol Placed - Pg 3 - Lifts 26-40</t>
  </si>
  <si>
    <t>Vol in Lines - Pg 2 - Lifts 11-25</t>
  </si>
  <si>
    <t>Vol in Lines - Pg 3 - Lifts 26-40</t>
  </si>
  <si>
    <t>Shaft Top</t>
  </si>
  <si>
    <t>Shaft</t>
  </si>
  <si>
    <t>Page No. Drop-Down List</t>
  </si>
  <si>
    <r>
      <t>Active DEPTH Y</t>
    </r>
    <r>
      <rPr>
        <vertAlign val="subscript"/>
        <sz val="9"/>
        <color rgb="FF0000FF"/>
        <rFont val="Arial"/>
        <family val="2"/>
      </rPr>
      <t>1</t>
    </r>
    <r>
      <rPr>
        <sz val="10"/>
        <color rgb="FF0000FF"/>
        <rFont val="Arial"/>
        <family val="2"/>
      </rPr>
      <t xml:space="preserve"> axis labels</t>
    </r>
  </si>
  <si>
    <r>
      <t>Active ELEV Y</t>
    </r>
    <r>
      <rPr>
        <vertAlign val="subscript"/>
        <sz val="9"/>
        <color rgb="FF0000FF"/>
        <rFont val="Arial"/>
        <family val="2"/>
      </rPr>
      <t>2</t>
    </r>
    <r>
      <rPr>
        <sz val="10"/>
        <color rgb="FF0000FF"/>
        <rFont val="Arial"/>
        <family val="2"/>
      </rPr>
      <t xml:space="preserve"> axis labels</t>
    </r>
  </si>
  <si>
    <t>Unit</t>
  </si>
  <si>
    <r>
      <t>Y</t>
    </r>
    <r>
      <rPr>
        <vertAlign val="subscript"/>
        <sz val="8"/>
        <color theme="1"/>
        <rFont val="Arial"/>
        <family val="2"/>
      </rPr>
      <t>1</t>
    </r>
    <r>
      <rPr>
        <sz val="11"/>
        <color theme="1"/>
        <rFont val="Calibri"/>
        <family val="2"/>
        <scheme val="minor"/>
      </rPr>
      <t xml:space="preserve"> (ft)</t>
    </r>
  </si>
  <si>
    <r>
      <t>Y</t>
    </r>
    <r>
      <rPr>
        <vertAlign val="subscript"/>
        <sz val="8"/>
        <color rgb="FF0000FF"/>
        <rFont val="Arial"/>
        <family val="2"/>
      </rPr>
      <t>1</t>
    </r>
    <r>
      <rPr>
        <sz val="10"/>
        <color rgb="FF0000FF"/>
        <rFont val="Arial"/>
        <family val="2"/>
      </rPr>
      <t xml:space="preserve"> (ft)</t>
    </r>
  </si>
  <si>
    <r>
      <t>Y</t>
    </r>
    <r>
      <rPr>
        <vertAlign val="subscript"/>
        <sz val="10"/>
        <color theme="1"/>
        <rFont val="Arial"/>
        <family val="2"/>
      </rPr>
      <t>2</t>
    </r>
    <r>
      <rPr>
        <sz val="11"/>
        <color theme="1"/>
        <rFont val="Calibri"/>
        <family val="2"/>
        <scheme val="minor"/>
      </rPr>
      <t xml:space="preserve"> (ft)</t>
    </r>
  </si>
  <si>
    <r>
      <t>Y</t>
    </r>
    <r>
      <rPr>
        <vertAlign val="subscript"/>
        <sz val="10"/>
        <color rgb="FF0000FF"/>
        <rFont val="Arial"/>
        <family val="2"/>
      </rPr>
      <t>2</t>
    </r>
    <r>
      <rPr>
        <sz val="10"/>
        <color rgb="FF0000FF"/>
        <rFont val="Arial"/>
        <family val="2"/>
      </rPr>
      <t xml:space="preserve"> (ft)</t>
    </r>
  </si>
  <si>
    <t>Project Name</t>
  </si>
  <si>
    <t>Project No.</t>
  </si>
  <si>
    <t>Depth (ft)</t>
  </si>
  <si>
    <t>Elev. (ft)</t>
  </si>
  <si>
    <t>Contractor</t>
  </si>
  <si>
    <t>Inspected By</t>
  </si>
  <si>
    <t>Approved By</t>
  </si>
  <si>
    <t>ELEVATION  (ft)</t>
  </si>
  <si>
    <t>Drop-down list options</t>
  </si>
  <si>
    <t>X  cy/unit</t>
  </si>
  <si>
    <t>Bottom EL</t>
  </si>
  <si>
    <t>Y  ft/unit</t>
  </si>
  <si>
    <t xml:space="preserve">Active X-axis chart labels </t>
  </si>
  <si>
    <t>Manual</t>
  </si>
  <si>
    <t>Concrete VOLUME  (cy)</t>
  </si>
  <si>
    <t>DRILLED SHAFT CONCRETE VOLUMES</t>
  </si>
  <si>
    <t>REF Elev</t>
  </si>
  <si>
    <t xml:space="preserve"> SHAFT</t>
  </si>
  <si>
    <t>Top Elev</t>
  </si>
  <si>
    <t>Bottom Elev</t>
  </si>
  <si>
    <t>STATE OF FLORIDA DEPARTMENT OF TRANSPORTATION</t>
  </si>
  <si>
    <t xml:space="preserve">Date  </t>
  </si>
  <si>
    <t>AV11</t>
  </si>
  <si>
    <t>BC11</t>
  </si>
  <si>
    <t xml:space="preserve">Note:  The Drop-down units provided promote axis range selection to simplify unit increments.  Input of other upper limit numbers into cells AV11 and/or BC11 will work, but the unit increments may make it be more difficult for the user to apply the (X,Y) Theoretical &amp; Actual Concrete Curve data points. </t>
  </si>
  <si>
    <r>
      <rPr>
        <sz val="14"/>
        <rFont val="Arial"/>
        <family val="2"/>
      </rPr>
      <t xml:space="preserve">LENGTH  (ft)    </t>
    </r>
    <r>
      <rPr>
        <sz val="14"/>
        <color theme="1" tint="0.499984740745262"/>
        <rFont val="Arial"/>
        <family val="2"/>
      </rPr>
      <t>(bottom - up)</t>
    </r>
  </si>
  <si>
    <t>NOTES</t>
  </si>
  <si>
    <t>Y-axis  (Length &amp; Elevation):</t>
  </si>
  <si>
    <t>X-axis  (Concrete Volume):</t>
  </si>
  <si>
    <t>Select &amp; Apply X &amp; Y axis MAX values:</t>
  </si>
  <si>
    <r>
      <t>X</t>
    </r>
    <r>
      <rPr>
        <sz val="12"/>
        <rFont val="Arial"/>
        <family val="2"/>
      </rPr>
      <t xml:space="preserve"> (cy):</t>
    </r>
  </si>
  <si>
    <r>
      <t>Y</t>
    </r>
    <r>
      <rPr>
        <sz val="12"/>
        <rFont val="Arial"/>
        <family val="2"/>
      </rPr>
      <t xml:space="preserve"> (ft):</t>
    </r>
  </si>
  <si>
    <r>
      <t xml:space="preserve">Top EL </t>
    </r>
    <r>
      <rPr>
        <sz val="14"/>
        <color theme="1"/>
        <rFont val="Calibri"/>
        <family val="2"/>
        <scheme val="minor"/>
      </rPr>
      <t>(ft)</t>
    </r>
  </si>
  <si>
    <r>
      <t xml:space="preserve">Bot. EL </t>
    </r>
    <r>
      <rPr>
        <sz val="14"/>
        <color theme="1"/>
        <rFont val="Calibri"/>
        <family val="2"/>
        <scheme val="minor"/>
      </rPr>
      <t>(ft)</t>
    </r>
  </si>
  <si>
    <t>Casing 1</t>
  </si>
  <si>
    <t>Casing 2</t>
  </si>
  <si>
    <t>Installation Time</t>
  </si>
  <si>
    <t>Start</t>
  </si>
  <si>
    <t>Finish</t>
  </si>
  <si>
    <t>Removal Time</t>
  </si>
  <si>
    <t>Tremie</t>
  </si>
  <si>
    <t>Pump</t>
  </si>
  <si>
    <r>
      <t xml:space="preserve">Shaft </t>
    </r>
    <r>
      <rPr>
        <b/>
        <sz val="12"/>
        <color theme="1"/>
        <rFont val="Calibri"/>
        <family val="2"/>
        <scheme val="minor"/>
      </rPr>
      <t>Length</t>
    </r>
    <r>
      <rPr>
        <sz val="12"/>
        <color theme="1"/>
        <rFont val="Calibri"/>
        <family val="2"/>
        <scheme val="minor"/>
      </rPr>
      <t xml:space="preserve"> = REF EL - Bottom EL  =  avg of the 5 tag depths  (via Pg 2 of "Drilled Shaft Log" form 70001084).</t>
    </r>
  </si>
  <si>
    <r>
      <t xml:space="preserve">Length </t>
    </r>
    <r>
      <rPr>
        <b/>
        <sz val="14"/>
        <color rgb="FFC00000"/>
        <rFont val="Calibri"/>
        <family val="2"/>
        <scheme val="minor"/>
      </rPr>
      <t xml:space="preserve">(Tip to REF) (ft)  </t>
    </r>
    <r>
      <rPr>
        <b/>
        <sz val="14"/>
        <color rgb="FFC00000"/>
        <rFont val="Calibri"/>
        <family val="2"/>
      </rPr>
      <t>→</t>
    </r>
  </si>
  <si>
    <t>Shaft No.</t>
  </si>
  <si>
    <r>
      <t>Shaft</t>
    </r>
    <r>
      <rPr>
        <sz val="14"/>
        <color theme="1"/>
        <rFont val="Calibri"/>
        <family val="2"/>
        <scheme val="minor"/>
      </rPr>
      <t xml:space="preserve"> </t>
    </r>
    <r>
      <rPr>
        <b/>
        <sz val="16"/>
        <color theme="1"/>
        <rFont val="Calibri"/>
        <family val="2"/>
        <scheme val="minor"/>
      </rPr>
      <t>Dia.</t>
    </r>
  </si>
  <si>
    <t xml:space="preserve">Tremie ID (in)  </t>
  </si>
  <si>
    <t xml:space="preserve">Tremie Length (ft)  </t>
  </si>
  <si>
    <t>ID</t>
  </si>
  <si>
    <t>Before</t>
  </si>
  <si>
    <t>After</t>
  </si>
  <si>
    <t>Truck Placement</t>
  </si>
  <si>
    <t>*(in)</t>
  </si>
  <si>
    <t xml:space="preserve">*(ft) </t>
  </si>
  <si>
    <t>misc Dia.'s</t>
  </si>
  <si>
    <t xml:space="preserve">ID </t>
  </si>
  <si>
    <t xml:space="preserve">Length </t>
  </si>
  <si>
    <r>
      <rPr>
        <b/>
        <sz val="18"/>
        <color theme="1"/>
        <rFont val="Calibri"/>
        <family val="2"/>
        <scheme val="minor"/>
      </rPr>
      <t xml:space="preserve"> </t>
    </r>
    <r>
      <rPr>
        <b/>
        <u/>
        <sz val="18"/>
        <color theme="1"/>
        <rFont val="Calibri"/>
        <family val="2"/>
        <scheme val="minor"/>
      </rPr>
      <t>CASING</t>
    </r>
    <r>
      <rPr>
        <b/>
        <u/>
        <sz val="18"/>
        <color theme="1"/>
        <rFont val="Calibri"/>
        <family val="2"/>
        <scheme val="minor"/>
      </rPr>
      <t>:</t>
    </r>
  </si>
  <si>
    <r>
      <t>Left in Pump Hopper  (LPH)</t>
    </r>
    <r>
      <rPr>
        <sz val="12"/>
        <color theme="1"/>
        <rFont val="Calibri"/>
        <family val="2"/>
        <scheme val="minor"/>
      </rPr>
      <t xml:space="preserve"> (cy)</t>
    </r>
  </si>
  <si>
    <t>LPH before - Pg 2 - Lifts 11-25</t>
  </si>
  <si>
    <t>Vol. Del. - Pg 3 - Lifts 26-40</t>
  </si>
  <si>
    <t>LPH before - Pg 3 - Lifts 26-40</t>
  </si>
  <si>
    <t>LPH after - Pg 2 - Lifts 11-25</t>
  </si>
  <si>
    <t>LPH after - Pg 3 - Lifts 26-40</t>
  </si>
  <si>
    <r>
      <t>LPH</t>
    </r>
    <r>
      <rPr>
        <vertAlign val="subscript"/>
        <sz val="12"/>
        <color theme="1"/>
        <rFont val="Calibri"/>
        <family val="2"/>
        <scheme val="minor"/>
      </rPr>
      <t>T after</t>
    </r>
    <r>
      <rPr>
        <sz val="11"/>
        <color theme="1"/>
        <rFont val="Calibri"/>
        <family val="2"/>
      </rPr>
      <t>→</t>
    </r>
  </si>
  <si>
    <t xml:space="preserve">      Volume Wastage (VW) (cy)</t>
  </si>
  <si>
    <r>
      <t>LPH</t>
    </r>
    <r>
      <rPr>
        <vertAlign val="subscript"/>
        <sz val="13"/>
        <color theme="1"/>
        <rFont val="Calibri"/>
        <family val="2"/>
        <scheme val="minor"/>
      </rPr>
      <t>1 before</t>
    </r>
  </si>
  <si>
    <r>
      <t>LPH</t>
    </r>
    <r>
      <rPr>
        <vertAlign val="subscript"/>
        <sz val="13"/>
        <color theme="1"/>
        <rFont val="Calibri"/>
        <family val="2"/>
        <scheme val="minor"/>
      </rPr>
      <t>3 before</t>
    </r>
  </si>
  <si>
    <r>
      <t>LPH</t>
    </r>
    <r>
      <rPr>
        <vertAlign val="subscript"/>
        <sz val="13"/>
        <color theme="1"/>
        <rFont val="Calibri"/>
        <family val="2"/>
        <scheme val="minor"/>
      </rPr>
      <t>2 before</t>
    </r>
  </si>
  <si>
    <r>
      <t>Batch Time</t>
    </r>
    <r>
      <rPr>
        <b/>
        <sz val="12"/>
        <color theme="1"/>
        <rFont val="Calibri"/>
        <family val="2"/>
        <scheme val="minor"/>
      </rPr>
      <t/>
    </r>
  </si>
  <si>
    <t>REJECTED</t>
  </si>
  <si>
    <t xml:space="preserve">  Structure No./ID</t>
  </si>
  <si>
    <t xml:space="preserve">  Station</t>
  </si>
  <si>
    <t>Offset</t>
  </si>
  <si>
    <t xml:space="preserve"> Structure No./ID</t>
  </si>
  <si>
    <t xml:space="preserve">  Offset</t>
  </si>
  <si>
    <t xml:space="preserve">   Offset</t>
  </si>
  <si>
    <t xml:space="preserve">    Pier No.</t>
  </si>
  <si>
    <t xml:space="preserve">    Shaft No.</t>
  </si>
  <si>
    <t xml:space="preserve">    Structure No./ID</t>
  </si>
  <si>
    <t xml:space="preserve">    Station</t>
  </si>
  <si>
    <t xml:space="preserve">       Page </t>
  </si>
  <si>
    <t>LPH</t>
  </si>
  <si>
    <t>"R"</t>
  </si>
  <si>
    <t>for</t>
  </si>
  <si>
    <t>after</t>
  </si>
  <si>
    <t>before</t>
  </si>
  <si>
    <t>LPH Total</t>
  </si>
  <si>
    <t>(input)</t>
  </si>
  <si>
    <t>Start Time or Load REJECTED</t>
  </si>
  <si>
    <t>LPH  after</t>
  </si>
  <si>
    <t>Top EL</t>
  </si>
  <si>
    <t>Bot EL</t>
  </si>
  <si>
    <t>C1 Length</t>
  </si>
  <si>
    <t>C1</t>
  </si>
  <si>
    <t>C2</t>
  </si>
  <si>
    <t>Shaft Dia.</t>
  </si>
  <si>
    <t>Csg 1</t>
  </si>
  <si>
    <t>Csg 2</t>
  </si>
  <si>
    <t>bottom EL</t>
  </si>
  <si>
    <t>T1</t>
  </si>
  <si>
    <t>T2</t>
  </si>
  <si>
    <t>top EL</t>
  </si>
  <si>
    <t>B1</t>
  </si>
  <si>
    <t>B2</t>
  </si>
  <si>
    <t>Uncased</t>
  </si>
  <si>
    <t>Dia. (ID)</t>
  </si>
  <si>
    <t>ID1</t>
  </si>
  <si>
    <t>ID2</t>
  </si>
  <si>
    <t>Actual Curve</t>
  </si>
  <si>
    <t>Actual</t>
  </si>
  <si>
    <t>VP</t>
  </si>
  <si>
    <t>Not Placed</t>
  </si>
  <si>
    <t xml:space="preserve">7000-010-89 Pg. 1 Trucks 1-10 </t>
  </si>
  <si>
    <t xml:space="preserve">7000-010-89 Pg. 2 Trucks 11-25 </t>
  </si>
  <si>
    <t xml:space="preserve">7000-010-89 Pg. 3 Trucks 26-40 </t>
  </si>
  <si>
    <r>
      <t xml:space="preserve">Start Time </t>
    </r>
    <r>
      <rPr>
        <b/>
        <sz val="12"/>
        <color theme="1"/>
        <rFont val="Calibri"/>
        <family val="2"/>
        <scheme val="minor"/>
      </rPr>
      <t>or</t>
    </r>
  </si>
  <si>
    <t>VD that is either REJECTED or Not Placed</t>
  </si>
  <si>
    <t>-</t>
  </si>
  <si>
    <t>=</t>
  </si>
  <si>
    <r>
      <rPr>
        <sz val="12"/>
        <rFont val="Calibri"/>
        <family val="2"/>
      </rPr>
      <t>←</t>
    </r>
    <r>
      <rPr>
        <sz val="12"/>
        <rFont val="Calibri"/>
        <family val="2"/>
        <scheme val="minor"/>
      </rPr>
      <t>VL</t>
    </r>
    <r>
      <rPr>
        <vertAlign val="subscript"/>
        <sz val="12"/>
        <rFont val="Calibri"/>
        <family val="2"/>
        <scheme val="minor"/>
      </rPr>
      <t>1</t>
    </r>
    <r>
      <rPr>
        <sz val="12"/>
        <rFont val="Calibri"/>
        <family val="2"/>
        <scheme val="minor"/>
      </rPr>
      <t xml:space="preserve">  VP</t>
    </r>
    <r>
      <rPr>
        <vertAlign val="subscript"/>
        <sz val="12"/>
        <rFont val="Calibri"/>
        <family val="2"/>
        <scheme val="minor"/>
      </rPr>
      <t>1</t>
    </r>
  </si>
  <si>
    <r>
      <t>VD</t>
    </r>
    <r>
      <rPr>
        <vertAlign val="subscript"/>
        <sz val="13"/>
        <color theme="1"/>
        <rFont val="Calibri"/>
        <family val="2"/>
        <scheme val="minor"/>
      </rPr>
      <t>3 Total</t>
    </r>
  </si>
  <si>
    <r>
      <t>VD</t>
    </r>
    <r>
      <rPr>
        <vertAlign val="subscript"/>
        <sz val="13"/>
        <color theme="1"/>
        <rFont val="Calibri"/>
        <family val="2"/>
        <scheme val="minor"/>
      </rPr>
      <t>2 Total</t>
    </r>
  </si>
  <si>
    <r>
      <t xml:space="preserve"> </t>
    </r>
    <r>
      <rPr>
        <sz val="13"/>
        <color rgb="FFC00000"/>
        <rFont val="Calibri"/>
        <family val="2"/>
        <scheme val="minor"/>
      </rPr>
      <t xml:space="preserve"> VD</t>
    </r>
    <r>
      <rPr>
        <vertAlign val="subscript"/>
        <sz val="13"/>
        <color rgb="FFC00000"/>
        <rFont val="Calibri"/>
        <family val="2"/>
        <scheme val="minor"/>
      </rPr>
      <t>3 RNP</t>
    </r>
    <r>
      <rPr>
        <sz val="13"/>
        <color rgb="FFC00000"/>
        <rFont val="Calibri"/>
        <family val="2"/>
        <scheme val="minor"/>
      </rPr>
      <t xml:space="preserve">     </t>
    </r>
    <r>
      <rPr>
        <sz val="12"/>
        <color rgb="FFC00000"/>
        <rFont val="Calibri"/>
        <family val="2"/>
        <scheme val="minor"/>
      </rPr>
      <t xml:space="preserve">  </t>
    </r>
    <r>
      <rPr>
        <sz val="14"/>
        <rFont val="Calibri"/>
        <family val="2"/>
        <scheme val="minor"/>
      </rPr>
      <t>=</t>
    </r>
  </si>
  <si>
    <r>
      <t>VD</t>
    </r>
    <r>
      <rPr>
        <vertAlign val="subscript"/>
        <sz val="13"/>
        <rFont val="Calibri"/>
        <family val="2"/>
        <scheme val="minor"/>
      </rPr>
      <t>1 Total</t>
    </r>
  </si>
  <si>
    <r>
      <t xml:space="preserve"> VD</t>
    </r>
    <r>
      <rPr>
        <vertAlign val="subscript"/>
        <sz val="13"/>
        <color rgb="FFC00000"/>
        <rFont val="Calibri"/>
        <family val="2"/>
        <scheme val="minor"/>
      </rPr>
      <t>1 RNP</t>
    </r>
  </si>
  <si>
    <r>
      <t>VD</t>
    </r>
    <r>
      <rPr>
        <vertAlign val="subscript"/>
        <sz val="12"/>
        <rFont val="Calibri"/>
        <family val="2"/>
        <scheme val="minor"/>
      </rPr>
      <t>TOTAL</t>
    </r>
    <r>
      <rPr>
        <sz val="12"/>
        <rFont val="Calibri"/>
        <family val="2"/>
        <scheme val="minor"/>
      </rPr>
      <t xml:space="preserve"> (Pg 1-3) =</t>
    </r>
  </si>
  <si>
    <r>
      <t xml:space="preserve">  VD</t>
    </r>
    <r>
      <rPr>
        <vertAlign val="subscript"/>
        <sz val="13"/>
        <color rgb="FFC00000"/>
        <rFont val="Calibri"/>
        <family val="2"/>
        <scheme val="minor"/>
      </rPr>
      <t>2 RNP</t>
    </r>
    <r>
      <rPr>
        <sz val="13"/>
        <color rgb="FFC00000"/>
        <rFont val="Calibri"/>
        <family val="2"/>
        <scheme val="minor"/>
      </rPr>
      <t/>
    </r>
  </si>
  <si>
    <t xml:space="preserve">    Pg. 3  Totals (Truck loads  26 - 40) :</t>
  </si>
  <si>
    <t xml:space="preserve">    Pg. 2  Totals (Truck loads  11 - 25) :</t>
  </si>
  <si>
    <r>
      <t>VW</t>
    </r>
    <r>
      <rPr>
        <vertAlign val="subscript"/>
        <sz val="13"/>
        <rFont val="Calibri"/>
        <family val="2"/>
        <scheme val="minor"/>
      </rPr>
      <t>3</t>
    </r>
  </si>
  <si>
    <r>
      <t>VL</t>
    </r>
    <r>
      <rPr>
        <vertAlign val="subscript"/>
        <sz val="13"/>
        <color theme="0" tint="-0.499984740745262"/>
        <rFont val="Calibri"/>
        <family val="2"/>
        <scheme val="minor"/>
      </rPr>
      <t>3</t>
    </r>
  </si>
  <si>
    <r>
      <t>VP</t>
    </r>
    <r>
      <rPr>
        <vertAlign val="subscript"/>
        <sz val="13"/>
        <color theme="0" tint="-0.499984740745262"/>
        <rFont val="Calibri"/>
        <family val="2"/>
        <scheme val="minor"/>
      </rPr>
      <t>3</t>
    </r>
  </si>
  <si>
    <r>
      <t>VW</t>
    </r>
    <r>
      <rPr>
        <vertAlign val="subscript"/>
        <sz val="13"/>
        <rFont val="Calibri"/>
        <family val="2"/>
        <scheme val="minor"/>
      </rPr>
      <t>2</t>
    </r>
  </si>
  <si>
    <r>
      <t>VL</t>
    </r>
    <r>
      <rPr>
        <vertAlign val="subscript"/>
        <sz val="13"/>
        <color theme="0" tint="-0.499984740745262"/>
        <rFont val="Calibri"/>
        <family val="2"/>
        <scheme val="minor"/>
      </rPr>
      <t>2</t>
    </r>
  </si>
  <si>
    <r>
      <t>VP</t>
    </r>
    <r>
      <rPr>
        <vertAlign val="subscript"/>
        <sz val="13"/>
        <color theme="0" tint="-0.499984740745262"/>
        <rFont val="Calibri"/>
        <family val="2"/>
        <scheme val="minor"/>
      </rPr>
      <t>2</t>
    </r>
  </si>
  <si>
    <r>
      <rPr>
        <sz val="12"/>
        <rFont val="Calibri"/>
        <family val="2"/>
        <scheme val="minor"/>
      </rPr>
      <t>[</t>
    </r>
    <r>
      <rPr>
        <sz val="12"/>
        <color rgb="FFC00000"/>
        <rFont val="Calibri"/>
        <family val="2"/>
        <scheme val="minor"/>
      </rPr>
      <t>VD</t>
    </r>
    <r>
      <rPr>
        <vertAlign val="subscript"/>
        <sz val="12"/>
        <color rgb="FFC00000"/>
        <rFont val="Calibri"/>
        <family val="2"/>
        <scheme val="minor"/>
      </rPr>
      <t>RNP</t>
    </r>
    <r>
      <rPr>
        <sz val="12"/>
        <color rgb="FFC00000"/>
        <rFont val="Calibri"/>
        <family val="2"/>
        <scheme val="minor"/>
      </rPr>
      <t xml:space="preserve"> = VD</t>
    </r>
    <r>
      <rPr>
        <vertAlign val="subscript"/>
        <sz val="12"/>
        <color rgb="FFC00000"/>
        <rFont val="Calibri"/>
        <family val="2"/>
        <scheme val="minor"/>
      </rPr>
      <t>Reject. or Not Placed</t>
    </r>
    <r>
      <rPr>
        <sz val="12"/>
        <rFont val="Calibri"/>
        <family val="2"/>
        <scheme val="minor"/>
      </rPr>
      <t>]</t>
    </r>
  </si>
  <si>
    <r>
      <rPr>
        <sz val="14"/>
        <rFont val="Calibri"/>
        <family val="2"/>
        <scheme val="minor"/>
      </rPr>
      <t xml:space="preserve">[ </t>
    </r>
    <r>
      <rPr>
        <sz val="14"/>
        <color rgb="FFC00000"/>
        <rFont val="Calibri"/>
        <family val="2"/>
        <scheme val="minor"/>
      </rPr>
      <t xml:space="preserve"> VD</t>
    </r>
    <r>
      <rPr>
        <vertAlign val="subscript"/>
        <sz val="14"/>
        <color rgb="FFC00000"/>
        <rFont val="Calibri"/>
        <family val="2"/>
        <scheme val="minor"/>
      </rPr>
      <t xml:space="preserve">2 RNP </t>
    </r>
    <r>
      <rPr>
        <sz val="14"/>
        <color rgb="FFC00000"/>
        <rFont val="Calibri"/>
        <family val="2"/>
        <scheme val="minor"/>
      </rPr>
      <t xml:space="preserve"> =  VD</t>
    </r>
    <r>
      <rPr>
        <vertAlign val="subscript"/>
        <sz val="14"/>
        <color rgb="FFC00000"/>
        <rFont val="Calibri"/>
        <family val="2"/>
        <scheme val="minor"/>
      </rPr>
      <t>Pg 2  Rejected or Not Placed</t>
    </r>
    <r>
      <rPr>
        <sz val="14"/>
        <color rgb="FFC00000"/>
        <rFont val="Calibri"/>
        <family val="2"/>
        <scheme val="minor"/>
      </rPr>
      <t xml:space="preserve">  </t>
    </r>
    <r>
      <rPr>
        <sz val="14"/>
        <rFont val="Calibri"/>
        <family val="2"/>
        <scheme val="minor"/>
      </rPr>
      <t>]</t>
    </r>
  </si>
  <si>
    <r>
      <rPr>
        <sz val="13"/>
        <rFont val="Calibri"/>
        <family val="2"/>
        <scheme val="minor"/>
      </rPr>
      <t>[</t>
    </r>
    <r>
      <rPr>
        <sz val="13"/>
        <color rgb="FFC00000"/>
        <rFont val="Calibri"/>
        <family val="2"/>
        <scheme val="minor"/>
      </rPr>
      <t xml:space="preserve">  VD</t>
    </r>
    <r>
      <rPr>
        <vertAlign val="subscript"/>
        <sz val="13"/>
        <color rgb="FFC00000"/>
        <rFont val="Calibri"/>
        <family val="2"/>
        <scheme val="minor"/>
      </rPr>
      <t xml:space="preserve">3 RNP </t>
    </r>
    <r>
      <rPr>
        <sz val="13"/>
        <color rgb="FFC00000"/>
        <rFont val="Calibri"/>
        <family val="2"/>
        <scheme val="minor"/>
      </rPr>
      <t xml:space="preserve"> =  VD</t>
    </r>
    <r>
      <rPr>
        <vertAlign val="subscript"/>
        <sz val="13"/>
        <color rgb="FFC00000"/>
        <rFont val="Calibri"/>
        <family val="2"/>
        <scheme val="minor"/>
      </rPr>
      <t>Pg 3  Rejected or Not Placed</t>
    </r>
    <r>
      <rPr>
        <sz val="13"/>
        <color rgb="FFC00000"/>
        <rFont val="Calibri"/>
        <family val="2"/>
        <scheme val="minor"/>
      </rPr>
      <t xml:space="preserve">  </t>
    </r>
    <r>
      <rPr>
        <sz val="13"/>
        <rFont val="Calibri"/>
        <family val="2"/>
        <scheme val="minor"/>
      </rPr>
      <t>]</t>
    </r>
  </si>
  <si>
    <r>
      <t xml:space="preserve">  Pg. 1  Totals (</t>
    </r>
    <r>
      <rPr>
        <sz val="14"/>
        <color theme="1" tint="0.499984740745262"/>
        <rFont val="Calibri"/>
        <family val="2"/>
        <scheme val="minor"/>
      </rPr>
      <t>XX</t>
    </r>
    <r>
      <rPr>
        <vertAlign val="subscript"/>
        <sz val="14"/>
        <color theme="1"/>
        <rFont val="Calibri"/>
        <family val="2"/>
        <scheme val="minor"/>
      </rPr>
      <t>1</t>
    </r>
    <r>
      <rPr>
        <sz val="14"/>
        <color theme="1"/>
        <rFont val="Calibri"/>
        <family val="2"/>
        <scheme val="minor"/>
      </rPr>
      <t xml:space="preserve"> ) (Truck loads  1 - 10) :</t>
    </r>
  </si>
  <si>
    <t>White shaded cells are Locked cells -  to protect embedded equations and sheet details -  Excel input in these cell areas is blocked.</t>
  </si>
  <si>
    <t>Page No.</t>
  </si>
  <si>
    <t>drop-down list</t>
  </si>
  <si>
    <t>Units drop-downs</t>
  </si>
  <si>
    <t>Misc drop-downs</t>
  </si>
  <si>
    <t>This table area is used for LPH after / LPH before calcs and REJECTED/Not Placed related processing</t>
  </si>
  <si>
    <r>
      <rPr>
        <b/>
        <sz val="9"/>
        <color theme="1"/>
        <rFont val="Calibri"/>
        <family val="2"/>
        <scheme val="minor"/>
      </rPr>
      <t>Total VD</t>
    </r>
    <r>
      <rPr>
        <sz val="9"/>
        <color theme="1"/>
        <rFont val="Calibri"/>
        <family val="2"/>
        <scheme val="minor"/>
      </rPr>
      <t xml:space="preserve"> (Placed, REJECTED, Not Placed)</t>
    </r>
  </si>
  <si>
    <t>Earliest Batch Time for Placed Concrete</t>
  </si>
  <si>
    <t>All Batch Times</t>
  </si>
  <si>
    <t xml:space="preserve">Time Bolts Installed &amp; Concrete Finished </t>
  </si>
  <si>
    <t>Concrete Placement Time (hrs)</t>
  </si>
  <si>
    <r>
      <t>LPH</t>
    </r>
    <r>
      <rPr>
        <vertAlign val="subscript"/>
        <sz val="13"/>
        <color theme="1"/>
        <rFont val="Calibri"/>
        <family val="2"/>
        <scheme val="minor"/>
      </rPr>
      <t>3 after</t>
    </r>
  </si>
  <si>
    <r>
      <t>LPH</t>
    </r>
    <r>
      <rPr>
        <vertAlign val="subscript"/>
        <sz val="13"/>
        <color theme="1"/>
        <rFont val="Calibri"/>
        <family val="2"/>
        <scheme val="minor"/>
      </rPr>
      <t>2 after</t>
    </r>
  </si>
  <si>
    <r>
      <rPr>
        <sz val="11"/>
        <color theme="1"/>
        <rFont val="Calibri"/>
        <family val="2"/>
      </rPr>
      <t>←</t>
    </r>
    <r>
      <rPr>
        <sz val="12"/>
        <color theme="1"/>
        <rFont val="Calibri"/>
        <family val="2"/>
        <scheme val="minor"/>
      </rPr>
      <t>LPH</t>
    </r>
    <r>
      <rPr>
        <vertAlign val="subscript"/>
        <sz val="12"/>
        <color theme="1"/>
        <rFont val="Calibri"/>
        <family val="2"/>
        <scheme val="minor"/>
      </rPr>
      <t xml:space="preserve">T before     </t>
    </r>
    <r>
      <rPr>
        <sz val="12"/>
        <color theme="1"/>
        <rFont val="Calibri"/>
        <family val="2"/>
        <scheme val="minor"/>
      </rPr>
      <t>VW</t>
    </r>
    <r>
      <rPr>
        <vertAlign val="subscript"/>
        <sz val="12"/>
        <color theme="1"/>
        <rFont val="Calibri"/>
        <family val="2"/>
        <scheme val="minor"/>
      </rPr>
      <t>1</t>
    </r>
  </si>
  <si>
    <t>REF</t>
  </si>
  <si>
    <t>Dia.</t>
  </si>
  <si>
    <t>Concreting Curve Title</t>
  </si>
  <si>
    <t>Casing Info. via Pg. 1</t>
  </si>
  <si>
    <t>Shaft Info. via Pg. 1</t>
  </si>
  <si>
    <t>REF EL</t>
  </si>
  <si>
    <t>Pg. 1</t>
  </si>
  <si>
    <t>Pg. 2</t>
  </si>
  <si>
    <t>Pg. 3</t>
  </si>
  <si>
    <t>&amp;  Cage Centered ?</t>
  </si>
  <si>
    <t xml:space="preserve">Placement Method </t>
  </si>
  <si>
    <t>Shaft Bottom</t>
  </si>
  <si>
    <r>
      <t xml:space="preserve">  Actual Curve (X cy, Y ft) plot pts.                                        </t>
    </r>
    <r>
      <rPr>
        <sz val="18"/>
        <rFont val="Calibri"/>
        <family val="2"/>
        <scheme val="minor"/>
      </rPr>
      <t xml:space="preserve">(used on "Excel Concr. Curve" sheet) </t>
    </r>
  </si>
  <si>
    <t>via Pg 1 - Project &amp; Shaft No.'s: J11 &amp; A11</t>
  </si>
  <si>
    <t>Dia. (ft)</t>
  </si>
  <si>
    <t>"B. Ring"</t>
  </si>
  <si>
    <t>Uncased Shaft, or B. Ring Dia.</t>
  </si>
  <si>
    <t>Top Segment</t>
  </si>
  <si>
    <t>Units</t>
  </si>
  <si>
    <r>
      <rPr>
        <sz val="10"/>
        <rFont val="Arial"/>
        <family val="2"/>
      </rPr>
      <t>*</t>
    </r>
    <r>
      <rPr>
        <sz val="10"/>
        <color rgb="FF008000"/>
        <rFont val="Arial"/>
        <family val="2"/>
      </rPr>
      <t>Length (ft)</t>
    </r>
  </si>
  <si>
    <t>*not curently used in calcs</t>
  </si>
  <si>
    <t>Surf. Form</t>
  </si>
  <si>
    <t xml:space="preserve">Length:  </t>
  </si>
  <si>
    <t xml:space="preserve">Dia.:  </t>
  </si>
  <si>
    <t>B. Ring</t>
  </si>
  <si>
    <t>Pg. 1 K99</t>
  </si>
  <si>
    <t>Pg 1 CC25</t>
  </si>
  <si>
    <t>Pg 1 CA25</t>
  </si>
  <si>
    <t>Pg 1 CA28</t>
  </si>
  <si>
    <t>Pg 1 CC28</t>
  </si>
  <si>
    <t>Pg 1 I102</t>
  </si>
  <si>
    <t>Pg 1 I106</t>
  </si>
  <si>
    <t>no.'s used in "If()" calcs</t>
  </si>
  <si>
    <t>Excel Concr. Curve sheet</t>
  </si>
  <si>
    <t>calculated Theor. Volume</t>
  </si>
  <si>
    <t>cy</t>
  </si>
  <si>
    <r>
      <rPr>
        <sz val="10"/>
        <color rgb="FF0000FF"/>
        <rFont val="Arial"/>
        <family val="2"/>
      </rPr>
      <t>EXCEL</t>
    </r>
    <r>
      <rPr>
        <sz val="10"/>
        <rFont val="Arial"/>
        <family val="2"/>
      </rPr>
      <t xml:space="preserve"> Concreting Curve</t>
    </r>
  </si>
  <si>
    <t>Pg 1 Q25</t>
  </si>
  <si>
    <t>Pg 1 L25</t>
  </si>
  <si>
    <t>Header drop-downs (via Pg. 1)</t>
  </si>
  <si>
    <r>
      <rPr>
        <sz val="10"/>
        <color rgb="FF0000FF"/>
        <rFont val="Arial"/>
        <family val="2"/>
      </rPr>
      <t>FIELD</t>
    </r>
    <r>
      <rPr>
        <sz val="10"/>
        <rFont val="Arial"/>
        <family val="2"/>
      </rPr>
      <t xml:space="preserve"> Concreting Curve</t>
    </r>
  </si>
  <si>
    <t>Earliest Batch Time</t>
  </si>
  <si>
    <t>(placed)</t>
  </si>
  <si>
    <t>No.</t>
  </si>
  <si>
    <t>Length (Shaft Top-to Bottom) (ft)</t>
  </si>
  <si>
    <t xml:space="preserve"> Est. Steel Vol. (cy)</t>
  </si>
  <si>
    <t>Est. Steel Vol. (rebar cage)</t>
  </si>
  <si>
    <t>Estimated Steel Vol. (cy)   via cell AO7 manual input on this sheet</t>
  </si>
  <si>
    <t>*X (cy)</t>
  </si>
  <si>
    <t>*Calc.</t>
  </si>
  <si>
    <t>Includes Est. Steel Vol. (if / when input in cell AO7), Lift Dia. (ft) due to revised X (cy) volumes</t>
  </si>
  <si>
    <r>
      <t xml:space="preserve">If the back-calculated             Lift Avg. Dia. &lt; Shaft Dia.           the </t>
    </r>
    <r>
      <rPr>
        <sz val="10"/>
        <color rgb="FFC00000"/>
        <rFont val="Arial"/>
        <family val="2"/>
      </rPr>
      <t>Undersize Dia.</t>
    </r>
    <r>
      <rPr>
        <sz val="10"/>
        <color theme="1"/>
        <rFont val="Arial"/>
        <family val="2"/>
      </rPr>
      <t xml:space="preserve"> will be displayed adjacent to the top (X,Y) point of that Lift segment.</t>
    </r>
  </si>
  <si>
    <t>Y-axis type - Length or EL?</t>
  </si>
  <si>
    <t>LENGTH  (ft)  (bottom-up)</t>
  </si>
  <si>
    <t>Y-axis Titles</t>
  </si>
  <si>
    <t>Selected</t>
  </si>
  <si>
    <t>Length (ft)</t>
  </si>
  <si>
    <t>Length</t>
  </si>
  <si>
    <t>*Y-axis</t>
  </si>
  <si>
    <t>Top Csg 1</t>
  </si>
  <si>
    <t>Bot Csg 1</t>
  </si>
  <si>
    <t>Bot Csg 2</t>
  </si>
  <si>
    <t>Top Csg 2</t>
  </si>
  <si>
    <t>Csg 1 Dia.</t>
  </si>
  <si>
    <t>Csg 2 Dia.</t>
  </si>
  <si>
    <t>EL</t>
  </si>
  <si>
    <t>Theor.</t>
  </si>
  <si>
    <t>Applicable</t>
  </si>
  <si>
    <t>**This variable Dia. table adjusts to shaft geometry, and is used to automatically check the back-calculated Dia.'s BVxx.  If a BVxx Dia. is &lt; the correspnding CCxx Dia., the Lift Dia. Will be flagged in BSxx, and the Dia. Will be highlighted on the Concreting Curve.</t>
  </si>
  <si>
    <t>TOP    40</t>
  </si>
  <si>
    <t>Trucks  33</t>
  </si>
  <si>
    <t>Pg. 3    34</t>
  </si>
  <si>
    <t>26-40   32</t>
  </si>
  <si>
    <t>Trucks  18</t>
  </si>
  <si>
    <t>Pg. 1    19</t>
  </si>
  <si>
    <t>Pg. 2    19</t>
  </si>
  <si>
    <t>11-25    17</t>
  </si>
  <si>
    <t>1-10      17</t>
  </si>
  <si>
    <t xml:space="preserve">Back- </t>
  </si>
  <si>
    <t>Avg. Dia.</t>
  </si>
  <si>
    <t>Back-calc.</t>
  </si>
  <si>
    <t>Avg, Lift</t>
  </si>
  <si>
    <t>Apply</t>
  </si>
  <si>
    <t>Remove</t>
  </si>
  <si>
    <t>**profile Dia</t>
  </si>
  <si>
    <t xml:space="preserve">Calc. </t>
  </si>
  <si>
    <r>
      <t>Lift No.</t>
    </r>
    <r>
      <rPr>
        <b/>
        <sz val="9"/>
        <color theme="1"/>
        <rFont val="Arial"/>
        <family val="2"/>
      </rPr>
      <t xml:space="preserve"> (placed)</t>
    </r>
  </si>
  <si>
    <t>adjusted for ELEV</t>
  </si>
  <si>
    <t xml:space="preserve">             VD   -   VW  [ incl. LPH (After Placement) - LHP (Before Placement) ]      -        VL          =   VP</t>
  </si>
  <si>
    <t xml:space="preserve">      VD      -     VW  [ incl. LPH (After Placement) - LHP (Before Placement) ]    -    VL      =      VP</t>
  </si>
  <si>
    <r>
      <t xml:space="preserve"> VD</t>
    </r>
    <r>
      <rPr>
        <vertAlign val="subscript"/>
        <sz val="13"/>
        <rFont val="Calibri"/>
        <family val="2"/>
        <scheme val="minor"/>
      </rPr>
      <t>2</t>
    </r>
  </si>
  <si>
    <r>
      <t>VD</t>
    </r>
    <r>
      <rPr>
        <vertAlign val="subscript"/>
        <sz val="13"/>
        <rFont val="Calibri"/>
        <family val="2"/>
        <scheme val="minor"/>
      </rPr>
      <t>3</t>
    </r>
  </si>
  <si>
    <r>
      <t xml:space="preserve">=   </t>
    </r>
    <r>
      <rPr>
        <sz val="12"/>
        <rFont val="Calibri"/>
        <family val="2"/>
        <scheme val="minor"/>
      </rPr>
      <t xml:space="preserve"> VD</t>
    </r>
    <r>
      <rPr>
        <vertAlign val="subscript"/>
        <sz val="12"/>
        <rFont val="Calibri"/>
        <family val="2"/>
        <scheme val="minor"/>
      </rPr>
      <t>1</t>
    </r>
  </si>
  <si>
    <r>
      <t xml:space="preserve">       VD</t>
    </r>
    <r>
      <rPr>
        <vertAlign val="subscript"/>
        <sz val="14"/>
        <color rgb="FF335422"/>
        <rFont val="Calibri"/>
        <family val="2"/>
        <scheme val="minor"/>
      </rPr>
      <t>T</t>
    </r>
  </si>
  <si>
    <r>
      <t xml:space="preserve">   VW</t>
    </r>
    <r>
      <rPr>
        <vertAlign val="subscript"/>
        <sz val="14"/>
        <color rgb="FF335422"/>
        <rFont val="Calibri"/>
        <family val="2"/>
        <scheme val="minor"/>
      </rPr>
      <t>T</t>
    </r>
  </si>
  <si>
    <r>
      <t xml:space="preserve"> VL</t>
    </r>
    <r>
      <rPr>
        <vertAlign val="subscript"/>
        <sz val="14"/>
        <color rgb="FF335422"/>
        <rFont val="Calibri"/>
        <family val="2"/>
        <scheme val="minor"/>
      </rPr>
      <t>T</t>
    </r>
  </si>
  <si>
    <r>
      <t xml:space="preserve"> VP</t>
    </r>
    <r>
      <rPr>
        <vertAlign val="subscript"/>
        <sz val="14"/>
        <color rgb="FF335422"/>
        <rFont val="Calibri"/>
        <family val="2"/>
        <scheme val="minor"/>
      </rPr>
      <t>T</t>
    </r>
  </si>
  <si>
    <r>
      <t>LPH</t>
    </r>
    <r>
      <rPr>
        <vertAlign val="subscript"/>
        <sz val="13"/>
        <rFont val="Calibri"/>
        <family val="2"/>
        <scheme val="minor"/>
      </rPr>
      <t>1 after</t>
    </r>
  </si>
  <si>
    <r>
      <t>LPH</t>
    </r>
    <r>
      <rPr>
        <vertAlign val="subscript"/>
        <sz val="13"/>
        <rFont val="Calibri"/>
        <family val="2"/>
        <scheme val="minor"/>
      </rPr>
      <t>2 after</t>
    </r>
  </si>
  <si>
    <r>
      <t>LPH</t>
    </r>
    <r>
      <rPr>
        <vertAlign val="subscript"/>
        <sz val="13"/>
        <rFont val="Calibri"/>
        <family val="2"/>
        <scheme val="minor"/>
      </rPr>
      <t>3 after</t>
    </r>
  </si>
  <si>
    <r>
      <t xml:space="preserve">  Placement TOTALS  (XX</t>
    </r>
    <r>
      <rPr>
        <vertAlign val="subscript"/>
        <sz val="14"/>
        <color rgb="FF335422"/>
        <rFont val="Calibri"/>
        <family val="2"/>
        <scheme val="minor"/>
      </rPr>
      <t>T</t>
    </r>
    <r>
      <rPr>
        <sz val="14"/>
        <color rgb="FF335422"/>
        <rFont val="Calibri"/>
        <family val="2"/>
        <scheme val="minor"/>
      </rPr>
      <t xml:space="preserve"> ) ( sum Pg. 1 - 3):</t>
    </r>
  </si>
  <si>
    <t>Light grey shaded cells are unlocked Excel cells which allows Placement Log data to be input.</t>
  </si>
  <si>
    <t>"Placed" LIFT No.</t>
  </si>
  <si>
    <t>Uncased - above Csg 2</t>
  </si>
  <si>
    <t>REF = top Csg 1</t>
  </si>
  <si>
    <t>REF &gt; top Csg 1</t>
  </si>
  <si>
    <t>Csg 1 &amp; Csg 2</t>
  </si>
  <si>
    <t>REF = top Csg 2</t>
  </si>
  <si>
    <t>REF &gt; top Csg 2</t>
  </si>
  <si>
    <t>Uncased - above Csg 1</t>
  </si>
  <si>
    <t>Csg 2  n/a</t>
  </si>
  <si>
    <t>Uncased - above Csg 2  n/a</t>
  </si>
  <si>
    <t>Uncased - above Csg 1  n/a</t>
  </si>
  <si>
    <t>Csg 1  n/a</t>
  </si>
  <si>
    <t>REF &gt; TC2</t>
  </si>
  <si>
    <t>REF = TC2</t>
  </si>
  <si>
    <t>2 Csg's</t>
  </si>
  <si>
    <t>REF &gt; TC1</t>
  </si>
  <si>
    <t>REF = TC1</t>
  </si>
  <si>
    <t>Csg 2 n/a</t>
  </si>
  <si>
    <t>Csg 1 n/a</t>
  </si>
  <si>
    <t>Csg 1 only</t>
  </si>
  <si>
    <t>BV90&gt;0</t>
  </si>
  <si>
    <t>BY90&gt;0</t>
  </si>
  <si>
    <t>BY90=0</t>
  </si>
  <si>
    <t>BV90=0</t>
  </si>
  <si>
    <t>( TC2 = top Csg 2 )</t>
  </si>
  <si>
    <t>( TC1 = Top Csg 1 )</t>
  </si>
  <si>
    <t>(no Csg 1 or 2)</t>
  </si>
  <si>
    <t>Used in table</t>
  </si>
  <si>
    <t>cell CQ15</t>
  </si>
  <si>
    <t>= 1/0</t>
  </si>
  <si>
    <t>cell CV41:</t>
  </si>
  <si>
    <t>CR63&gt;CR68</t>
  </si>
  <si>
    <t>CR63=CR68</t>
  </si>
  <si>
    <t>CR63&gt;CR73</t>
  </si>
  <si>
    <t>CR63=CR73</t>
  </si>
  <si>
    <t xml:space="preserve">Csg 2 </t>
  </si>
  <si>
    <t>Y (Length)</t>
  </si>
  <si>
    <t>Theor. Volumes for Configurations 1-5 are automatially adjusted when Est. Steel Vol. is input in cell AO7 on sheet header.</t>
  </si>
  <si>
    <t>Est. Steel (cy/ft)    via cell CH26 (which is = AO7)</t>
  </si>
  <si>
    <t>Sheet Comments/Questions:</t>
  </si>
  <si>
    <r>
      <rPr>
        <sz val="12"/>
        <color theme="1"/>
        <rFont val="Calibri"/>
        <family val="2"/>
        <scheme val="minor"/>
      </rPr>
      <t xml:space="preserve">Bob Hipworth  FDOT  </t>
    </r>
    <r>
      <rPr>
        <sz val="11"/>
        <color theme="1"/>
        <rFont val="Calibri"/>
        <family val="2"/>
        <scheme val="minor"/>
      </rPr>
      <t>robert.hipworth@dot.state.fl.us        office (386) 740-3506</t>
    </r>
  </si>
  <si>
    <t>CV</t>
  </si>
  <si>
    <t>CQ</t>
  </si>
  <si>
    <t>DA</t>
  </si>
  <si>
    <t>DF</t>
  </si>
  <si>
    <t>DK</t>
  </si>
  <si>
    <t>This table used to determine Theor. Volume</t>
  </si>
  <si>
    <t>Current Shaft Configuration</t>
  </si>
  <si>
    <t>Back-up copy of Concreting Curve</t>
  </si>
  <si>
    <t>Theoretical Curve - point data</t>
  </si>
  <si>
    <t>applicable Theor. Volume (cy)</t>
  </si>
  <si>
    <t>Est. Steel (cy/ft)</t>
  </si>
  <si>
    <t xml:space="preserve">If a curve Segment, or Segments. Is/are n/a, the corresponding Legend item(s) will be blank above, and therefore, will not be applied to the Concr. Curve's Legend block. </t>
  </si>
  <si>
    <t>This table generates Theor. Curve line.</t>
  </si>
  <si>
    <t>Actual Curve Legend</t>
  </si>
  <si>
    <t>Theor. Curve Legend</t>
  </si>
  <si>
    <t>Data Label drop-down</t>
  </si>
  <si>
    <t>column:</t>
  </si>
  <si>
    <t>row:  24</t>
  </si>
  <si>
    <r>
      <t>Actual Curve - Undersize Lift Dia. alert labels - Click on cell BL8 below, and from the drop-down list, select either "</t>
    </r>
    <r>
      <rPr>
        <sz val="9"/>
        <color rgb="FF0000FF"/>
        <rFont val="Arial"/>
        <family val="2"/>
      </rPr>
      <t>Apply</t>
    </r>
    <r>
      <rPr>
        <sz val="9"/>
        <color theme="1"/>
        <rFont val="Arial"/>
        <family val="2"/>
      </rPr>
      <t>" or "</t>
    </r>
    <r>
      <rPr>
        <sz val="9"/>
        <color rgb="FF0000FF"/>
        <rFont val="Arial"/>
        <family val="2"/>
      </rPr>
      <t>Remove</t>
    </r>
    <r>
      <rPr>
        <sz val="9"/>
        <color theme="1"/>
        <rFont val="Arial"/>
        <family val="2"/>
      </rPr>
      <t>" these labels (if not "</t>
    </r>
    <r>
      <rPr>
        <sz val="9"/>
        <color rgb="FF0000FF"/>
        <rFont val="Arial"/>
        <family val="2"/>
      </rPr>
      <t>Remove</t>
    </r>
    <r>
      <rPr>
        <sz val="9"/>
        <color theme="1"/>
        <rFont val="Arial"/>
        <family val="2"/>
      </rPr>
      <t xml:space="preserve">", labels wil be applied).  </t>
    </r>
  </si>
  <si>
    <r>
      <t>Rebar Cage Top Elev. (ft)</t>
    </r>
    <r>
      <rPr>
        <sz val="16"/>
        <color theme="1"/>
        <rFont val="Calibri"/>
        <family val="2"/>
        <scheme val="minor"/>
      </rPr>
      <t>:</t>
    </r>
  </si>
  <si>
    <r>
      <t xml:space="preserve">Shaft Dia.  </t>
    </r>
    <r>
      <rPr>
        <sz val="9"/>
        <color rgb="FF004600"/>
        <rFont val="Calibri"/>
        <family val="2"/>
      </rPr>
      <t>≤</t>
    </r>
    <r>
      <rPr>
        <sz val="9"/>
        <color rgb="FF004600"/>
        <rFont val="Arial"/>
        <family val="2"/>
      </rPr>
      <t xml:space="preserve">  Calc. Dia.  &lt;  Theor. Dia.</t>
    </r>
  </si>
  <si>
    <r>
      <t xml:space="preserve">Shaft Dia.  </t>
    </r>
    <r>
      <rPr>
        <sz val="9"/>
        <color rgb="FFC00000"/>
        <rFont val="Calibri"/>
        <family val="2"/>
      </rPr>
      <t>&gt;</t>
    </r>
    <r>
      <rPr>
        <sz val="9"/>
        <color rgb="FFC00000"/>
        <rFont val="Arial"/>
        <family val="2"/>
      </rPr>
      <t xml:space="preserve">  Calc. Dia.  &lt;  Theor. Dia.</t>
    </r>
  </si>
  <si>
    <r>
      <rPr>
        <b/>
        <sz val="10"/>
        <color rgb="FF004600"/>
        <rFont val="Arial"/>
        <family val="2"/>
      </rPr>
      <t>Green</t>
    </r>
    <r>
      <rPr>
        <sz val="10"/>
        <color rgb="FF004600"/>
        <rFont val="Arial"/>
        <family val="2"/>
      </rPr>
      <t xml:space="preserve"> font:</t>
    </r>
  </si>
  <si>
    <r>
      <rPr>
        <b/>
        <sz val="10"/>
        <color rgb="FFC00000"/>
        <rFont val="Arial"/>
        <family val="2"/>
      </rPr>
      <t>Red</t>
    </r>
    <r>
      <rPr>
        <sz val="10"/>
        <color rgb="FFC00000"/>
        <rFont val="Arial"/>
        <family val="2"/>
      </rPr>
      <t xml:space="preserve"> font:</t>
    </r>
  </si>
  <si>
    <t>Calc. Dia.</t>
  </si>
  <si>
    <t>Theor. Dia.</t>
  </si>
  <si>
    <t>Lift cells</t>
  </si>
  <si>
    <t>BMxx</t>
  </si>
  <si>
    <t>CCxx</t>
  </si>
  <si>
    <t xml:space="preserve">The X (cy) volume data below is used to generate the Actual Curve.  Y (ft) (Length or EL) plotted is via cells CA16 thru CA56) </t>
  </si>
  <si>
    <t>Sheet Lift No.</t>
  </si>
  <si>
    <r>
      <t>Actual Curve - Undersize Lift Dia. alert labels - Click on cell BL7 below, and from the drop-down list, select either "</t>
    </r>
    <r>
      <rPr>
        <sz val="10"/>
        <color rgb="FF0000FF"/>
        <rFont val="Arial"/>
        <family val="2"/>
      </rPr>
      <t>Apply</t>
    </r>
    <r>
      <rPr>
        <sz val="10"/>
        <color theme="1"/>
        <rFont val="Arial"/>
        <family val="2"/>
      </rPr>
      <t>" or "</t>
    </r>
    <r>
      <rPr>
        <sz val="10"/>
        <color rgb="FF0000FF"/>
        <rFont val="Arial"/>
        <family val="2"/>
      </rPr>
      <t>Remove</t>
    </r>
    <r>
      <rPr>
        <sz val="10"/>
        <color theme="1"/>
        <rFont val="Arial"/>
        <family val="2"/>
      </rPr>
      <t>" these labels.  If "</t>
    </r>
    <r>
      <rPr>
        <sz val="10"/>
        <color rgb="FF0000FF"/>
        <rFont val="Arial"/>
        <family val="2"/>
      </rPr>
      <t>Remove</t>
    </r>
    <r>
      <rPr>
        <sz val="10"/>
        <color theme="1"/>
        <rFont val="Arial"/>
        <family val="2"/>
      </rPr>
      <t xml:space="preserve">" not applied, the default is for the labels will be applied.  </t>
    </r>
  </si>
  <si>
    <t>TOP</t>
  </si>
  <si>
    <t>ft</t>
  </si>
  <si>
    <t>ft  (REF-Bottom)</t>
  </si>
  <si>
    <t>ft  (TOP-Bottom)</t>
  </si>
  <si>
    <t>Y axis</t>
  </si>
  <si>
    <t>X-axis</t>
  </si>
  <si>
    <t xml:space="preserve">Theor. Vol. (cy)  </t>
  </si>
  <si>
    <t xml:space="preserve"> Max. Length (ft)</t>
  </si>
  <si>
    <t xml:space="preserve">Choose Max Value: </t>
  </si>
  <si>
    <t>X cy</t>
  </si>
  <si>
    <t>Y ft</t>
  </si>
  <si>
    <t>1.1 x X</t>
  </si>
  <si>
    <t>1.1 x Y</t>
  </si>
  <si>
    <t>Y max</t>
  </si>
  <si>
    <t>X max</t>
  </si>
  <si>
    <t>(incl.: Theor/Plan X cy x1.10 &amp; Y ft x 1.10)</t>
  </si>
  <si>
    <t>(extra 0.10 incl. to accomodate OP &amp; overdrill depth)</t>
  </si>
  <si>
    <t>Determining suggested  Max X &amp; Y axis values</t>
  </si>
  <si>
    <t>X (cy) max</t>
  </si>
  <si>
    <t>Y (ft) max</t>
  </si>
  <si>
    <t xml:space="preserve"> </t>
  </si>
  <si>
    <r>
      <t xml:space="preserve">Note:  Use the above suggested </t>
    </r>
    <r>
      <rPr>
        <sz val="9"/>
        <color rgb="FFFF0000"/>
        <rFont val="Arial"/>
        <family val="2"/>
      </rPr>
      <t>X</t>
    </r>
    <r>
      <rPr>
        <vertAlign val="subscript"/>
        <sz val="9"/>
        <color rgb="FFFF0000"/>
        <rFont val="Arial"/>
        <family val="2"/>
      </rPr>
      <t>max</t>
    </r>
    <r>
      <rPr>
        <sz val="9"/>
        <color theme="1" tint="0.34998626667073579"/>
        <rFont val="Arial"/>
        <family val="2"/>
      </rPr>
      <t xml:space="preserve"> &amp; </t>
    </r>
    <r>
      <rPr>
        <sz val="9"/>
        <color rgb="FF0000FF"/>
        <rFont val="Arial"/>
        <family val="2"/>
      </rPr>
      <t>Y</t>
    </r>
    <r>
      <rPr>
        <vertAlign val="subscript"/>
        <sz val="9"/>
        <color rgb="FF0000FF"/>
        <rFont val="Arial"/>
        <family val="2"/>
      </rPr>
      <t>max</t>
    </r>
    <r>
      <rPr>
        <sz val="9"/>
        <color theme="1" tint="0.34998626667073579"/>
        <rFont val="Arial"/>
        <family val="2"/>
      </rPr>
      <t xml:space="preserve"> values after correct input of Pg. 1 shaft related data [ex. REF EL, casing Dia., casing Top/Bottom EL, shaft Dia. (uncased), est. Bottom EL] -  adequate input data to generate and display the projected Theor. Curve on the "Excel Concr. Curve" tab sheet. </t>
    </r>
  </si>
  <si>
    <r>
      <t xml:space="preserve">110% Theor.:      1.10 </t>
    </r>
    <r>
      <rPr>
        <sz val="8"/>
        <color theme="1" tint="0.34998626667073579"/>
        <rFont val="Arial"/>
        <family val="2"/>
      </rPr>
      <t>x</t>
    </r>
    <r>
      <rPr>
        <sz val="10"/>
        <color theme="1" tint="0.34998626667073579"/>
        <rFont val="Arial"/>
        <family val="2"/>
      </rPr>
      <t xml:space="preserve"> X</t>
    </r>
    <r>
      <rPr>
        <vertAlign val="subscript"/>
        <sz val="10"/>
        <color theme="1" tint="0.34998626667073579"/>
        <rFont val="Arial"/>
        <family val="2"/>
      </rPr>
      <t>T</t>
    </r>
    <r>
      <rPr>
        <sz val="10"/>
        <color theme="1" tint="0.34998626667073579"/>
        <rFont val="Arial"/>
        <family val="2"/>
      </rPr>
      <t xml:space="preserve">  &amp;  1.1 </t>
    </r>
    <r>
      <rPr>
        <sz val="8"/>
        <color theme="1" tint="0.34998626667073579"/>
        <rFont val="Arial"/>
        <family val="2"/>
      </rPr>
      <t>x</t>
    </r>
    <r>
      <rPr>
        <sz val="10"/>
        <color theme="1" tint="0.34998626667073579"/>
        <rFont val="Arial"/>
        <family val="2"/>
      </rPr>
      <t xml:space="preserve"> Y</t>
    </r>
    <r>
      <rPr>
        <vertAlign val="subscript"/>
        <sz val="10"/>
        <color theme="1" tint="0.34998626667073579"/>
        <rFont val="Arial"/>
        <family val="2"/>
      </rPr>
      <t>T</t>
    </r>
    <r>
      <rPr>
        <sz val="10"/>
        <color theme="1" tint="0.34998626667073579"/>
        <rFont val="Arial"/>
        <family val="2"/>
      </rPr>
      <t xml:space="preserve">  :</t>
    </r>
  </si>
  <si>
    <r>
      <t>Theor. Vol. &amp; Length:               X</t>
    </r>
    <r>
      <rPr>
        <vertAlign val="subscript"/>
        <sz val="10"/>
        <color theme="1" tint="0.34998626667073579"/>
        <rFont val="Arial"/>
        <family val="2"/>
      </rPr>
      <t>T</t>
    </r>
    <r>
      <rPr>
        <sz val="10"/>
        <color theme="1" tint="0.34998626667073579"/>
        <rFont val="Arial"/>
        <family val="2"/>
      </rPr>
      <t xml:space="preserve"> &amp; Y</t>
    </r>
    <r>
      <rPr>
        <vertAlign val="subscript"/>
        <sz val="10"/>
        <color theme="1" tint="0.34998626667073579"/>
        <rFont val="Arial"/>
        <family val="2"/>
      </rPr>
      <t>T</t>
    </r>
    <r>
      <rPr>
        <sz val="10"/>
        <color theme="1" tint="0.34998626667073579"/>
        <rFont val="Arial"/>
        <family val="2"/>
      </rPr>
      <t xml:space="preserve"> :</t>
    </r>
  </si>
  <si>
    <r>
      <rPr>
        <b/>
        <sz val="9"/>
        <color theme="1"/>
        <rFont val="Arial"/>
        <family val="2"/>
      </rPr>
      <t xml:space="preserve">Back-calc. </t>
    </r>
    <r>
      <rPr>
        <b/>
        <sz val="10"/>
        <color theme="1"/>
        <rFont val="Arial"/>
        <family val="2"/>
      </rPr>
      <t>Avg. Lift Dia.'s (ft)</t>
    </r>
  </si>
  <si>
    <r>
      <t xml:space="preserve">Concr. Placement Time </t>
    </r>
    <r>
      <rPr>
        <b/>
        <sz val="14"/>
        <color theme="1"/>
        <rFont val="Calibri"/>
        <family val="2"/>
        <scheme val="minor"/>
      </rPr>
      <t>(per 455-17.2) (hrs)</t>
    </r>
  </si>
  <si>
    <t>Placed</t>
  </si>
  <si>
    <r>
      <rPr>
        <sz val="11"/>
        <rFont val="Calibri"/>
        <family val="2"/>
        <scheme val="minor"/>
      </rPr>
      <t>or</t>
    </r>
    <r>
      <rPr>
        <sz val="11"/>
        <color rgb="FFC00000"/>
        <rFont val="Calibri"/>
        <family val="2"/>
        <scheme val="minor"/>
      </rPr>
      <t xml:space="preserve"> Not</t>
    </r>
  </si>
  <si>
    <t>Est. Steel Vol. (cy)</t>
  </si>
  <si>
    <t>(via Excel Concr. Curve sheet)</t>
  </si>
  <si>
    <t>TOP of Shaft</t>
  </si>
  <si>
    <t>BOTTOM of Shaft</t>
  </si>
  <si>
    <t>Plant No.</t>
  </si>
  <si>
    <t>(via Pg. 1)</t>
  </si>
  <si>
    <t>Header drop-downs</t>
  </si>
  <si>
    <t>( Click on cell to select MAX value for each axis, or leave blank )</t>
  </si>
  <si>
    <r>
      <rPr>
        <u/>
        <sz val="10"/>
        <rFont val="Arial"/>
        <family val="2"/>
      </rPr>
      <t>Suggested input MAX values</t>
    </r>
    <r>
      <rPr>
        <sz val="10"/>
        <color theme="1" tint="0.34998626667073579"/>
        <rFont val="Arial"/>
        <family val="2"/>
      </rPr>
      <t xml:space="preserve"> for </t>
    </r>
    <r>
      <rPr>
        <sz val="10"/>
        <color rgb="FFC00000"/>
        <rFont val="Arial"/>
        <family val="2"/>
      </rPr>
      <t>X</t>
    </r>
    <r>
      <rPr>
        <sz val="10"/>
        <color theme="1" tint="0.34998626667073579"/>
        <rFont val="Arial"/>
        <family val="2"/>
      </rPr>
      <t xml:space="preserve"> (cy) &amp; </t>
    </r>
    <r>
      <rPr>
        <sz val="10"/>
        <color rgb="FF0000FF"/>
        <rFont val="Arial"/>
        <family val="2"/>
      </rPr>
      <t>Y</t>
    </r>
    <r>
      <rPr>
        <sz val="10"/>
        <color theme="1" tint="0.34998626667073579"/>
        <rFont val="Arial"/>
        <family val="2"/>
      </rPr>
      <t xml:space="preserve"> (ft) :</t>
    </r>
  </si>
  <si>
    <t>↑</t>
  </si>
  <si>
    <t>( use drop-down list, or manually input, into cells AX88 &amp; BE88 above )</t>
  </si>
  <si>
    <t>Max. Plotted Shaft Length (ft)</t>
  </si>
  <si>
    <t>Curve Plot Point Data</t>
  </si>
  <si>
    <t>ADJUSTMENT</t>
  </si>
  <si>
    <r>
      <rPr>
        <sz val="10"/>
        <color theme="1"/>
        <rFont val="Calibri"/>
        <family val="2"/>
      </rPr>
      <t xml:space="preserve">←  </t>
    </r>
    <r>
      <rPr>
        <sz val="11"/>
        <color theme="1"/>
        <rFont val="Calibri"/>
        <family val="2"/>
        <scheme val="minor"/>
      </rPr>
      <t xml:space="preserve">To </t>
    </r>
    <r>
      <rPr>
        <sz val="10"/>
        <rFont val="Arial"/>
        <family val="2"/>
      </rPr>
      <t xml:space="preserve">adjust </t>
    </r>
    <r>
      <rPr>
        <sz val="11"/>
        <color theme="1"/>
        <rFont val="Calibri"/>
        <family val="2"/>
        <scheme val="minor"/>
      </rPr>
      <t>Graph, for longer or shorter Drilled Shafts, revise Max. Plotted Shaft Length [ Y (ft) ], here using either this cell's Drop-Down list, or by manually input of desired value.</t>
    </r>
  </si>
  <si>
    <t>3.5 ft Dia.</t>
  </si>
  <si>
    <t>4.0 ft Dia.</t>
  </si>
  <si>
    <t>4.5 ft Dia.</t>
  </si>
  <si>
    <t>5.0 ft Dia.</t>
  </si>
  <si>
    <t>Back-up graph:</t>
  </si>
  <si>
    <t>Vol. (cy) =</t>
  </si>
  <si>
    <t>Drop-Down list</t>
  </si>
  <si>
    <t>Max</t>
  </si>
  <si>
    <t>Graph</t>
  </si>
  <si>
    <t>Steel Factor</t>
  </si>
  <si>
    <t>(avg)</t>
  </si>
  <si>
    <t>(no units)</t>
  </si>
  <si>
    <t>Overall Avg Factor:</t>
  </si>
  <si>
    <t>Steel Factors</t>
  </si>
  <si>
    <t>Est. Steel Vol. (cy) = Factor x Tot. Shaft Vol. (cy)</t>
  </si>
  <si>
    <r>
      <rPr>
        <sz val="10"/>
        <color rgb="FFFF0000"/>
        <rFont val="Arial"/>
        <family val="2"/>
      </rPr>
      <t>Est. Steel Vol. (cy)</t>
    </r>
    <r>
      <rPr>
        <sz val="11"/>
        <color theme="1"/>
        <rFont val="Calibri"/>
        <family val="2"/>
        <scheme val="minor"/>
      </rPr>
      <t xml:space="preserve"> = Total Shaft Vol. (cy) x Steel Factor</t>
    </r>
  </si>
  <si>
    <t>Mast Arms</t>
  </si>
  <si>
    <t>Steel Strain Poles</t>
  </si>
  <si>
    <t>HM Lighting</t>
  </si>
  <si>
    <t>2010 Int.</t>
  </si>
  <si>
    <t>2013 &amp; 2010 Int.</t>
  </si>
  <si>
    <t>2013 &amp; 2010</t>
  </si>
  <si>
    <t>AVG</t>
  </si>
  <si>
    <r>
      <t xml:space="preserve">To obtain </t>
    </r>
    <r>
      <rPr>
        <sz val="12"/>
        <color rgb="FFFF0000"/>
        <rFont val="Arial"/>
        <family val="2"/>
      </rPr>
      <t>Est. Steel Volume (cy)</t>
    </r>
    <r>
      <rPr>
        <sz val="12"/>
        <color rgb="FF0000FF"/>
        <rFont val="Arial"/>
        <family val="2"/>
      </rPr>
      <t xml:space="preserve"> tailored for a particular shaft type &amp; variables:           </t>
    </r>
  </si>
  <si>
    <t xml:space="preserve">Page down to shaft type that applies, and manually input the specific shaft foundation variables into the applicable Est. Steel calculation (FDOT DS calcs included below).  </t>
  </si>
  <si>
    <t>Mast Arm  (Avg)</t>
  </si>
  <si>
    <t>Steel Strain Pole  (Avg)</t>
  </si>
  <si>
    <t>High Mast Lighting  (Avg)</t>
  </si>
  <si>
    <t>Note:  the yellow shaded (dark bordered) cells below are unprotected for tailored variable input into calculations by the user.</t>
  </si>
  <si>
    <t>Note:  the lighter yellow shaded cells below are for Vert. Bar #, Tie Bar # &amp; Tie Bar spacing (max) variable inputs.  For FDOT Design Standards, these Vert. &amp; Tie Bar values will not need adjustment.</t>
  </si>
  <si>
    <t>Input calc variables below to obtain Est. Steel Volume (cy) tailored for a particular shaft</t>
  </si>
  <si>
    <t xml:space="preserve">   MAST ARMS -   FL DOT 2010, 2010 Interim &amp; 2013 Design Standards - determination of average Est Steel Volme factors, via input of table DS shaft variables </t>
  </si>
  <si>
    <t>↓</t>
  </si>
  <si>
    <t xml:space="preserve">Est. </t>
  </si>
  <si>
    <t>Steel Vol.</t>
  </si>
  <si>
    <t>Est. Steel Volume (cy) -  detailed calculations included below for each type of drilled shaft</t>
  </si>
  <si>
    <t>2010 DS</t>
  </si>
  <si>
    <t>Vert Bars</t>
  </si>
  <si>
    <t>2010 Int DS</t>
  </si>
  <si>
    <t>Intermediate #5 Bars</t>
  </si>
  <si>
    <t>2013 DS</t>
  </si>
  <si>
    <t>Bar# (#11)</t>
  </si>
  <si>
    <t>RB # RA bars</t>
  </si>
  <si>
    <t>RC spaces @ RD (in)</t>
  </si>
  <si>
    <t>L (ft)</t>
  </si>
  <si>
    <t>Dia (ft)</t>
  </si>
  <si>
    <t>spaces</t>
  </si>
  <si>
    <t>spacing</t>
  </si>
  <si>
    <t>Shaft (ft)</t>
  </si>
  <si>
    <t>( RB #RA bars )</t>
  </si>
  <si>
    <t>RC tie bars @ RD (in)</t>
  </si>
  <si>
    <t>Est. Steel Vol. (CY)</t>
  </si>
  <si>
    <t>Rebar Cage</t>
  </si>
  <si>
    <t>Vertical #11 Bars (RB  #RA bars)</t>
  </si>
  <si>
    <t>TIE Bars (#5 bars)  (total)</t>
  </si>
  <si>
    <t>CSL Tubes</t>
  </si>
  <si>
    <t>DB</t>
  </si>
  <si>
    <t>RA</t>
  </si>
  <si>
    <t>RB</t>
  </si>
  <si>
    <t>RC</t>
  </si>
  <si>
    <t>RD</t>
  </si>
  <si>
    <t>FL Design Standards</t>
  </si>
  <si>
    <t>Total Length</t>
  </si>
  <si>
    <t>Dia</t>
  </si>
  <si>
    <t>Vert Bar #</t>
  </si>
  <si>
    <t>No. of Vert Bars</t>
  </si>
  <si>
    <t>No. of Ties</t>
  </si>
  <si>
    <t>space (in)</t>
  </si>
  <si>
    <t>Rebar (#11 &amp; #5) &amp; CSL</t>
  </si>
  <si>
    <t>Dia ("DA")</t>
  </si>
  <si>
    <t>Length ("DB")</t>
  </si>
  <si>
    <t>Qty</t>
  </si>
  <si>
    <t>Area</t>
  </si>
  <si>
    <t>Vert Bars - Total Vol.</t>
  </si>
  <si>
    <t>TIE Bars - Total Vol.</t>
  </si>
  <si>
    <t>O.D.</t>
  </si>
  <si>
    <t>CSL Tubes - Total Vol.</t>
  </si>
  <si>
    <t>"D"</t>
  </si>
  <si>
    <t>Index 17745</t>
  </si>
  <si>
    <t xml:space="preserve">Total </t>
  </si>
  <si>
    <t>per foot</t>
  </si>
  <si>
    <t>(no.) "RB"</t>
  </si>
  <si>
    <t>(sq ft)</t>
  </si>
  <si>
    <t>(cu ft)</t>
  </si>
  <si>
    <t>(cu yds)</t>
  </si>
  <si>
    <t>(no.)</t>
  </si>
  <si>
    <t>Mast</t>
  </si>
  <si>
    <t>Mast Arm</t>
  </si>
  <si>
    <t>Arms</t>
  </si>
  <si>
    <t>factor</t>
  </si>
  <si>
    <t>Vol. (cy)</t>
  </si>
  <si>
    <t>Est Steel Vol / Shaft Tot Vol</t>
  </si>
  <si>
    <t>FL Design Standard</t>
  </si>
  <si>
    <t>"E"</t>
  </si>
  <si>
    <t>Note:  no intermediate #5 Tie Bar configuration -  all Ties below the top 2-ft of cage are at 1.5 ft max spacing.</t>
  </si>
  <si>
    <t>"F"</t>
  </si>
  <si>
    <t>Note:  the lighter yellow shaded cells below are for Vert. Bar #, Tie Bar # &amp; Tie Bar spacing (max) variable inputs.  For FL DOT Design Standards, these values will not need adjustment.</t>
  </si>
  <si>
    <t>OHC Signs</t>
  </si>
  <si>
    <t>2013, 2010 Int. &amp; 2010</t>
  </si>
  <si>
    <t>Vertical Bars</t>
  </si>
  <si>
    <t>Tie Bars</t>
  </si>
  <si>
    <t>Steel Volumes (CY)</t>
  </si>
  <si>
    <t>Size</t>
  </si>
  <si>
    <t>max spacing (in)</t>
  </si>
  <si>
    <t>SPAN SIGN - Index 11310</t>
  </si>
  <si>
    <t>FA</t>
  </si>
  <si>
    <t>FB</t>
  </si>
  <si>
    <t>Bar #</t>
  </si>
  <si>
    <t>FC</t>
  </si>
  <si>
    <t>FD</t>
  </si>
  <si>
    <t>Tie Bar #</t>
  </si>
  <si>
    <t>OHC sign</t>
  </si>
  <si>
    <t>2010 DS - variations</t>
  </si>
  <si>
    <t>Est. Steel</t>
  </si>
  <si>
    <t>Steel Vol /           Shaft Vol</t>
  </si>
  <si>
    <t>Avg factor</t>
  </si>
  <si>
    <t>2010 Int. - variations</t>
  </si>
  <si>
    <t>2013 DS - variations</t>
  </si>
  <si>
    <t>Combined</t>
  </si>
  <si>
    <t>D,E,F</t>
  </si>
  <si>
    <t>D,E</t>
  </si>
  <si>
    <t>avg factor =</t>
  </si>
  <si>
    <t>OHT Span Signs</t>
  </si>
  <si>
    <t>Left Shaft</t>
  </si>
  <si>
    <t>The above table's Est. Steel Vol (cy) inputs were determined &amp; applied by linking the four cells below to 2010 DS Mast Arm calc input cells, copy/pasting table variables (1 row at a time).  The resultant Est. Steel Vol values then appear below in Steel Vol (cy) block.  These Steel Vol values were then copy/pasted to applicable row in the table above.</t>
  </si>
  <si>
    <t>The above 2010 Int &amp; 2013 DS table's Est. Steel Vol (cy) inputs were determined &amp; applied by linking the six cells below to 2010 Int / 2013 DS Mast Arm calc input cells, copy/pasting table variables (1 row at a time).  The resultant Est. Steel Vol values then appear below in Steel Vol (cy) block.  These Steel Vol values were then copy/pasted to applicable row in the table above.</t>
  </si>
  <si>
    <t>Vertical #11 Bars (DC  #11 V. Bars)</t>
  </si>
  <si>
    <t>TIE Bars (#5 bars)</t>
  </si>
  <si>
    <t>No. Vert of Bars</t>
  </si>
  <si>
    <t>SPAN SIGN - Index 11320</t>
  </si>
  <si>
    <t>DC</t>
  </si>
  <si>
    <t>DD</t>
  </si>
  <si>
    <r>
      <t xml:space="preserve">OHT sign - </t>
    </r>
    <r>
      <rPr>
        <sz val="12"/>
        <color rgb="FFFF0000"/>
        <rFont val="Arial"/>
        <family val="2"/>
      </rPr>
      <t>Lt.</t>
    </r>
  </si>
  <si>
    <t>Steel vol (cy)</t>
  </si>
  <si>
    <t>(from 2010 DS MA calc)</t>
  </si>
  <si>
    <t>(from 2010 Int / 2013 DS MA calc)</t>
  </si>
  <si>
    <t>Right Shaft</t>
  </si>
  <si>
    <t>Vertical #11 Bars (FC #11 V. Bars)</t>
  </si>
  <si>
    <r>
      <t xml:space="preserve">OHT sign - </t>
    </r>
    <r>
      <rPr>
        <sz val="12"/>
        <color rgb="FFFF0000"/>
        <rFont val="Arial"/>
        <family val="2"/>
      </rPr>
      <t>Rt</t>
    </r>
    <r>
      <rPr>
        <sz val="10"/>
        <color rgb="FFFF0000"/>
        <rFont val="Arial"/>
        <family val="2"/>
      </rPr>
      <t>.</t>
    </r>
  </si>
  <si>
    <t>Tie Bars (Top 2' &amp; cage L-2')</t>
  </si>
  <si>
    <t>Vertical #11 Bars</t>
  </si>
  <si>
    <r>
      <t>cage (L</t>
    </r>
    <r>
      <rPr>
        <vertAlign val="subscript"/>
        <sz val="10"/>
        <color theme="1"/>
        <rFont val="Arial"/>
        <family val="2"/>
      </rPr>
      <t>c</t>
    </r>
    <r>
      <rPr>
        <sz val="11"/>
        <color theme="1"/>
        <rFont val="Calibri"/>
        <family val="2"/>
        <scheme val="minor"/>
      </rPr>
      <t xml:space="preserve"> - 2) ft</t>
    </r>
  </si>
  <si>
    <t>Length (Lc)</t>
  </si>
  <si>
    <t>2013 &amp; 2010 Int DS</t>
  </si>
  <si>
    <t>Index - 17723</t>
  </si>
  <si>
    <t>No. of V. Bars</t>
  </si>
  <si>
    <t>Steel Strain Pole</t>
  </si>
  <si>
    <t>avg =</t>
  </si>
  <si>
    <t>2013 &amp; 2010 DS</t>
  </si>
  <si>
    <t>2010 Int. DS</t>
  </si>
  <si>
    <t>Index - 17502</t>
  </si>
  <si>
    <t>Shaft Length</t>
  </si>
  <si>
    <t>No of #11 bars</t>
  </si>
  <si>
    <t>High Mast Lighting</t>
  </si>
  <si>
    <t>Highmast Lighting</t>
  </si>
  <si>
    <t>Input up to 5 Tie Bars Variations here, as applicable [leave Tie Bar inputs (ex. 2 -5) blank if not needed}</t>
  </si>
  <si>
    <t>Other Bars or Steel</t>
  </si>
  <si>
    <t>GENERIC</t>
  </si>
  <si>
    <t>(1) Tie Bars</t>
  </si>
  <si>
    <t>(2) Tie Bars</t>
  </si>
  <si>
    <t>(3) Tie Bars</t>
  </si>
  <si>
    <t>(4) Tie Bars</t>
  </si>
  <si>
    <t>(5) Tie Bars</t>
  </si>
  <si>
    <t>Misc Bars</t>
  </si>
  <si>
    <t>Misc</t>
  </si>
  <si>
    <t xml:space="preserve">Calculations  </t>
  </si>
  <si>
    <t>Est Steel Vol</t>
  </si>
  <si>
    <t>Length.</t>
  </si>
  <si>
    <t>No. of Vert Bars  ( Qty )</t>
  </si>
  <si>
    <t>No. "(1)"</t>
  </si>
  <si>
    <t>Tie</t>
  </si>
  <si>
    <t>No. "(2)"</t>
  </si>
  <si>
    <t>No. "(3)"</t>
  </si>
  <si>
    <t>No. "(4)"</t>
  </si>
  <si>
    <t>No. "(5)"</t>
  </si>
  <si>
    <t>Bar</t>
  </si>
  <si>
    <t>Steel</t>
  </si>
  <si>
    <t>Vertical  Bars</t>
  </si>
  <si>
    <t>TIE Bars (1)</t>
  </si>
  <si>
    <t>TIE Bars (2)</t>
  </si>
  <si>
    <t>TIE Bars (3)</t>
  </si>
  <si>
    <t>TIE Bars (4)</t>
  </si>
  <si>
    <t>TIE Bars (5)</t>
  </si>
  <si>
    <t>Misc. Bars</t>
  </si>
  <si>
    <t>Misc.</t>
  </si>
  <si>
    <t>Factor</t>
  </si>
  <si>
    <t>Calcs</t>
  </si>
  <si>
    <t>Bars</t>
  </si>
  <si>
    <t>Vol.</t>
  </si>
  <si>
    <t>Vert Bars, Tie Bars &amp; CSL</t>
  </si>
  <si>
    <t>No. Bars</t>
  </si>
  <si>
    <t>V. Bar</t>
  </si>
  <si>
    <t>TIE Bars (1)- Tot Vol.</t>
  </si>
  <si>
    <t>TIE Bars (2)- Tot Vol.</t>
  </si>
  <si>
    <t>TIE Bars (3)- Tot Vol.</t>
  </si>
  <si>
    <t>TIE Bars (4)- Tot Vol.</t>
  </si>
  <si>
    <t>TIE Bars (5)- Tot Vol.</t>
  </si>
  <si>
    <t>CSL Tubes - Tot. Vol.</t>
  </si>
  <si>
    <t>Misc Bars (5)- Tot Vol.</t>
  </si>
  <si>
    <t>Total</t>
  </si>
  <si>
    <t>Est Steel Vol  /</t>
  </si>
  <si>
    <t>Shaft ID</t>
  </si>
  <si>
    <t xml:space="preserve">( Qty ) </t>
  </si>
  <si>
    <t>( # )</t>
  </si>
  <si>
    <t>( ft )</t>
  </si>
  <si>
    <t>( cy )</t>
  </si>
  <si>
    <t>( no units )</t>
  </si>
  <si>
    <t>( Qty )</t>
  </si>
  <si>
    <t>Shaft Tot Vol</t>
  </si>
  <si>
    <t>A</t>
  </si>
  <si>
    <t>B</t>
  </si>
  <si>
    <t>C</t>
  </si>
  <si>
    <t>D</t>
  </si>
  <si>
    <t>E</t>
  </si>
  <si>
    <t>F</t>
  </si>
  <si>
    <t>G</t>
  </si>
  <si>
    <t>H</t>
  </si>
  <si>
    <t>I</t>
  </si>
  <si>
    <t>J</t>
  </si>
  <si>
    <t>Project Name:</t>
  </si>
  <si>
    <t xml:space="preserve">Pier No. </t>
  </si>
  <si>
    <t>Shaft I.D. or #</t>
  </si>
  <si>
    <t>Contractor:</t>
  </si>
  <si>
    <t>Station</t>
  </si>
  <si>
    <t>TIN #</t>
  </si>
  <si>
    <t>Date:</t>
  </si>
  <si>
    <t>Offset (ft)</t>
  </si>
  <si>
    <t>Yes</t>
  </si>
  <si>
    <t>No</t>
  </si>
  <si>
    <t>Comments:</t>
  </si>
  <si>
    <t>Pier No</t>
  </si>
  <si>
    <t>FIN Project No</t>
  </si>
  <si>
    <t>Inspected by</t>
  </si>
  <si>
    <t>Date</t>
  </si>
  <si>
    <t>Approved by</t>
  </si>
  <si>
    <t>Bridge/Structure #</t>
  </si>
  <si>
    <t>(Project Admin or Permit Manager)</t>
  </si>
  <si>
    <t xml:space="preserve">Page </t>
  </si>
  <si>
    <t>FIN Project No.</t>
  </si>
  <si>
    <t xml:space="preserve">QC Testing Technician </t>
  </si>
  <si>
    <t>TIN</t>
  </si>
  <si>
    <t>Testing Witnessed by:</t>
  </si>
  <si>
    <t>Slurry/fluid type:</t>
  </si>
  <si>
    <t>    Was this slurry/fluid included in the DSIP?</t>
  </si>
  <si>
    <t xml:space="preserve">     </t>
  </si>
  <si>
    <t>`</t>
  </si>
  <si>
    <t>NOTE:  Fill-in the acceptable values  for the particular fluid being used, soil and water environmental conditions</t>
  </si>
  <si>
    <t>Passing Density (pcf):</t>
  </si>
  <si>
    <t>to</t>
  </si>
  <si>
    <t>Passing pH:</t>
  </si>
  <si>
    <t>Passing Visc. (sec):</t>
  </si>
  <si>
    <t>%</t>
  </si>
  <si>
    <t>a)</t>
  </si>
  <si>
    <t>Viscosity</t>
  </si>
  <si>
    <r>
      <t>Sand Content       (%)</t>
    </r>
    <r>
      <rPr>
        <sz val="12"/>
        <rFont val="Helvetica"/>
        <family val="2"/>
      </rPr>
      <t xml:space="preserve"> </t>
    </r>
    <r>
      <rPr>
        <b/>
        <sz val="16"/>
        <color rgb="FF0000FF"/>
        <rFont val="Helvetica"/>
        <family val="2"/>
      </rPr>
      <t>*</t>
    </r>
  </si>
  <si>
    <t>Time</t>
  </si>
  <si>
    <t>Density</t>
  </si>
  <si>
    <t>pH</t>
  </si>
  <si>
    <t>Pass</t>
  </si>
  <si>
    <t>Fail</t>
  </si>
  <si>
    <t>Comments</t>
  </si>
  <si>
    <t>(lb/ft3)</t>
  </si>
  <si>
    <t>(sec)</t>
  </si>
  <si>
    <r>
      <t xml:space="preserve">Note </t>
    </r>
    <r>
      <rPr>
        <b/>
        <sz val="16"/>
        <color rgb="FF0000FF"/>
        <rFont val="Helvetica"/>
        <family val="2"/>
      </rPr>
      <t>*</t>
    </r>
    <r>
      <rPr>
        <b/>
        <sz val="12"/>
        <color rgb="FF0000FF"/>
        <rFont val="Helvetica"/>
        <family val="2"/>
      </rPr>
      <t xml:space="preserve">  If recycled slurry is introduced</t>
    </r>
  </si>
  <si>
    <t>b)</t>
  </si>
  <si>
    <t>Before Placing Concrete</t>
  </si>
  <si>
    <t xml:space="preserve">(Bottom and at max. intervals of </t>
  </si>
  <si>
    <r>
      <t xml:space="preserve">ft) </t>
    </r>
    <r>
      <rPr>
        <b/>
        <sz val="16"/>
        <color rgb="FF0000FF"/>
        <rFont val="Helvetica"/>
        <family val="2"/>
      </rPr>
      <t>**</t>
    </r>
  </si>
  <si>
    <t>Sampling tool length:</t>
  </si>
  <si>
    <t>(in)</t>
  </si>
  <si>
    <t>Sampling tool diameter:</t>
  </si>
  <si>
    <t xml:space="preserve">Sand </t>
  </si>
  <si>
    <t>Content</t>
  </si>
  <si>
    <t>(%)</t>
  </si>
  <si>
    <r>
      <t xml:space="preserve">                                                                                                                                                                                                                                                                                                                                                                            </t>
    </r>
    <r>
      <rPr>
        <sz val="17"/>
        <color indexed="8"/>
        <rFont val="Helvetica"/>
        <family val="2"/>
      </rPr>
      <t>CONSTRUCTION</t>
    </r>
  </si>
  <si>
    <t xml:space="preserve">    STATE OF FLORIDA DEPARTMENT OF TRANSPORTATION</t>
  </si>
  <si>
    <t>DRILLED SHAFT LOG</t>
  </si>
  <si>
    <t>Depth          (ft)</t>
  </si>
  <si>
    <t>Ref. elev. (ft)</t>
  </si>
  <si>
    <t>Soil / Rock Description &amp; Notes</t>
  </si>
  <si>
    <t>Rebar Cage Check List:</t>
  </si>
  <si>
    <t>In</t>
  </si>
  <si>
    <t>Out</t>
  </si>
  <si>
    <t>Proper # Vert. Bars</t>
  </si>
  <si>
    <t>Proper # Horiz. Bars</t>
  </si>
  <si>
    <t>Side Spacers</t>
  </si>
  <si>
    <t>Ties &amp; Connections</t>
  </si>
  <si>
    <t>Clean Out:</t>
  </si>
  <si>
    <t>Bottom Clean Out Method</t>
  </si>
  <si>
    <t>Clean-Out</t>
  </si>
  <si>
    <t>Bucket</t>
  </si>
  <si>
    <t>Air Lift</t>
  </si>
  <si>
    <t>Time and Date of Final Clean Out</t>
  </si>
  <si>
    <t>Shaft Bottom/Cleanliness Check:</t>
  </si>
  <si>
    <t>Reference Elevation used for shaft bottom depth and  cleanliness check :</t>
  </si>
  <si>
    <t>Inspection type:</t>
  </si>
  <si>
    <t>Visual</t>
  </si>
  <si>
    <t>Sounding</t>
  </si>
  <si>
    <t>SID</t>
  </si>
  <si>
    <t>Time Started</t>
  </si>
  <si>
    <t>Time finished</t>
  </si>
  <si>
    <t>1.</t>
  </si>
  <si>
    <t>5.</t>
  </si>
  <si>
    <t>4.</t>
  </si>
  <si>
    <t>2.</t>
  </si>
  <si>
    <t>3.</t>
  </si>
  <si>
    <t>Avg. Shaft Bottom El. (ft)</t>
  </si>
  <si>
    <t>Avg. Shaft Bottom Depth (ft)</t>
  </si>
  <si>
    <r>
      <rPr>
        <b/>
        <sz val="22"/>
        <color indexed="8"/>
        <rFont val="Helvetica"/>
        <family val="2"/>
      </rPr>
      <t>NOTE TO INSPECTOR:</t>
    </r>
    <r>
      <rPr>
        <sz val="22"/>
        <color indexed="8"/>
        <rFont val="Helvetica"/>
        <family val="2"/>
      </rPr>
      <t xml:space="preserve"> Attach additional forms to document  bottom checks as needed</t>
    </r>
  </si>
  <si>
    <t>Approved for pouring:</t>
  </si>
  <si>
    <t>Given to</t>
  </si>
  <si>
    <t>Verbal</t>
  </si>
  <si>
    <t xml:space="preserve">Written </t>
  </si>
  <si>
    <t>By</t>
  </si>
  <si>
    <t>Ratio (A/T)</t>
  </si>
  <si>
    <t>Actual (CY)</t>
  </si>
  <si>
    <t>Theoretical (CY)</t>
  </si>
  <si>
    <t>Concrete Volume:</t>
  </si>
  <si>
    <t>Was shaft overreamed?</t>
  </si>
  <si>
    <t>Shaft Diameter (in)</t>
  </si>
  <si>
    <t>Rock socket length (ft)</t>
  </si>
  <si>
    <t>Dia. Of Rock Socket (ft)</t>
  </si>
  <si>
    <t>In Perm. Casing:</t>
  </si>
  <si>
    <t>In Temp. Casing:</t>
  </si>
  <si>
    <t>Auger Diameter (in)</t>
  </si>
  <si>
    <t>Dimensions:</t>
  </si>
  <si>
    <t>Actual (As Built):</t>
  </si>
  <si>
    <t>Per Plan:</t>
  </si>
  <si>
    <t>Drilled Shaft Bottom elev. (ft)</t>
  </si>
  <si>
    <t>Shaft Top Elev. (ft)</t>
  </si>
  <si>
    <t>Water table Elev. (ft)</t>
  </si>
  <si>
    <t>Ground surface / Mud line Elev. (ft)</t>
  </si>
  <si>
    <t>Reference Elev. location:</t>
  </si>
  <si>
    <t>Depth        (ft)</t>
  </si>
  <si>
    <t>Initial Reference Elev. (ft)</t>
  </si>
  <si>
    <t>Per Plan</t>
  </si>
  <si>
    <t>Bot. Elev.</t>
  </si>
  <si>
    <t>Elevations:</t>
  </si>
  <si>
    <t>Date (s) Poured:</t>
  </si>
  <si>
    <t>OD (in)</t>
  </si>
  <si>
    <t>Date (s) Excavated:</t>
  </si>
  <si>
    <t>third lowest    section</t>
  </si>
  <si>
    <t>second lowest section</t>
  </si>
  <si>
    <t>Lowest section</t>
  </si>
  <si>
    <t>ID (in)</t>
  </si>
  <si>
    <t>Temp.</t>
  </si>
  <si>
    <t>Type</t>
  </si>
  <si>
    <t>Don't Touch</t>
  </si>
  <si>
    <t>Perm.</t>
  </si>
  <si>
    <t>Date (s) Cased:</t>
  </si>
  <si>
    <t>Ins. Casing lengths</t>
  </si>
  <si>
    <t>Inside Casing</t>
  </si>
  <si>
    <t>Outside Casing</t>
  </si>
  <si>
    <t>Date Information</t>
  </si>
  <si>
    <t>Casing information</t>
  </si>
  <si>
    <t xml:space="preserve">                                                                                                                                                          CONSTRUCTION                                                                                                                                                                                                 </t>
  </si>
  <si>
    <t>DRILLED SHAFT CONSTRUCTION &amp; PAY SUMMARY</t>
  </si>
  <si>
    <t/>
  </si>
  <si>
    <t>Type of Construction</t>
  </si>
  <si>
    <t xml:space="preserve">Casing  </t>
  </si>
  <si>
    <t>None</t>
  </si>
  <si>
    <t>Dry</t>
  </si>
  <si>
    <t>Wet/Slurry only</t>
  </si>
  <si>
    <t>Temporary</t>
  </si>
  <si>
    <t>Wet/Casing only</t>
  </si>
  <si>
    <t>Wet/Slurry &amp; Casing</t>
  </si>
  <si>
    <t>Permanent</t>
  </si>
  <si>
    <t>Construction 
Activity</t>
  </si>
  <si>
    <t>Shaft Details</t>
  </si>
  <si>
    <t>Plan</t>
  </si>
  <si>
    <t>Built</t>
  </si>
  <si>
    <t>Set Casing</t>
  </si>
  <si>
    <t>Shaft Top El.</t>
  </si>
  <si>
    <t>ST</t>
  </si>
  <si>
    <t xml:space="preserve">Begin Excavation 
</t>
  </si>
  <si>
    <t>Casing Top El.</t>
  </si>
  <si>
    <t>CT</t>
  </si>
  <si>
    <t>(Below Casing)</t>
  </si>
  <si>
    <t>Water Table El.</t>
  </si>
  <si>
    <t>WT</t>
  </si>
  <si>
    <t>Beg. Soil Excav.</t>
  </si>
  <si>
    <t>Perm Casing ID (in)</t>
  </si>
  <si>
    <t>CID</t>
  </si>
  <si>
    <t>Fin. Soil Excav.</t>
  </si>
  <si>
    <t>Perm. Casing OD (in)</t>
  </si>
  <si>
    <t>COD</t>
  </si>
  <si>
    <t>Beg. Rock Excav.</t>
  </si>
  <si>
    <t>Ground Surf. El.</t>
  </si>
  <si>
    <t>GS</t>
  </si>
  <si>
    <t>Fin Rock Excav.</t>
  </si>
  <si>
    <t>Casing Bot. El.</t>
  </si>
  <si>
    <t>CB</t>
  </si>
  <si>
    <t>Rock Core Taken</t>
  </si>
  <si>
    <t>SD</t>
  </si>
  <si>
    <t>Overream</t>
  </si>
  <si>
    <t>Top of Rock El.</t>
  </si>
  <si>
    <t>RT</t>
  </si>
  <si>
    <t>Init. Inspection</t>
  </si>
  <si>
    <t>Rock Core Top El.</t>
  </si>
  <si>
    <t>RCT</t>
  </si>
  <si>
    <t>Fin. Inspection</t>
  </si>
  <si>
    <t>Rock Core Dia. (in)</t>
  </si>
  <si>
    <t>RCD</t>
  </si>
  <si>
    <t>Beg. Concrete Pl.</t>
  </si>
  <si>
    <t>Rock Socket Dia. (in)</t>
  </si>
  <si>
    <t>Fin. Concrete Pl.</t>
  </si>
  <si>
    <t>Overream Top El.</t>
  </si>
  <si>
    <t>OT</t>
  </si>
  <si>
    <t>Constr. Complete</t>
  </si>
  <si>
    <t>Overream Bot. El.</t>
  </si>
  <si>
    <t>OB</t>
  </si>
  <si>
    <t>Shaft Bottom El.</t>
  </si>
  <si>
    <t>SB</t>
  </si>
  <si>
    <t>Rock Core Bot. El.</t>
  </si>
  <si>
    <t>RCB</t>
  </si>
  <si>
    <t>Length 
Provided 
(ft)</t>
  </si>
  <si>
    <t>Pay
Factor 
F*</t>
  </si>
  <si>
    <t>Pay
Length 
(ft)</t>
  </si>
  <si>
    <t>Pay Factor Calculation
(455-23)</t>
  </si>
  <si>
    <t>Permanent Casing</t>
  </si>
  <si>
    <t>CT-CB</t>
  </si>
  <si>
    <t>N/A</t>
  </si>
  <si>
    <t>Drilled Shaft ID specified</t>
  </si>
  <si>
    <t>Unclass. Excavation</t>
  </si>
  <si>
    <t>GS-SB</t>
  </si>
  <si>
    <t>*Casing ID provided</t>
  </si>
  <si>
    <t>Rock Core length</t>
  </si>
  <si>
    <t>RCT-RCB</t>
  </si>
  <si>
    <t>Drilled Shaft length</t>
  </si>
  <si>
    <t>ST-SB</t>
  </si>
  <si>
    <t>x</t>
  </si>
  <si>
    <t>*Casing ID provided = Casing OD provided minus twice the wall thickness</t>
  </si>
  <si>
    <t xml:space="preserve">Was additional shaft length provided for smaller shaft as per specifications:   </t>
  </si>
  <si>
    <t>If yes, indicate the additional length</t>
  </si>
  <si>
    <t>FT</t>
  </si>
  <si>
    <t>yes</t>
  </si>
  <si>
    <t xml:space="preserve">     no</t>
  </si>
  <si>
    <t>Passing Sand cont. &lt; =</t>
  </si>
  <si>
    <t>cross ties or "figure 8" ties?</t>
  </si>
  <si>
    <t>14)</t>
  </si>
  <si>
    <t>13)</t>
  </si>
  <si>
    <t>12)</t>
  </si>
  <si>
    <t>11)</t>
  </si>
  <si>
    <t>(b) Extension Length (ft) =</t>
  </si>
  <si>
    <t>IF YES:</t>
  </si>
  <si>
    <t>10)</t>
  </si>
  <si>
    <t>9)</t>
  </si>
  <si>
    <r>
      <rPr>
        <b/>
        <sz val="14"/>
        <color indexed="8"/>
        <rFont val="Calibri"/>
        <family val="2"/>
      </rPr>
      <t>d</t>
    </r>
    <r>
      <rPr>
        <b/>
        <vertAlign val="subscript"/>
        <sz val="11"/>
        <color indexed="8"/>
        <rFont val="Calibri"/>
        <family val="2"/>
      </rPr>
      <t>1</t>
    </r>
  </si>
  <si>
    <t>8)</t>
  </si>
  <si>
    <t>7)</t>
  </si>
  <si>
    <t>6)</t>
  </si>
  <si>
    <r>
      <rPr>
        <b/>
        <sz val="14"/>
        <color indexed="8"/>
        <rFont val="Calibri"/>
        <family val="2"/>
      </rPr>
      <t>d</t>
    </r>
    <r>
      <rPr>
        <b/>
        <vertAlign val="subscript"/>
        <sz val="11"/>
        <color indexed="8"/>
        <rFont val="Calibri"/>
        <family val="2"/>
      </rPr>
      <t>2</t>
    </r>
  </si>
  <si>
    <t>5)</t>
  </si>
  <si>
    <t>4)</t>
  </si>
  <si>
    <t>3)</t>
  </si>
  <si>
    <r>
      <rPr>
        <b/>
        <sz val="14"/>
        <color indexed="8"/>
        <rFont val="Calibri"/>
        <family val="2"/>
      </rPr>
      <t>d</t>
    </r>
    <r>
      <rPr>
        <b/>
        <vertAlign val="subscript"/>
        <sz val="11"/>
        <color indexed="8"/>
        <rFont val="Calibri"/>
        <family val="2"/>
      </rPr>
      <t>3</t>
    </r>
  </si>
  <si>
    <r>
      <t>d</t>
    </r>
    <r>
      <rPr>
        <vertAlign val="subscript"/>
        <sz val="11"/>
        <color indexed="8"/>
        <rFont val="Helvetica"/>
        <family val="2"/>
      </rPr>
      <t xml:space="preserve">15 </t>
    </r>
    <r>
      <rPr>
        <sz val="11"/>
        <color indexed="8"/>
        <rFont val="Helvetica"/>
        <family val="2"/>
      </rPr>
      <t>=</t>
    </r>
  </si>
  <si>
    <r>
      <t>d</t>
    </r>
    <r>
      <rPr>
        <vertAlign val="subscript"/>
        <sz val="11"/>
        <color indexed="8"/>
        <rFont val="Helvetica"/>
        <family val="2"/>
      </rPr>
      <t xml:space="preserve">10 </t>
    </r>
    <r>
      <rPr>
        <sz val="11"/>
        <color indexed="8"/>
        <rFont val="Helvetica"/>
        <family val="2"/>
      </rPr>
      <t>=</t>
    </r>
  </si>
  <si>
    <r>
      <t>d</t>
    </r>
    <r>
      <rPr>
        <vertAlign val="subscript"/>
        <sz val="11"/>
        <color indexed="8"/>
        <rFont val="Helvetica"/>
        <family val="2"/>
      </rPr>
      <t xml:space="preserve">5 </t>
    </r>
    <r>
      <rPr>
        <sz val="11"/>
        <color indexed="8"/>
        <rFont val="Helvetica"/>
        <family val="2"/>
      </rPr>
      <t>=</t>
    </r>
  </si>
  <si>
    <r>
      <rPr>
        <b/>
        <sz val="12"/>
        <color indexed="8"/>
        <rFont val="Calibri"/>
        <family val="2"/>
      </rPr>
      <t xml:space="preserve">L </t>
    </r>
    <r>
      <rPr>
        <b/>
        <vertAlign val="subscript"/>
        <sz val="12"/>
        <color indexed="8"/>
        <rFont val="Calibri"/>
        <family val="2"/>
      </rPr>
      <t>l</t>
    </r>
  </si>
  <si>
    <r>
      <t>d</t>
    </r>
    <r>
      <rPr>
        <vertAlign val="subscript"/>
        <sz val="11"/>
        <color indexed="8"/>
        <rFont val="Helvetica"/>
        <family val="2"/>
      </rPr>
      <t>14</t>
    </r>
    <r>
      <rPr>
        <sz val="11"/>
        <color indexed="8"/>
        <rFont val="Helvetica"/>
        <family val="2"/>
      </rPr>
      <t>=</t>
    </r>
  </si>
  <si>
    <r>
      <t>d</t>
    </r>
    <r>
      <rPr>
        <vertAlign val="subscript"/>
        <sz val="11"/>
        <color indexed="8"/>
        <rFont val="Helvetica"/>
        <family val="2"/>
      </rPr>
      <t xml:space="preserve">9 </t>
    </r>
    <r>
      <rPr>
        <sz val="11"/>
        <color indexed="8"/>
        <rFont val="Helvetica"/>
        <family val="2"/>
      </rPr>
      <t>=</t>
    </r>
  </si>
  <si>
    <r>
      <t>d</t>
    </r>
    <r>
      <rPr>
        <vertAlign val="subscript"/>
        <sz val="11"/>
        <color indexed="8"/>
        <rFont val="Helvetica"/>
        <family val="2"/>
      </rPr>
      <t xml:space="preserve">4 </t>
    </r>
    <r>
      <rPr>
        <sz val="11"/>
        <color indexed="8"/>
        <rFont val="Helvetica"/>
        <family val="2"/>
      </rPr>
      <t>=</t>
    </r>
  </si>
  <si>
    <r>
      <rPr>
        <b/>
        <sz val="14"/>
        <color indexed="8"/>
        <rFont val="Calibri"/>
        <family val="2"/>
      </rPr>
      <t>d</t>
    </r>
    <r>
      <rPr>
        <b/>
        <vertAlign val="subscript"/>
        <sz val="11"/>
        <color indexed="8"/>
        <rFont val="Calibri"/>
        <family val="2"/>
      </rPr>
      <t>4</t>
    </r>
  </si>
  <si>
    <r>
      <t>d</t>
    </r>
    <r>
      <rPr>
        <vertAlign val="subscript"/>
        <sz val="11"/>
        <color indexed="8"/>
        <rFont val="Helvetica"/>
        <family val="2"/>
      </rPr>
      <t xml:space="preserve">13 </t>
    </r>
    <r>
      <rPr>
        <sz val="11"/>
        <color indexed="8"/>
        <rFont val="Helvetica"/>
        <family val="2"/>
      </rPr>
      <t>=</t>
    </r>
  </si>
  <si>
    <r>
      <t>d</t>
    </r>
    <r>
      <rPr>
        <vertAlign val="subscript"/>
        <sz val="11"/>
        <color indexed="8"/>
        <rFont val="Helvetica"/>
        <family val="2"/>
      </rPr>
      <t xml:space="preserve">8 </t>
    </r>
    <r>
      <rPr>
        <sz val="11"/>
        <color indexed="8"/>
        <rFont val="Helvetica"/>
        <family val="2"/>
      </rPr>
      <t>=</t>
    </r>
  </si>
  <si>
    <r>
      <t>d</t>
    </r>
    <r>
      <rPr>
        <vertAlign val="subscript"/>
        <sz val="11"/>
        <color indexed="8"/>
        <rFont val="Helvetica"/>
        <family val="2"/>
      </rPr>
      <t xml:space="preserve">3 </t>
    </r>
    <r>
      <rPr>
        <sz val="11"/>
        <color indexed="8"/>
        <rFont val="Helvetica"/>
        <family val="2"/>
      </rPr>
      <t>=</t>
    </r>
  </si>
  <si>
    <r>
      <t>d</t>
    </r>
    <r>
      <rPr>
        <vertAlign val="subscript"/>
        <sz val="11"/>
        <color indexed="8"/>
        <rFont val="Helvetica"/>
        <family val="2"/>
      </rPr>
      <t xml:space="preserve">12 </t>
    </r>
    <r>
      <rPr>
        <sz val="11"/>
        <color indexed="8"/>
        <rFont val="Helvetica"/>
        <family val="2"/>
      </rPr>
      <t>=</t>
    </r>
  </si>
  <si>
    <r>
      <t>d</t>
    </r>
    <r>
      <rPr>
        <vertAlign val="subscript"/>
        <sz val="11"/>
        <color indexed="8"/>
        <rFont val="Helvetica"/>
        <family val="2"/>
      </rPr>
      <t>7</t>
    </r>
    <r>
      <rPr>
        <sz val="11"/>
        <color indexed="8"/>
        <rFont val="Helvetica"/>
        <family val="2"/>
      </rPr>
      <t>=</t>
    </r>
  </si>
  <si>
    <r>
      <t>d</t>
    </r>
    <r>
      <rPr>
        <vertAlign val="subscript"/>
        <sz val="11"/>
        <color indexed="8"/>
        <rFont val="Helvetica"/>
        <family val="2"/>
      </rPr>
      <t xml:space="preserve">2 </t>
    </r>
    <r>
      <rPr>
        <sz val="11"/>
        <color indexed="8"/>
        <rFont val="Helvetica"/>
        <family val="2"/>
      </rPr>
      <t>=</t>
    </r>
  </si>
  <si>
    <r>
      <rPr>
        <b/>
        <sz val="14"/>
        <color indexed="8"/>
        <rFont val="Calibri"/>
        <family val="2"/>
      </rPr>
      <t>d</t>
    </r>
    <r>
      <rPr>
        <b/>
        <vertAlign val="subscript"/>
        <sz val="11"/>
        <color indexed="8"/>
        <rFont val="Calibri"/>
        <family val="2"/>
      </rPr>
      <t>5</t>
    </r>
  </si>
  <si>
    <r>
      <t>d</t>
    </r>
    <r>
      <rPr>
        <vertAlign val="subscript"/>
        <sz val="11"/>
        <color indexed="8"/>
        <rFont val="Helvetica"/>
        <family val="2"/>
      </rPr>
      <t xml:space="preserve">11 </t>
    </r>
    <r>
      <rPr>
        <sz val="11"/>
        <color indexed="8"/>
        <rFont val="Helvetica"/>
        <family val="2"/>
      </rPr>
      <t>=</t>
    </r>
  </si>
  <si>
    <r>
      <t>d</t>
    </r>
    <r>
      <rPr>
        <vertAlign val="subscript"/>
        <sz val="11"/>
        <color indexed="8"/>
        <rFont val="Helvetica"/>
        <family val="2"/>
      </rPr>
      <t xml:space="preserve">6 </t>
    </r>
    <r>
      <rPr>
        <sz val="11"/>
        <color indexed="8"/>
        <rFont val="Helvetica"/>
        <family val="2"/>
      </rPr>
      <t>=</t>
    </r>
  </si>
  <si>
    <r>
      <t>d</t>
    </r>
    <r>
      <rPr>
        <vertAlign val="subscript"/>
        <sz val="11"/>
        <color indexed="8"/>
        <rFont val="Helvetica"/>
        <family val="2"/>
      </rPr>
      <t xml:space="preserve">1 </t>
    </r>
    <r>
      <rPr>
        <sz val="11"/>
        <color indexed="8"/>
        <rFont val="Helvetica"/>
        <family val="2"/>
      </rPr>
      <t>=</t>
    </r>
  </si>
  <si>
    <t>2)</t>
  </si>
  <si>
    <t>Cage Dia.    (in) =</t>
  </si>
  <si>
    <t>1)</t>
  </si>
  <si>
    <t>(Project Admin Or Permit Manager)</t>
  </si>
  <si>
    <t>Bridge Structure #</t>
  </si>
  <si>
    <t>Approved by:</t>
  </si>
  <si>
    <t>Inspected by:</t>
  </si>
  <si>
    <t>FIN Project No.:</t>
  </si>
  <si>
    <t>DRILLED SHAFT REINFORCEMENT/SPACERS/LOG</t>
  </si>
  <si>
    <t xml:space="preserve"> STATE OF FLORIDA DEPARTMENT OF TRANSPORTATION</t>
  </si>
  <si>
    <t>Exc Inspectors</t>
  </si>
  <si>
    <t>TIN  exc</t>
  </si>
  <si>
    <t>steel  inspector</t>
  </si>
  <si>
    <t>TIN steel</t>
  </si>
  <si>
    <t>Conc inspector</t>
  </si>
  <si>
    <t>TIN  conc</t>
  </si>
  <si>
    <t>excavation</t>
  </si>
  <si>
    <t>steel</t>
  </si>
  <si>
    <t>concrete</t>
  </si>
  <si>
    <t>Fin Number</t>
  </si>
  <si>
    <t>Pier</t>
  </si>
  <si>
    <t>Shaft #</t>
  </si>
  <si>
    <t>station</t>
  </si>
  <si>
    <t>offset</t>
  </si>
  <si>
    <t>Bridge Structure</t>
  </si>
  <si>
    <t>Core Drilling Contractor</t>
  </si>
  <si>
    <t>in*</t>
  </si>
  <si>
    <t>Note (in*) : Input the sediment thickness in inches in these fields</t>
  </si>
  <si>
    <t>Design Mix No.</t>
  </si>
  <si>
    <t>Page steelist 1</t>
  </si>
  <si>
    <t>Page slurry list</t>
  </si>
  <si>
    <t>SID Date inspected</t>
  </si>
  <si>
    <t>Reinf Date</t>
  </si>
  <si>
    <t>PA date</t>
  </si>
  <si>
    <t>Equipment and methods used to install each casing used:</t>
  </si>
  <si>
    <t>INSPECTOR CUSTOM MADE SOIL DESCRIPTION</t>
  </si>
  <si>
    <t xml:space="preserve">   CASING ILLUSTRATION</t>
  </si>
  <si>
    <t>DRILLED SHAFT EXCAVATION ADDITIONAL COMMENTS</t>
  </si>
  <si>
    <t>ADDITIONAL COMMENTS ON EXCAVATION (DRILLING/CASING/FLUID):</t>
  </si>
  <si>
    <t>additional comment pages</t>
  </si>
  <si>
    <t>ADDITIONAL COMMENTS ON CONCRETE AND REINFORCEMENT:</t>
  </si>
  <si>
    <t>DRILLED SHAFT CONCRETE AND REINFORCEMENT ADDITIONAL COMMENTS</t>
  </si>
  <si>
    <t>fourth lowest section</t>
  </si>
  <si>
    <t>Fifth lowest section</t>
  </si>
  <si>
    <t>Name and TIN:</t>
  </si>
  <si>
    <t>Name and TIN :</t>
  </si>
  <si>
    <t>Signature:</t>
  </si>
  <si>
    <t>participation during the full installation of this Drilled Shaft:</t>
  </si>
  <si>
    <t xml:space="preserve">Qualified Inspector -  I certify the Drilled Shaft Log content, and as applicable, the above CTQP Trainee's  </t>
  </si>
  <si>
    <t>CTQP Trainee (supervised by the Qualified Inspector)  experiencing the full Drilled Shaft installation &amp; log inspection</t>
  </si>
  <si>
    <t>Grouting Date:</t>
  </si>
  <si>
    <t>DRILLED SHAFT INSPECTION ATTACHMENTS</t>
  </si>
  <si>
    <t>code</t>
  </si>
  <si>
    <t>INSPECTOR SOIL CODES</t>
  </si>
  <si>
    <t>(Casing 2 in Concr. Pg 1)</t>
  </si>
  <si>
    <t>(Casing 1 in Concr. Pg 1)</t>
  </si>
  <si>
    <t>700-010-84</t>
  </si>
  <si>
    <t>Of</t>
  </si>
  <si>
    <t>Page reinf/concrete list</t>
  </si>
  <si>
    <r>
      <t xml:space="preserve">Y  </t>
    </r>
    <r>
      <rPr>
        <sz val="16"/>
        <color theme="1"/>
        <rFont val="Calibri"/>
        <family val="2"/>
        <scheme val="minor"/>
      </rPr>
      <t xml:space="preserve">(  </t>
    </r>
  </si>
  <si>
    <r>
      <rPr>
        <b/>
        <sz val="16"/>
        <color theme="1"/>
        <rFont val="Calibri"/>
        <family val="2"/>
        <scheme val="minor"/>
      </rPr>
      <t>Slump Loss</t>
    </r>
    <r>
      <rPr>
        <b/>
        <sz val="14"/>
        <color theme="1"/>
        <rFont val="Calibri"/>
        <family val="2"/>
        <scheme val="minor"/>
      </rPr>
      <t xml:space="preserve"> - </t>
    </r>
    <r>
      <rPr>
        <b/>
        <sz val="13"/>
        <color theme="1"/>
        <rFont val="Calibri"/>
        <family val="2"/>
        <scheme val="minor"/>
      </rPr>
      <t xml:space="preserve">max elapsed time  (mix design)  </t>
    </r>
    <r>
      <rPr>
        <b/>
        <sz val="14"/>
        <color theme="1"/>
        <rFont val="Calibri"/>
        <family val="2"/>
        <scheme val="minor"/>
      </rPr>
      <t>(hrs)</t>
    </r>
  </si>
  <si>
    <t>Name of the approver (Project Administrator, or Senior Engineer, or Permit Manager) to be entered  in the  "Approved by" field.  Then the approver shall digitally sign and date on the pdf version of this page.</t>
  </si>
  <si>
    <r>
      <t xml:space="preserve">Left on Ground </t>
    </r>
    <r>
      <rPr>
        <sz val="12"/>
        <color theme="1"/>
        <rFont val="Calibri"/>
        <family val="2"/>
        <scheme val="minor"/>
      </rPr>
      <t>(Spillage)</t>
    </r>
  </si>
  <si>
    <t>Time Conc. Placement Finished &amp; Bolts Installed</t>
  </si>
  <si>
    <t>Constructed Shaft Length (ft)</t>
  </si>
  <si>
    <t>CSL OR THERMAL INTEGRITY ACCESS TUBES GROUTING LOG</t>
  </si>
  <si>
    <t>DRILLED SHAFT FLUID/SLURRY TESTING LOG</t>
  </si>
  <si>
    <t>[ Project Administrator (PA) or Permit Coordinator (PC) ]</t>
  </si>
  <si>
    <t xml:space="preserve">(measure each after installation)      </t>
  </si>
  <si>
    <r>
      <t xml:space="preserve">(d) Extension above shaft provided </t>
    </r>
    <r>
      <rPr>
        <sz val="11"/>
        <color theme="1"/>
        <rFont val="Helvetica"/>
      </rPr>
      <t xml:space="preserve">(in) </t>
    </r>
    <r>
      <rPr>
        <sz val="9"/>
        <color theme="1"/>
        <rFont val="Helvetica"/>
      </rPr>
      <t>(Note 1)</t>
    </r>
    <r>
      <rPr>
        <sz val="11"/>
        <color theme="1"/>
        <rFont val="Helvetica"/>
      </rPr>
      <t xml:space="preserve"> </t>
    </r>
    <r>
      <rPr>
        <sz val="11"/>
        <color theme="1"/>
        <rFont val="Helvetica"/>
        <family val="2"/>
      </rPr>
      <t>=</t>
    </r>
  </si>
  <si>
    <t>SPACER DISTANCES (ft)</t>
  </si>
  <si>
    <t>Number of Spacers /Row (Qty) =</t>
  </si>
  <si>
    <t>Number of rows (Qty) =</t>
  </si>
  <si>
    <t>Number of bottom spacers (Qty)  =</t>
  </si>
  <si>
    <t>Tie Bar Dia. (in)  = (bar #)/8 =</t>
  </si>
  <si>
    <t>Was Bottom of Cage (BOC) extended?</t>
  </si>
  <si>
    <t>(a) No. of Long. (Vert) Bars Extended (Qty) =</t>
  </si>
  <si>
    <t>Est. Actual Steel Vol. (cy)</t>
  </si>
  <si>
    <t>(c) Number of Additional Tie Bars (Qty) =</t>
  </si>
  <si>
    <t xml:space="preserve">Vert. Bars (cy) = </t>
  </si>
  <si>
    <t xml:space="preserve">Tie Bars (cy) = </t>
  </si>
  <si>
    <t>Number of Anchor Bolts (Qty) =</t>
  </si>
  <si>
    <t>Anchor Bolts Length (in) =</t>
  </si>
  <si>
    <t xml:space="preserve">Extended V. Bars (cy) = </t>
  </si>
  <si>
    <t>Extended BOC   Vol. (if applic.)</t>
  </si>
  <si>
    <t>Anchor Bolts Dia. (in) =</t>
  </si>
  <si>
    <t xml:space="preserve">Additional Tie Bars (cy) = </t>
  </si>
  <si>
    <t>15)</t>
  </si>
  <si>
    <t>Were all the rebar intersections tied with</t>
  </si>
  <si>
    <t>Total Est. Steel (cy) =</t>
  </si>
  <si>
    <r>
      <rPr>
        <b/>
        <sz val="12"/>
        <color rgb="FFFF0000"/>
        <rFont val="Arial"/>
        <family val="2"/>
      </rPr>
      <t>Select</t>
    </r>
    <r>
      <rPr>
        <sz val="10"/>
        <color rgb="FFFF0000"/>
        <rFont val="Arial"/>
        <family val="2"/>
      </rPr>
      <t xml:space="preserve"> Type of Structure </t>
    </r>
    <r>
      <rPr>
        <sz val="10"/>
        <color rgb="FFFF0000"/>
        <rFont val="Calibri"/>
        <family val="2"/>
      </rPr>
      <t>↓</t>
    </r>
  </si>
  <si>
    <t>MA Signal</t>
  </si>
  <si>
    <t>( 7 Tie Bars for top 2-ft + table Tie Bars + remaining Tie Bars @ max 12" spacing )</t>
  </si>
  <si>
    <t>No. of Bars</t>
  </si>
  <si>
    <t xml:space="preserve">Vert. Bar       size (#) </t>
  </si>
  <si>
    <t xml:space="preserve">Tie Bar       size (#) </t>
  </si>
  <si>
    <t>Vert Bars, Tie Bars &amp; CSL tubes</t>
  </si>
  <si>
    <t>(all #5)</t>
  </si>
  <si>
    <t xml:space="preserve">Total cy </t>
  </si>
  <si>
    <t>cy/ft</t>
  </si>
  <si>
    <t>2016 Design Standards</t>
  </si>
  <si>
    <t>*IDS = Instructions for Design Standards</t>
  </si>
  <si>
    <t>Calc Qty of Tie Bars</t>
  </si>
  <si>
    <t>Standard or Modified</t>
  </si>
  <si>
    <t>Special MA Assembly</t>
  </si>
  <si>
    <t>No. of Spaces</t>
  </si>
  <si>
    <t>Spacing (in)</t>
  </si>
  <si>
    <t>Actual number (qty) of #5 Tie Bars installed on cage (via inspection - "reinf.@spacers" log sheet) should be = or &gt; Qty calculated above IAW Design Standards.</t>
  </si>
  <si>
    <t>RB #RA Vert Bars</t>
  </si>
  <si>
    <t>[ 7 Tie Bars (top 2-ft) + table Tie Bars + remaining Tie Bars @ max 12" spacing ]</t>
  </si>
  <si>
    <t xml:space="preserve">6 spaces @ 4" (incl. 7th tie bar) </t>
  </si>
  <si>
    <t>Steel Vol /</t>
  </si>
  <si>
    <t>IDS and Index 17743 / 17745</t>
  </si>
  <si>
    <t>Bar Size</t>
  </si>
  <si>
    <t>RC spaces @ RD"</t>
  </si>
  <si>
    <t>RE spaces @ RF"</t>
  </si>
  <si>
    <t>Tie Bar Size</t>
  </si>
  <si>
    <r>
      <t xml:space="preserve">2016 Design Standard  -  CANTILLEVER SIGNS   -  Index 11310           Info. rev date - 11/14/16
    Overhead Cantillever (OHC) Signs
5" top cover (to 1st #5 Tie Bar)
7" bottom cover (to bottom #5 Tie Bar)
2' 2" Lap on each #5 Tie Bar
FA =  shaft length, ft
FB =  shaft dia., ft
FC  - No. of V. Bars (#) / V. Bar Size (ex. v. bar size = #11, etc.)
Vertical Bars to be equally spaced around cage perimeter.
#5 Tie Bar layers:
(1) </t>
    </r>
    <r>
      <rPr>
        <sz val="11"/>
        <color rgb="FFFF0000"/>
        <rFont val="Calibri"/>
        <family val="2"/>
        <scheme val="minor"/>
      </rPr>
      <t xml:space="preserve"> Top of cage -  6 sp. @ 4"  (top 2-ft of cage)         7    Tie Bars</t>
    </r>
    <r>
      <rPr>
        <sz val="11"/>
        <color theme="1"/>
        <rFont val="Calibri"/>
        <family val="2"/>
        <scheme val="minor"/>
      </rPr>
      <t xml:space="preserve">
(2)  FD spaces @ FE"                                                            FD Tie Bars
(3)  FF spaced @ FG"                                                           FF  Tie Bars 
(4) </t>
    </r>
    <r>
      <rPr>
        <sz val="11"/>
        <color rgb="FFFF0000"/>
        <rFont val="Calibri"/>
        <family val="2"/>
        <scheme val="minor"/>
      </rPr>
      <t xml:space="preserve"> Remaining spaces @ 12" max  </t>
    </r>
    <r>
      <rPr>
        <sz val="11"/>
        <color theme="1"/>
        <rFont val="Calibri"/>
        <family val="2"/>
        <scheme val="minor"/>
      </rPr>
      <t xml:space="preserve">
Cantillever Sign Structures Data Table (foundation variables data input by design EOR) 
FDOT Cantillever Overhead Sign Program - to provide data for the drilled shaft foundation.
 </t>
    </r>
  </si>
  <si>
    <t>2016 Design Standard -  SPAN SIGNS           -  Index 11320     Info. rev date -    12/6/16
                        Overhead Truss (OHT) Signs  -  Lt. &amp; Rt.
5" top cover (to 1st #5 Tie Bar),
7" bottom cover (to bottom #5 Tie Bar)
2' 2" Lap on each #5 Tie Bar
Left:                                                      Right:
DA =  Lt. shaft length, ft                FA =  Rt. shaft length, ft 
DB =  Lt. shaft dia., ft                      FB =  Rt. shaft dia., ft
Left:                                                      Right:
DC   (# / size)                                     FC  (# / size)
No. of V. Bars (#) / V. Bar Size   (ex. v. bar size = #11, etc.)
Vertical Bars to be equally spaced around cage perimeter.
#5 Tie Bars:
Left:                                                                         Right:
(1)  6 sp. @ 4"  (top 2-ft of cage)                  6 sp. @ 4"  (top 2-ft of cage)
(2)  DD spaces @ DE"                                        FD spaced @ FE"
(3)  Remaining spaces @ 12" max               Remaining spaces @ 12" max  
Note:  DF" &amp; FF" on table are bolt embedment below TOS (not used for Est steel Vol calc.)                  
Span Sign Structures Data Table (foundation variables data input by design EOR) 
FDOT Span Overhead Sign Program - to provide data for the  Rt &amp; Lt drilled shaft foundations.</t>
  </si>
  <si>
    <t xml:space="preserve">
2016 Int. Design Standard  -  STEEL STRAIN POLE  -  Index 17723    Info. rev date - 12/6/16
5" top cover (to 1st #5 Tie Bar),
7" bottom cover (to bottom #5 Tie Bar)
2' 2" Lap on each #5 Tie Bar
DB =  shaft dia. (ft)
DA =  shaft length  (ft)
Index 17723 includes Shaft table values DA, DB &amp; "No. of #11 Bars", by Pole Type.
No. of V. Bars (see table) / V. Bar Size (table indicated all are #11 bars)
Vertical #11 Bars to be equally spaced around cage perimeter.
(The "No. of #11 Bars" is included on the Index 17723 Table of Strain Pole Variables)
#5 Tie Bars:
(1)  6 sp. @ 4"  (top 2-ft of cage)
(2)  Remaining spaces @ 1.0 ft (12") max</t>
  </si>
  <si>
    <t xml:space="preserve">2016 Design Standards -  HIGHMAST LIGHTING  -  Index 17502     Info. rev date -    12/6/16
5" top cover (to 1st #5 Tie Bar),
7" bottom cover (to bottom #5 Tie Bar)
2' 2" Lap on each #5 Tie Bar
Index 17502, sht. 2, Shaft Design Table by Design Wind Speed:
"Shaft Diameter" =  shaft dia.
"Shaft Length"     =  shaft length
Vertical #11 Bars to be equally spaced around cage perimeter.
The No. of #11 bars is included on the Index 17502 Shaft Design Table for each Design Wind Speed and Pole Overall Height.
#5 Tie Bars:
6 sp. @ 4"  (top 2-ft of cage)
Remaining spaces @ 1.0 ft max  </t>
  </si>
  <si>
    <t>Tie Bars via table, if applic.</t>
  </si>
  <si>
    <t>Shaft Vol</t>
  </si>
  <si>
    <t>(Qty)</t>
  </si>
  <si>
    <t>(Bar #)</t>
  </si>
  <si>
    <t>(factor)</t>
  </si>
  <si>
    <t>RB  Qty</t>
  </si>
  <si>
    <t>RA  size</t>
  </si>
  <si>
    <t>RD"</t>
  </si>
  <si>
    <t>RE</t>
  </si>
  <si>
    <t>RF"</t>
  </si>
  <si>
    <t>Remaining</t>
  </si>
  <si>
    <t>12" max</t>
  </si>
  <si>
    <t>Remaining Tie Bars @ 12" max</t>
  </si>
  <si>
    <t>Calculated total min. number or Qty of Tie Bars</t>
  </si>
  <si>
    <t xml:space="preserve"> Qty of Tie Bars verified by inspection</t>
  </si>
  <si>
    <t>(IAW Design Standard,  log Qty s/b &gt; or = this value)</t>
  </si>
  <si>
    <t>OHC Sign</t>
  </si>
  <si>
    <t>FC Vert Bars</t>
  </si>
  <si>
    <t>IDS &amp; Index 11310</t>
  </si>
  <si>
    <t>FD spaces @ FE"</t>
  </si>
  <si>
    <t>FF spaces @ FG"</t>
  </si>
  <si>
    <t>Vertical Bars (RB  #RA bars)</t>
  </si>
  <si>
    <t>FC  Qty</t>
  </si>
  <si>
    <t>FC  size</t>
  </si>
  <si>
    <t>FE"</t>
  </si>
  <si>
    <t>FF</t>
  </si>
  <si>
    <t>FG"</t>
  </si>
  <si>
    <t>Total cy</t>
  </si>
  <si>
    <r>
      <t xml:space="preserve">OHT Sign - </t>
    </r>
    <r>
      <rPr>
        <sz val="14"/>
        <color rgb="FFFF0000"/>
        <rFont val="Arial"/>
        <family val="2"/>
      </rPr>
      <t>Left.</t>
    </r>
  </si>
  <si>
    <t>DC Vertical Bars</t>
  </si>
  <si>
    <t>IDS &amp; Index 11320</t>
  </si>
  <si>
    <t>DD spaces @ DE"</t>
  </si>
  <si>
    <t>Vertical Bars - DC (Qty / size #)</t>
  </si>
  <si>
    <t>DC  Qty</t>
  </si>
  <si>
    <t>DC  size</t>
  </si>
  <si>
    <t>DE"</t>
  </si>
  <si>
    <r>
      <t xml:space="preserve">OHT Sign - </t>
    </r>
    <r>
      <rPr>
        <sz val="14"/>
        <color rgb="FFFF0000"/>
        <rFont val="Arial"/>
        <family val="2"/>
      </rPr>
      <t>Right.</t>
    </r>
  </si>
  <si>
    <t>FC Vertical Bars</t>
  </si>
  <si>
    <t>Vertical Bars - FC (Qty / size #)</t>
  </si>
  <si>
    <t>IDS &amp; Index 17723</t>
  </si>
  <si>
    <t>(Index Table)</t>
  </si>
  <si>
    <t>(all #11)</t>
  </si>
  <si>
    <t>IDS &amp; Index - 17502</t>
  </si>
  <si>
    <t>Length (ft)   (Index Table)</t>
  </si>
  <si>
    <t>Dia (ft)     (Index Table)</t>
  </si>
  <si>
    <t>"Shaft Length"</t>
  </si>
  <si>
    <t>"Shaft Dia."</t>
  </si>
  <si>
    <t>Drop-down list:</t>
  </si>
  <si>
    <t>OHT Sign - Left</t>
  </si>
  <si>
    <t>OHT Sign - Right</t>
  </si>
  <si>
    <t>Click here to Select</t>
  </si>
  <si>
    <t>Estimated Steel Volume</t>
  </si>
  <si>
    <r>
      <rPr>
        <b/>
        <sz val="14"/>
        <color indexed="8"/>
        <rFont val="Helvetica"/>
        <family val="2"/>
      </rPr>
      <t xml:space="preserve">L </t>
    </r>
    <r>
      <rPr>
        <b/>
        <vertAlign val="subscript"/>
        <sz val="12"/>
        <color indexed="8"/>
        <rFont val="Helvetica"/>
        <family val="2"/>
      </rPr>
      <t xml:space="preserve">l </t>
    </r>
    <r>
      <rPr>
        <sz val="12"/>
        <color indexed="8"/>
        <rFont val="Helvetica"/>
      </rPr>
      <t>=</t>
    </r>
    <r>
      <rPr>
        <b/>
        <vertAlign val="subscript"/>
        <sz val="12"/>
        <color indexed="8"/>
        <rFont val="Helvetica"/>
        <family val="2"/>
      </rPr>
      <t xml:space="preserve"> </t>
    </r>
    <r>
      <rPr>
        <sz val="11"/>
        <color indexed="8"/>
        <rFont val="Helvetica"/>
        <family val="2"/>
      </rPr>
      <t>Longitudinal</t>
    </r>
    <r>
      <rPr>
        <sz val="10"/>
        <color indexed="8"/>
        <rFont val="Helvetica"/>
      </rPr>
      <t xml:space="preserve"> (Vertical) </t>
    </r>
    <r>
      <rPr>
        <sz val="11"/>
        <color indexed="8"/>
        <rFont val="Helvetica"/>
        <family val="2"/>
      </rPr>
      <t>Rebar Length   (ft)  =</t>
    </r>
  </si>
  <si>
    <r>
      <t>·</t>
    </r>
    <r>
      <rPr>
        <sz val="7"/>
        <color theme="1"/>
        <rFont val="Times New Roman"/>
        <family val="1"/>
      </rPr>
      <t xml:space="preserve">        </t>
    </r>
    <r>
      <rPr>
        <sz val="9"/>
        <color theme="1"/>
        <rFont val="Arial"/>
        <family val="2"/>
      </rPr>
      <t>700-010-84 for miscellaneous structures</t>
    </r>
  </si>
  <si>
    <r>
      <t>·</t>
    </r>
    <r>
      <rPr>
        <sz val="7"/>
        <color theme="1"/>
        <rFont val="Times New Roman"/>
        <family val="1"/>
      </rPr>
      <t xml:space="preserve">        </t>
    </r>
    <r>
      <rPr>
        <sz val="9"/>
        <color theme="1"/>
        <rFont val="Arial"/>
        <family val="2"/>
      </rPr>
      <t>700-010-85 for bridges</t>
    </r>
  </si>
  <si>
    <t>The Workbook for drilled shaft for miscellaneous structures (700-010-84) consists of the following individual sheets (worksheets):</t>
  </si>
  <si>
    <r>
      <t>·</t>
    </r>
    <r>
      <rPr>
        <sz val="7"/>
        <color theme="1"/>
        <rFont val="Times New Roman"/>
        <family val="1"/>
      </rPr>
      <t xml:space="preserve">        </t>
    </r>
    <r>
      <rPr>
        <sz val="9"/>
        <color theme="1"/>
        <rFont val="Arial"/>
        <family val="2"/>
      </rPr>
      <t>Drilled Shaft Excavation Log</t>
    </r>
  </si>
  <si>
    <r>
      <t>·</t>
    </r>
    <r>
      <rPr>
        <sz val="7"/>
        <color theme="1"/>
        <rFont val="Times New Roman"/>
        <family val="1"/>
      </rPr>
      <t xml:space="preserve">        </t>
    </r>
    <r>
      <rPr>
        <sz val="9"/>
        <color theme="1"/>
        <rFont val="Arial"/>
        <family val="2"/>
      </rPr>
      <t>Fluid/mineral slurry testing Log</t>
    </r>
  </si>
  <si>
    <r>
      <t>·</t>
    </r>
    <r>
      <rPr>
        <sz val="7"/>
        <color theme="1"/>
        <rFont val="Times New Roman"/>
        <family val="1"/>
      </rPr>
      <t xml:space="preserve">        </t>
    </r>
    <r>
      <rPr>
        <sz val="9"/>
        <color theme="1"/>
        <rFont val="Arial"/>
        <family val="2"/>
      </rPr>
      <t>Reinforcement/spacers Log</t>
    </r>
  </si>
  <si>
    <r>
      <t>·</t>
    </r>
    <r>
      <rPr>
        <sz val="7"/>
        <color theme="1"/>
        <rFont val="Times New Roman"/>
        <family val="1"/>
      </rPr>
      <t xml:space="preserve">        </t>
    </r>
    <r>
      <rPr>
        <sz val="9"/>
        <color theme="1"/>
        <rFont val="Arial"/>
        <family val="2"/>
      </rPr>
      <t>Concrete Placement Log</t>
    </r>
  </si>
  <si>
    <r>
      <t>·</t>
    </r>
    <r>
      <rPr>
        <sz val="7"/>
        <color theme="1"/>
        <rFont val="Times New Roman"/>
        <family val="1"/>
      </rPr>
      <t xml:space="preserve">        </t>
    </r>
    <r>
      <rPr>
        <sz val="9"/>
        <color theme="1"/>
        <rFont val="Arial"/>
        <family val="2"/>
      </rPr>
      <t>Concrete Volume Chart</t>
    </r>
  </si>
  <si>
    <r>
      <t>·</t>
    </r>
    <r>
      <rPr>
        <sz val="7"/>
        <color theme="1"/>
        <rFont val="Times New Roman"/>
        <family val="1"/>
      </rPr>
      <t xml:space="preserve">        </t>
    </r>
    <r>
      <rPr>
        <sz val="9"/>
        <color theme="1"/>
        <rFont val="Arial"/>
        <family val="2"/>
      </rPr>
      <t>Pay Summary (Hidden)</t>
    </r>
  </si>
  <si>
    <t>The workbook for drilled shaft for Bridges (700-010-85) will include the previous sheets plus the following:</t>
  </si>
  <si>
    <r>
      <t>·</t>
    </r>
    <r>
      <rPr>
        <sz val="7"/>
        <color theme="1"/>
        <rFont val="Times New Roman"/>
        <family val="1"/>
      </rPr>
      <t xml:space="preserve">        </t>
    </r>
    <r>
      <rPr>
        <sz val="9"/>
        <color theme="1"/>
        <rFont val="Arial"/>
        <family val="2"/>
      </rPr>
      <t>Shaft Inspection Device (SID)</t>
    </r>
  </si>
  <si>
    <r>
      <t>·</t>
    </r>
    <r>
      <rPr>
        <sz val="7"/>
        <color theme="1"/>
        <rFont val="Times New Roman"/>
        <family val="1"/>
      </rPr>
      <t xml:space="preserve">        </t>
    </r>
    <r>
      <rPr>
        <sz val="9"/>
        <color theme="1"/>
        <rFont val="Arial"/>
        <family val="2"/>
      </rPr>
      <t>Rock Core</t>
    </r>
  </si>
  <si>
    <r>
      <t>·</t>
    </r>
    <r>
      <rPr>
        <sz val="7"/>
        <color theme="1"/>
        <rFont val="Times New Roman"/>
        <family val="1"/>
      </rPr>
      <t xml:space="preserve">        </t>
    </r>
    <r>
      <rPr>
        <sz val="9"/>
        <color theme="1"/>
        <rFont val="Arial"/>
        <family val="2"/>
      </rPr>
      <t>Pay Summary (Unhidden)</t>
    </r>
  </si>
  <si>
    <t xml:space="preserve">DRILLED SHAFT WORKBOOK - FORMS 700-010-84 AND 700-010-85 </t>
  </si>
  <si>
    <t xml:space="preserve">There are also optional/additional pages that may be needed depemnding on the length of the shaft and particular requirements of the projec.. </t>
  </si>
  <si>
    <t>COLOR CODES, HINTS AND SUGGESTIONS</t>
  </si>
  <si>
    <t>Cells that accept input are shaded in gray.  .</t>
  </si>
  <si>
    <t>Cells in blank/white are protected and you cannot input anything there</t>
  </si>
  <si>
    <t>FOR EXAMPLE:</t>
  </si>
  <si>
    <t>Input cell</t>
  </si>
  <si>
    <t>No input</t>
  </si>
  <si>
    <t>Helpful note</t>
  </si>
  <si>
    <t>(Protected)</t>
  </si>
  <si>
    <t>included here</t>
  </si>
  <si>
    <t>Cells highlighted in light yellow include an instruction or a helpful note.  Put the cursor in the cell and you will see the note.</t>
  </si>
  <si>
    <t>At the bottom of your screen you will show the different tabs that correspond to different worksheets.  To navigate to a particular sheet just click the corresponding tab.</t>
  </si>
  <si>
    <t>Worksheet tabs</t>
  </si>
  <si>
    <t>There may be additional aids and illustrations at the right side of the spreadsheet.</t>
  </si>
  <si>
    <t>Additional aids and illustrations</t>
  </si>
  <si>
    <t>DROP DOWN BOXES:</t>
  </si>
  <si>
    <t>In some cells, there are drop-down boxes with suggested input.  The inspector may either click the value suggested or input a different one</t>
  </si>
  <si>
    <t>OPTIONAL/ ADDITIONAL PAGES</t>
  </si>
  <si>
    <t>(For additional information refer to the instructions from the FDOT Forms web site)</t>
  </si>
  <si>
    <t>(NOTE: THIS IS A SUMMARIZED VERSION OF THE INSTRUCTIONS)</t>
  </si>
  <si>
    <t>TIE BAR #</t>
  </si>
  <si>
    <t>Variable</t>
  </si>
  <si>
    <t>Rev. 6-6-17</t>
  </si>
  <si>
    <t>thickn. =</t>
  </si>
  <si>
    <t>in</t>
  </si>
  <si>
    <t>Date Tested:</t>
  </si>
  <si>
    <t xml:space="preserve">Fluid Condition (Tank and in Shaft During Drilling) </t>
  </si>
  <si>
    <t xml:space="preserve">The Drilled Shaft Log set is used to record the construction observed during the drilled shaft construction process. The different stages of construction will be documented on individual worksheets linked together to create </t>
  </si>
  <si>
    <t>a workbook. Therefore, every drilled shaft will be documented on an Excel workbook.  There are two workbook forms:</t>
  </si>
  <si>
    <t>To compute volume of grout used, use the number of bags used</t>
  </si>
  <si>
    <t xml:space="preserve">per tube.  For example,  say for tube #1 they used 1.5 bags  </t>
  </si>
  <si>
    <t>Say, the grout yield for the product is 0.43 cf/bag .</t>
  </si>
  <si>
    <t>(The yield in cf/bag can be typically found in the bag)</t>
  </si>
  <si>
    <t>Therefore: Grout used in this tube:</t>
  </si>
  <si>
    <t>V= 1.5 bag x 0.43 cf/bag= 0.65 cf.  You enter 0.65 for this tube</t>
  </si>
  <si>
    <t>casing type</t>
  </si>
  <si>
    <t xml:space="preserve">casing 1 thickness </t>
  </si>
  <si>
    <t xml:space="preserve">casing 2 thickness </t>
  </si>
  <si>
    <t>Anchor bolts meet Drawings</t>
  </si>
  <si>
    <t>Bolt Circle Diameter (in)=</t>
  </si>
  <si>
    <t>16)</t>
  </si>
  <si>
    <t>Depth</t>
  </si>
  <si>
    <t>Inspected By:</t>
  </si>
  <si>
    <t>of</t>
  </si>
  <si>
    <t>Number of Access Tubes Installed        =</t>
  </si>
  <si>
    <t>Theor. Vol. of grout for each access tube (below TOS)  (cf)</t>
  </si>
  <si>
    <t>( Project Administrator or Permit Coordinator )</t>
  </si>
  <si>
    <t>Grout type =</t>
  </si>
  <si>
    <t>TIN:</t>
  </si>
  <si>
    <t>Portion of Access Tubes Length below TOS (ft)</t>
  </si>
  <si>
    <t>Inside Diameter of Access Tubes (in)   =</t>
  </si>
  <si>
    <t>Total Length of Access Tubes that are initially attached to the rebar cage.  Measured by the inspector prior to cage installation and concrete placement.  Lengths are input on the "rein.&amp;spacers" sheet and are automatically populated here on the "Lengths of Access Tubes" cells.  No manual input of Lengths of Access Tubes is required on this sheet.</t>
  </si>
  <si>
    <t>Input measured length of access tubes extending above the Top of Shaft (TOS) after concrete placement.  Typically just a few inches, including a pipe cap).  If CSL or TIP integrity testing is necessary, the cap is removed, and a pipe union is installed to facilitate installation of test Extension Lengths, as required.</t>
  </si>
  <si>
    <t>Portion of Length below TOS  =  Length of access tubes  -  Portion of access tubes above TOS.  No input required (sheet calculates these values).</t>
  </si>
  <si>
    <t xml:space="preserve">Tube Extension Length installed for testng.  Added on top of the original access tubes (when needed for integrity testing)                                    (in)  =  </t>
  </si>
  <si>
    <t>Grout Vol used to fill access tubes (cf)</t>
  </si>
  <si>
    <t xml:space="preserve">Avg Tube Length (ft) =  </t>
  </si>
  <si>
    <t xml:space="preserve">Avg Vol Per tube (cf) =  </t>
  </si>
  <si>
    <t xml:space="preserve">Total Theor. Vol. (cf) =  </t>
  </si>
  <si>
    <t>Yield (cf/bag) =</t>
  </si>
  <si>
    <t>No. of bags =</t>
  </si>
  <si>
    <t>Mixed Vol (cf) =</t>
  </si>
  <si>
    <t>Theor &amp; Mixed Grout Vol. (cf)</t>
  </si>
  <si>
    <t>Tot Grout Vol used (cf) =</t>
  </si>
  <si>
    <t>(a) Number of Access Tubes Installed (qty) =</t>
  </si>
  <si>
    <t>(b) Inside Dia. (ID) of Access Tubes (in) =</t>
  </si>
  <si>
    <t xml:space="preserve">(c) Length of Access Tubes (ft) =  </t>
  </si>
  <si>
    <t xml:space="preserve">Access tubes (cy) = </t>
  </si>
  <si>
    <t>Note 1: Explain how the contractor provided the Integrity access tubes extension for testing:</t>
  </si>
  <si>
    <r>
      <t>Lengths of Access Tubes, LAT  (ft)</t>
    </r>
    <r>
      <rPr>
        <b/>
        <sz val="12"/>
        <color theme="1"/>
        <rFont val="Helvetica"/>
      </rPr>
      <t>:</t>
    </r>
  </si>
  <si>
    <r>
      <t>Portion of Access Tubes</t>
    </r>
    <r>
      <rPr>
        <b/>
        <u/>
        <sz val="12"/>
        <color theme="1"/>
        <rFont val="Helvetica"/>
      </rPr>
      <t xml:space="preserve"> above TOS, Pas (in)</t>
    </r>
    <r>
      <rPr>
        <b/>
        <sz val="12"/>
        <color theme="1"/>
        <rFont val="Helvetica"/>
      </rPr>
      <t>:</t>
    </r>
  </si>
  <si>
    <r>
      <t>Portion of Access Tubes</t>
    </r>
    <r>
      <rPr>
        <b/>
        <u/>
        <sz val="12"/>
        <color theme="1"/>
        <rFont val="Helvetica"/>
      </rPr>
      <t xml:space="preserve"> below TOS (ft)</t>
    </r>
    <r>
      <rPr>
        <b/>
        <sz val="12"/>
        <color theme="1"/>
        <rFont val="Helvetica"/>
      </rPr>
      <t>:</t>
    </r>
  </si>
  <si>
    <t>Lengths of Access Tubes, LAT (ft)</t>
  </si>
  <si>
    <t>Portion of Access Tubes Length above TOS, Pas, (in)</t>
  </si>
  <si>
    <t>Were Tubes filled completely?</t>
  </si>
  <si>
    <t>YES</t>
  </si>
  <si>
    <t>NO</t>
  </si>
  <si>
    <t xml:space="preserve">   Tot. Tube Length </t>
  </si>
  <si>
    <t xml:space="preserve">INTEGRITY TEST ACCESS TUBES </t>
  </si>
  <si>
    <t>cf</t>
  </si>
  <si>
    <t>(cf /ft)</t>
  </si>
  <si>
    <t xml:space="preserve">   Theor Vol/ft  </t>
  </si>
  <si>
    <t xml:space="preserve">  Tot. Theor. Vol.</t>
  </si>
  <si>
    <t>&gt; 105 min</t>
  </si>
  <si>
    <t>Truck Time</t>
  </si>
  <si>
    <r>
      <rPr>
        <sz val="11"/>
        <color rgb="FFFF0000"/>
        <rFont val="Calibri"/>
        <family val="2"/>
        <scheme val="minor"/>
      </rPr>
      <t xml:space="preserve">Red </t>
    </r>
    <r>
      <rPr>
        <sz val="11"/>
        <color theme="1"/>
        <rFont val="Calibri"/>
        <family val="2"/>
        <scheme val="minor"/>
      </rPr>
      <t>if</t>
    </r>
  </si>
  <si>
    <t>TRUCK</t>
  </si>
  <si>
    <t>Batch-to-Finish</t>
  </si>
  <si>
    <t>Time  (min)</t>
  </si>
  <si>
    <t>( s/b ≤  105 )</t>
  </si>
  <si>
    <t>TOS to Finish Top of Cage  (in)</t>
  </si>
  <si>
    <t>TOS to Finish</t>
  </si>
  <si>
    <t>Top of Cage</t>
  </si>
  <si>
    <t>Min &amp; Max</t>
  </si>
  <si>
    <t>Min</t>
  </si>
  <si>
    <t>( in )</t>
  </si>
  <si>
    <t>REF used for depth checks on DS Log Pg 2</t>
  </si>
  <si>
    <t>Tremie Tip</t>
  </si>
  <si>
    <t>CW51 =</t>
  </si>
  <si>
    <t>L28-T51</t>
  </si>
  <si>
    <t>During FDOT M&amp;R review of this shaft, in order to plot Theor &amp; Actual Curves to the TOS EL, the Concr. Pg 1 sheet's original REF input was revised accordingly.</t>
  </si>
  <si>
    <t>To maintain the original Concr EL calcuated for each lift, the original Depth to Concr inputs were revised by same amount.</t>
  </si>
  <si>
    <t>The Tremie Depth values were revised by the same amount to be compatible with the revised REF .  Adjusting the Tremie Depth values has no affect on the concrete  curves.</t>
  </si>
  <si>
    <t>The following pre-formatted Notes (ex. 3 used in D5), or other tailored Notes you create (ex. input in the 3 blank Note blocks below), can be used to reduce your Notes input time and effort associated with frequently used Notes.  You can click on a pre-input Notes box below, and then ctrl/drag/drop, or copy/paste text, to an available Notes location on the log table above (ex. cells BT 51 thru BT87:</t>
  </si>
  <si>
    <t>TOC 1</t>
  </si>
  <si>
    <t>TOC2</t>
  </si>
  <si>
    <t>Ref. Elev.</t>
  </si>
  <si>
    <t>From Pg 1</t>
  </si>
  <si>
    <t>Ref. El DS log Pag 2</t>
  </si>
  <si>
    <t>Note: This manual calculation sheet should only be attached to log when requested by district personnel.</t>
  </si>
  <si>
    <t>Elevations (ft)</t>
  </si>
  <si>
    <t>Diameter (ft)</t>
  </si>
  <si>
    <t>Length     (ft)</t>
  </si>
  <si>
    <t>Volume (CY)</t>
  </si>
  <si>
    <t>Section</t>
  </si>
  <si>
    <t>Steel   Vol.(CY)</t>
  </si>
  <si>
    <t>Point</t>
  </si>
  <si>
    <t>Elevation</t>
  </si>
  <si>
    <t>-R</t>
  </si>
  <si>
    <t>+R</t>
  </si>
  <si>
    <t>5T</t>
  </si>
  <si>
    <t>5th</t>
  </si>
  <si>
    <t>V5th=</t>
  </si>
  <si>
    <t>4th</t>
  </si>
  <si>
    <t xml:space="preserve">Obtain Steel Volume from rein &amp; spacer page of log. </t>
  </si>
  <si>
    <t>5B</t>
  </si>
  <si>
    <t>3rd</t>
  </si>
  <si>
    <t>A5th=</t>
  </si>
  <si>
    <t>sf</t>
  </si>
  <si>
    <t>4T</t>
  </si>
  <si>
    <t>2nd</t>
  </si>
  <si>
    <t>4B</t>
  </si>
  <si>
    <t>1st</t>
  </si>
  <si>
    <t>uncased T</t>
  </si>
  <si>
    <t>uncased B</t>
  </si>
  <si>
    <t>Subtotal</t>
  </si>
  <si>
    <t>V4th=</t>
  </si>
  <si>
    <t>A4th=</t>
  </si>
  <si>
    <t>Manual Volume Total (MVT)</t>
  </si>
  <si>
    <t>CY</t>
  </si>
  <si>
    <t xml:space="preserve">Enter Manual Theoretical Volume (MVT) value on drilled shaft log with note indicating manual calculation entered and this sheet is attached. </t>
  </si>
  <si>
    <t>(VP) Volume Placed -From Log (CY)</t>
  </si>
  <si>
    <t>(OP) Overpour Volume -(CY)</t>
  </si>
  <si>
    <t>A/T Ratio</t>
  </si>
  <si>
    <t>Vunc=</t>
  </si>
  <si>
    <t>Aunc=</t>
  </si>
  <si>
    <t>Drilled Shaft Manual Theoretical Volume (VT) Calculator</t>
  </si>
  <si>
    <t>Total Cased</t>
  </si>
  <si>
    <t>Total length</t>
  </si>
  <si>
    <t>VP from Conc. Page 1=</t>
  </si>
  <si>
    <t>Offset:</t>
  </si>
  <si>
    <t xml:space="preserve">Project Name: </t>
  </si>
  <si>
    <t xml:space="preserve">Structure ID: </t>
  </si>
  <si>
    <t xml:space="preserve">Station: </t>
  </si>
  <si>
    <t xml:space="preserve">Shaft #: </t>
  </si>
  <si>
    <t>Project  Number:</t>
  </si>
  <si>
    <t>3T</t>
  </si>
  <si>
    <t>3B</t>
  </si>
  <si>
    <t>2T</t>
  </si>
  <si>
    <t>2B</t>
  </si>
  <si>
    <t>1T</t>
  </si>
  <si>
    <t>1B</t>
  </si>
  <si>
    <t>unc.</t>
  </si>
  <si>
    <t>***Enter values in ALL gray boxes***, do not leave blanks.</t>
  </si>
  <si>
    <t>-Start inputting the information from the top casing (5th) down.</t>
  </si>
  <si>
    <t>-If the uncased length is zero, enter the same Top and Bottom elevation equal to</t>
  </si>
  <si>
    <t>***Enter values in ALL gray boxes***, see instructions at the right side of the form</t>
  </si>
  <si>
    <t xml:space="preserve">                                     INSTRUCTIONS</t>
  </si>
  <si>
    <t xml:space="preserve"> bottom elevation of the casing ebove.</t>
  </si>
  <si>
    <t>elevation for the missing casings equal to the bottom elevation of the casing</t>
  </si>
  <si>
    <t>above, so that the length for this missing casing is computed as zero.</t>
  </si>
  <si>
    <t>-When less than 5 casings are used, keep reentering the (same) Top and Bottom</t>
  </si>
  <si>
    <t>(goes to cell H30)</t>
  </si>
  <si>
    <t>Polymer - KBI SlurryPro CDP</t>
  </si>
  <si>
    <t>Polymer - Baroid Poly-Bore</t>
  </si>
  <si>
    <t>Polymer - Matrix Big-Foot</t>
  </si>
  <si>
    <t>Polymer -Cetco Shore Pac</t>
  </si>
  <si>
    <t>Max R=</t>
  </si>
  <si>
    <t>Min R=</t>
  </si>
  <si>
    <t>Max El</t>
  </si>
  <si>
    <t>Min el=</t>
  </si>
  <si>
    <t>-Enter the diameter  for the missing casings equal to the diameter of the casing  above.</t>
  </si>
  <si>
    <t>Segment</t>
  </si>
  <si>
    <t>If the axis need to be reformatted to properly plot all the lines in the figure: right click in the axis, click Format Axis, and select the Min and Max values as needed.</t>
  </si>
  <si>
    <t>Mineral - Attapulgite</t>
  </si>
  <si>
    <t>Mineral - Bentonite</t>
  </si>
  <si>
    <t>min viscosity</t>
  </si>
  <si>
    <t>Max viscosity</t>
  </si>
  <si>
    <t>max sand content</t>
  </si>
  <si>
    <t>Fresh water (Y/N)</t>
  </si>
  <si>
    <t>Y</t>
  </si>
  <si>
    <t>Polymer type</t>
  </si>
  <si>
    <t>Y/N</t>
  </si>
  <si>
    <t>N</t>
  </si>
  <si>
    <t>min density</t>
  </si>
  <si>
    <t>Mineral</t>
  </si>
  <si>
    <t>Polymer</t>
  </si>
  <si>
    <t>max density</t>
  </si>
  <si>
    <t>minimum  ph</t>
  </si>
  <si>
    <t>maximum  ph</t>
  </si>
  <si>
    <t xml:space="preserve">Inspector's Name: </t>
  </si>
  <si>
    <t>Natural Slurry</t>
  </si>
  <si>
    <t>Water</t>
  </si>
  <si>
    <t>Nat/Water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</si>
</sst>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164" formatCode="m/d/yy;@"/>
    <numFmt numFmtId="165" formatCode="0.0"/>
    <numFmt numFmtId="166" formatCode="[$-409]h:mm\ AM/PM;@"/>
    <numFmt numFmtId="167" formatCode="[$-409]m/d/yy\ h:mm\ AM/PM;@"/>
    <numFmt numFmtId="168" formatCode="0.0000"/>
    <numFmt numFmtId="169" formatCode="0.000"/>
    <numFmt numFmtId="170" formatCode="0.00000"/>
    <numFmt numFmtId="171" formatCode="m/d"/>
    <numFmt numFmtId="172" formatCode="mm/dd/yy;@"/>
    <numFmt numFmtId="173" formatCode="m/d;@"/>
    <numFmt numFmtId="174" formatCode="\+0.00;\-0.00;0.00"/>
    <numFmt numFmtId="175" formatCode="0.00_);\(0.00\)"/>
  </numFmts>
  <fonts count="348">
    <font>
      <sz val="11"/>
      <color theme="1"/>
      <name val="Calibri"/>
      <family val="2"/>
      <scheme val="minor"/>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1"/>
      <name val="Calibri"/>
      <family val="2"/>
      <scheme val="minor"/>
    </font>
    <font>
      <sz val="10"/>
      <color theme="1"/>
      <name val="Calibri"/>
      <family val="2"/>
      <scheme val="minor"/>
    </font>
    <font>
      <sz val="14"/>
      <color theme="1"/>
      <name val="Calibri"/>
      <family val="2"/>
      <scheme val="minor"/>
    </font>
    <font>
      <b/>
      <sz val="14"/>
      <color theme="1"/>
      <name val="Calibri"/>
      <family val="2"/>
      <scheme val="minor"/>
    </font>
    <font>
      <b/>
      <sz val="18"/>
      <color theme="1"/>
      <name val="Calibri"/>
      <family val="2"/>
      <scheme val="minor"/>
    </font>
    <font>
      <b/>
      <sz val="16"/>
      <color theme="1"/>
      <name val="Calibri"/>
      <family val="2"/>
      <scheme val="minor"/>
    </font>
    <font>
      <sz val="16"/>
      <color theme="1"/>
      <name val="Calibri"/>
      <family val="2"/>
      <scheme val="minor"/>
    </font>
    <font>
      <b/>
      <sz val="13"/>
      <color theme="1"/>
      <name val="Calibri"/>
      <family val="2"/>
      <scheme val="minor"/>
    </font>
    <font>
      <sz val="9"/>
      <color theme="1"/>
      <name val="Calibri"/>
      <family val="2"/>
      <scheme val="minor"/>
    </font>
    <font>
      <sz val="12"/>
      <color theme="1"/>
      <name val="Calibri"/>
      <family val="2"/>
      <scheme val="minor"/>
    </font>
    <font>
      <sz val="14"/>
      <color theme="1"/>
      <name val="Calibri"/>
      <family val="2"/>
    </font>
    <font>
      <b/>
      <sz val="12"/>
      <color theme="1"/>
      <name val="Calibri"/>
      <family val="2"/>
      <scheme val="minor"/>
    </font>
    <font>
      <sz val="14"/>
      <color rgb="FF0000FF"/>
      <name val="Calibri"/>
      <family val="2"/>
      <scheme val="minor"/>
    </font>
    <font>
      <sz val="16"/>
      <color rgb="FF0000FF"/>
      <name val="Calibri"/>
      <family val="2"/>
      <scheme val="minor"/>
    </font>
    <font>
      <sz val="12"/>
      <color rgb="FF0000FF"/>
      <name val="Calibri"/>
      <family val="2"/>
      <scheme val="minor"/>
    </font>
    <font>
      <b/>
      <u/>
      <sz val="18"/>
      <color theme="1"/>
      <name val="Calibri"/>
      <family val="2"/>
      <scheme val="minor"/>
    </font>
    <font>
      <vertAlign val="superscript"/>
      <sz val="16"/>
      <color theme="1"/>
      <name val="Calibri"/>
      <family val="2"/>
    </font>
    <font>
      <sz val="16"/>
      <name val="Calibri"/>
      <family val="2"/>
      <scheme val="minor"/>
    </font>
    <font>
      <sz val="14"/>
      <name val="Calibri"/>
      <family val="2"/>
      <scheme val="minor"/>
    </font>
    <font>
      <b/>
      <sz val="16"/>
      <name val="Calibri"/>
      <family val="2"/>
      <scheme val="minor"/>
    </font>
    <font>
      <b/>
      <sz val="14"/>
      <name val="Calibri"/>
      <family val="2"/>
      <scheme val="minor"/>
    </font>
    <font>
      <sz val="11"/>
      <color theme="0" tint="-0.499984740745262"/>
      <name val="Calibri"/>
      <family val="2"/>
      <scheme val="minor"/>
    </font>
    <font>
      <sz val="8"/>
      <color theme="1"/>
      <name val="Calibri"/>
      <family val="2"/>
      <scheme val="minor"/>
    </font>
    <font>
      <sz val="12"/>
      <color theme="0" tint="-0.499984740745262"/>
      <name val="Calibri"/>
      <family val="2"/>
      <scheme val="minor"/>
    </font>
    <font>
      <sz val="12"/>
      <name val="Calibri"/>
      <family val="2"/>
      <scheme val="minor"/>
    </font>
    <font>
      <sz val="10"/>
      <name val="Calibri"/>
      <family val="2"/>
      <scheme val="minor"/>
    </font>
    <font>
      <b/>
      <sz val="10"/>
      <color theme="1"/>
      <name val="Calibri"/>
      <family val="2"/>
      <scheme val="minor"/>
    </font>
    <font>
      <sz val="10"/>
      <color theme="0" tint="-0.499984740745262"/>
      <name val="Calibri"/>
      <family val="2"/>
      <scheme val="minor"/>
    </font>
    <font>
      <vertAlign val="subscript"/>
      <sz val="12"/>
      <name val="Calibri"/>
      <family val="2"/>
      <scheme val="minor"/>
    </font>
    <font>
      <sz val="14"/>
      <color rgb="FF006600"/>
      <name val="Calibri"/>
      <family val="2"/>
      <scheme val="minor"/>
    </font>
    <font>
      <sz val="18"/>
      <name val="Calibri"/>
      <family val="2"/>
      <scheme val="minor"/>
    </font>
    <font>
      <sz val="10"/>
      <color rgb="FF0000FF"/>
      <name val="Calibri"/>
      <family val="2"/>
      <scheme val="minor"/>
    </font>
    <font>
      <sz val="18"/>
      <color rgb="FFC00000"/>
      <name val="Calibri"/>
      <family val="2"/>
      <scheme val="minor"/>
    </font>
    <font>
      <sz val="14"/>
      <color rgb="FFC00000"/>
      <name val="Calibri"/>
      <family val="2"/>
      <scheme val="minor"/>
    </font>
    <font>
      <sz val="11"/>
      <color rgb="FF000000"/>
      <name val="Calibri"/>
      <family val="2"/>
      <scheme val="minor"/>
    </font>
    <font>
      <b/>
      <sz val="10"/>
      <color theme="1"/>
      <name val="Arial"/>
      <family val="2"/>
    </font>
    <font>
      <sz val="11"/>
      <color theme="1"/>
      <name val="Arial"/>
      <family val="2"/>
    </font>
    <font>
      <sz val="8"/>
      <color theme="1"/>
      <name val="Arial"/>
      <family val="2"/>
    </font>
    <font>
      <sz val="12"/>
      <name val="Arial"/>
      <family val="2"/>
    </font>
    <font>
      <sz val="10"/>
      <color rgb="FF0000FF"/>
      <name val="Arial"/>
      <family val="2"/>
    </font>
    <font>
      <sz val="10"/>
      <name val="Arial"/>
      <family val="2"/>
    </font>
    <font>
      <sz val="10"/>
      <color rgb="FF006600"/>
      <name val="Arial"/>
      <family val="2"/>
    </font>
    <font>
      <sz val="10"/>
      <color rgb="FF004600"/>
      <name val="Arial"/>
      <family val="2"/>
    </font>
    <font>
      <sz val="9"/>
      <color rgb="FF005400"/>
      <name val="Arial"/>
      <family val="2"/>
    </font>
    <font>
      <sz val="8"/>
      <name val="Arial"/>
      <family val="2"/>
    </font>
    <font>
      <vertAlign val="subscript"/>
      <sz val="9"/>
      <color rgb="FF0000FF"/>
      <name val="Arial"/>
      <family val="2"/>
    </font>
    <font>
      <sz val="10"/>
      <color rgb="FF000096"/>
      <name val="Arial"/>
      <family val="2"/>
    </font>
    <font>
      <sz val="11"/>
      <color rgb="FF000096"/>
      <name val="Arial"/>
      <family val="2"/>
    </font>
    <font>
      <sz val="9"/>
      <color rgb="FF006600"/>
      <name val="Arial"/>
      <family val="2"/>
    </font>
    <font>
      <vertAlign val="subscript"/>
      <sz val="8"/>
      <color theme="1"/>
      <name val="Arial"/>
      <family val="2"/>
    </font>
    <font>
      <vertAlign val="subscript"/>
      <sz val="8"/>
      <color rgb="FF0000FF"/>
      <name val="Arial"/>
      <family val="2"/>
    </font>
    <font>
      <vertAlign val="subscript"/>
      <sz val="10"/>
      <color theme="1"/>
      <name val="Arial"/>
      <family val="2"/>
    </font>
    <font>
      <vertAlign val="subscript"/>
      <sz val="10"/>
      <color rgb="FF0000FF"/>
      <name val="Arial"/>
      <family val="2"/>
    </font>
    <font>
      <sz val="10"/>
      <color theme="1"/>
      <name val="Calibri"/>
      <family val="2"/>
    </font>
    <font>
      <sz val="8"/>
      <color theme="0" tint="-0.34998626667073579"/>
      <name val="Arial"/>
      <family val="2"/>
    </font>
    <font>
      <b/>
      <sz val="10"/>
      <color rgb="FF0000FF"/>
      <name val="Arial"/>
      <family val="2"/>
    </font>
    <font>
      <sz val="14"/>
      <color theme="1"/>
      <name val="Arial"/>
      <family val="2"/>
    </font>
    <font>
      <sz val="8"/>
      <color rgb="FF5F5F5F"/>
      <name val="Arial"/>
      <family val="2"/>
    </font>
    <font>
      <sz val="14"/>
      <color theme="5" tint="-0.499984740745262"/>
      <name val="Arial"/>
      <family val="2"/>
    </font>
    <font>
      <sz val="14"/>
      <color theme="1" tint="0.499984740745262"/>
      <name val="Arial"/>
      <family val="2"/>
    </font>
    <font>
      <sz val="14"/>
      <color rgb="FF004600"/>
      <name val="Arial"/>
      <family val="2"/>
    </font>
    <font>
      <sz val="10"/>
      <color rgb="FFA80000"/>
      <name val="Arial"/>
      <family val="2"/>
    </font>
    <font>
      <sz val="10"/>
      <color rgb="FFC00000"/>
      <name val="Arial"/>
      <family val="2"/>
    </font>
    <font>
      <b/>
      <sz val="8"/>
      <color theme="0" tint="-0.34998626667073579"/>
      <name val="Arial"/>
      <family val="2"/>
    </font>
    <font>
      <b/>
      <sz val="10"/>
      <name val="Arial"/>
      <family val="2"/>
    </font>
    <font>
      <sz val="14"/>
      <color rgb="FF006600"/>
      <name val="Arial"/>
      <family val="2"/>
    </font>
    <font>
      <sz val="9"/>
      <color rgb="FF0000FF"/>
      <name val="Arial"/>
      <family val="2"/>
    </font>
    <font>
      <sz val="8"/>
      <color theme="0" tint="-0.499984740745262"/>
      <name val="Arial"/>
      <family val="2"/>
    </font>
    <font>
      <sz val="14"/>
      <color rgb="FF8C0000"/>
      <name val="Arial"/>
      <family val="2"/>
    </font>
    <font>
      <sz val="9"/>
      <color indexed="81"/>
      <name val="Tahoma"/>
      <family val="2"/>
    </font>
    <font>
      <b/>
      <sz val="9"/>
      <color indexed="81"/>
      <name val="Tahoma"/>
      <family val="2"/>
    </font>
    <font>
      <sz val="12"/>
      <color rgb="FF8C0000"/>
      <name val="Arial"/>
      <family val="2"/>
    </font>
    <font>
      <sz val="12"/>
      <color rgb="FF000096"/>
      <name val="Arial"/>
      <family val="2"/>
    </font>
    <font>
      <sz val="18"/>
      <color theme="1"/>
      <name val="Calibri"/>
      <family val="2"/>
      <scheme val="minor"/>
    </font>
    <font>
      <sz val="8"/>
      <color theme="1" tint="0.499984740745262"/>
      <name val="Arial"/>
      <family val="2"/>
    </font>
    <font>
      <sz val="11"/>
      <color rgb="FF004600"/>
      <name val="Arial"/>
      <family val="2"/>
    </font>
    <font>
      <sz val="14"/>
      <name val="Arial"/>
      <family val="2"/>
    </font>
    <font>
      <sz val="9"/>
      <name val="Arial"/>
      <family val="2"/>
    </font>
    <font>
      <sz val="10"/>
      <color theme="0" tint="-0.249977111117893"/>
      <name val="Calibri"/>
      <family val="2"/>
      <scheme val="minor"/>
    </font>
    <font>
      <sz val="11"/>
      <color theme="0" tint="-0.249977111117893"/>
      <name val="Calibri"/>
      <family val="2"/>
      <scheme val="minor"/>
    </font>
    <font>
      <b/>
      <sz val="15"/>
      <color theme="1"/>
      <name val="Calibri"/>
      <family val="2"/>
      <scheme val="minor"/>
    </font>
    <font>
      <b/>
      <sz val="16"/>
      <color rgb="FFC00000"/>
      <name val="Calibri"/>
      <family val="2"/>
      <scheme val="minor"/>
    </font>
    <font>
      <b/>
      <sz val="14"/>
      <color rgb="FFC00000"/>
      <name val="Calibri"/>
      <family val="2"/>
      <scheme val="minor"/>
    </font>
    <font>
      <b/>
      <sz val="14"/>
      <color rgb="FFC00000"/>
      <name val="Calibri"/>
      <family val="2"/>
    </font>
    <font>
      <b/>
      <sz val="12"/>
      <name val="Calibri"/>
      <family val="2"/>
      <scheme val="minor"/>
    </font>
    <font>
      <b/>
      <sz val="9"/>
      <color theme="1"/>
      <name val="Arial"/>
      <family val="2"/>
    </font>
    <font>
      <vertAlign val="subscript"/>
      <sz val="12"/>
      <color theme="1"/>
      <name val="Calibri"/>
      <family val="2"/>
      <scheme val="minor"/>
    </font>
    <font>
      <sz val="11"/>
      <color theme="1"/>
      <name val="Calibri"/>
      <family val="2"/>
    </font>
    <font>
      <sz val="12"/>
      <name val="Calibri"/>
      <family val="2"/>
    </font>
    <font>
      <sz val="13"/>
      <color theme="1"/>
      <name val="Calibri"/>
      <family val="2"/>
      <scheme val="minor"/>
    </font>
    <font>
      <vertAlign val="subscript"/>
      <sz val="13"/>
      <color theme="1"/>
      <name val="Calibri"/>
      <family val="2"/>
      <scheme val="minor"/>
    </font>
    <font>
      <sz val="13"/>
      <name val="Calibri"/>
      <family val="2"/>
      <scheme val="minor"/>
    </font>
    <font>
      <vertAlign val="subscript"/>
      <sz val="13"/>
      <name val="Calibri"/>
      <family val="2"/>
      <scheme val="minor"/>
    </font>
    <font>
      <b/>
      <sz val="13"/>
      <color rgb="FFFF0000"/>
      <name val="Calibri"/>
      <family val="2"/>
      <scheme val="minor"/>
    </font>
    <font>
      <sz val="12"/>
      <color rgb="FFC00000"/>
      <name val="Calibri"/>
      <family val="2"/>
      <scheme val="minor"/>
    </font>
    <font>
      <vertAlign val="subscript"/>
      <sz val="14"/>
      <color theme="1"/>
      <name val="Calibri"/>
      <family val="2"/>
      <scheme val="minor"/>
    </font>
    <font>
      <sz val="13"/>
      <color rgb="FFC00000"/>
      <name val="Calibri"/>
      <family val="2"/>
      <scheme val="minor"/>
    </font>
    <font>
      <vertAlign val="subscript"/>
      <sz val="13"/>
      <color rgb="FFC00000"/>
      <name val="Calibri"/>
      <family val="2"/>
      <scheme val="minor"/>
    </font>
    <font>
      <sz val="13"/>
      <color theme="1" tint="0.499984740745262"/>
      <name val="Calibri"/>
      <family val="2"/>
      <scheme val="minor"/>
    </font>
    <font>
      <vertAlign val="subscript"/>
      <sz val="12"/>
      <color rgb="FFC00000"/>
      <name val="Calibri"/>
      <family val="2"/>
      <scheme val="minor"/>
    </font>
    <font>
      <vertAlign val="subscript"/>
      <sz val="13"/>
      <color theme="0" tint="-0.499984740745262"/>
      <name val="Calibri"/>
      <family val="2"/>
      <scheme val="minor"/>
    </font>
    <font>
      <vertAlign val="subscript"/>
      <sz val="14"/>
      <color rgb="FFC00000"/>
      <name val="Calibri"/>
      <family val="2"/>
      <scheme val="minor"/>
    </font>
    <font>
      <sz val="14"/>
      <color theme="1" tint="0.499984740745262"/>
      <name val="Calibri"/>
      <family val="2"/>
      <scheme val="minor"/>
    </font>
    <font>
      <sz val="15"/>
      <color theme="1"/>
      <name val="Calibri"/>
      <family val="2"/>
      <scheme val="minor"/>
    </font>
    <font>
      <sz val="11"/>
      <color rgb="FF006600"/>
      <name val="Calibri"/>
      <family val="2"/>
      <scheme val="minor"/>
    </font>
    <font>
      <b/>
      <sz val="9"/>
      <color theme="1"/>
      <name val="Calibri"/>
      <family val="2"/>
      <scheme val="minor"/>
    </font>
    <font>
      <sz val="9"/>
      <color theme="1"/>
      <name val="Arial"/>
      <family val="2"/>
    </font>
    <font>
      <sz val="10"/>
      <color rgb="FF008000"/>
      <name val="Arial"/>
      <family val="2"/>
    </font>
    <font>
      <sz val="8"/>
      <color rgb="FF008000"/>
      <name val="Arial"/>
      <family val="2"/>
    </font>
    <font>
      <sz val="8"/>
      <color rgb="FF0000FF"/>
      <name val="Arial"/>
      <family val="2"/>
    </font>
    <font>
      <sz val="9"/>
      <color rgb="FF008000"/>
      <name val="Arial"/>
      <family val="2"/>
    </font>
    <font>
      <b/>
      <sz val="10"/>
      <color rgb="FF008000"/>
      <name val="Arial"/>
      <family val="2"/>
    </font>
    <font>
      <sz val="11"/>
      <color rgb="FF008000"/>
      <name val="Calibri"/>
      <family val="2"/>
      <scheme val="minor"/>
    </font>
    <font>
      <sz val="10"/>
      <color rgb="FF008000"/>
      <name val="Calibri"/>
      <family val="2"/>
      <scheme val="minor"/>
    </font>
    <font>
      <sz val="10"/>
      <color theme="0" tint="-0.34998626667073579"/>
      <name val="Arial"/>
      <family val="2"/>
    </font>
    <font>
      <sz val="10"/>
      <color theme="0" tint="-0.499984740745262"/>
      <name val="Arial"/>
      <family val="2"/>
    </font>
    <font>
      <sz val="9"/>
      <color theme="0" tint="-0.499984740745262"/>
      <name val="Arial"/>
      <family val="2"/>
    </font>
    <font>
      <b/>
      <sz val="12"/>
      <name val="Arial"/>
      <family val="2"/>
    </font>
    <font>
      <sz val="9"/>
      <color rgb="FFC00000"/>
      <name val="Arial"/>
      <family val="2"/>
    </font>
    <font>
      <sz val="12"/>
      <color rgb="FF0000FF"/>
      <name val="Arial"/>
      <family val="2"/>
    </font>
    <font>
      <b/>
      <sz val="9"/>
      <color rgb="FF008000"/>
      <name val="Arial"/>
      <family val="2"/>
    </font>
    <font>
      <sz val="11"/>
      <color rgb="FFC00000"/>
      <name val="Calibri"/>
      <family val="2"/>
      <scheme val="minor"/>
    </font>
    <font>
      <sz val="14"/>
      <color rgb="FF335422"/>
      <name val="Calibri"/>
      <family val="2"/>
      <scheme val="minor"/>
    </font>
    <font>
      <vertAlign val="subscript"/>
      <sz val="14"/>
      <color rgb="FF335422"/>
      <name val="Calibri"/>
      <family val="2"/>
      <scheme val="minor"/>
    </font>
    <font>
      <sz val="15"/>
      <color rgb="FF335422"/>
      <name val="Calibri"/>
      <family val="2"/>
      <scheme val="minor"/>
    </font>
    <font>
      <sz val="12"/>
      <color rgb="FF335422"/>
      <name val="Calibri"/>
      <family val="2"/>
      <scheme val="minor"/>
    </font>
    <font>
      <sz val="9"/>
      <color theme="1" tint="0.499984740745262"/>
      <name val="Calibri"/>
      <family val="2"/>
      <scheme val="minor"/>
    </font>
    <font>
      <sz val="11"/>
      <color theme="1" tint="0.499984740745262"/>
      <name val="Calibri"/>
      <family val="2"/>
      <scheme val="minor"/>
    </font>
    <font>
      <sz val="12"/>
      <color theme="1"/>
      <name val="Arial"/>
      <family val="2"/>
    </font>
    <font>
      <sz val="9"/>
      <color rgb="FF263F19"/>
      <name val="Arial"/>
      <family val="2"/>
    </font>
    <font>
      <sz val="11"/>
      <name val="Arial"/>
      <family val="2"/>
    </font>
    <font>
      <sz val="8"/>
      <color rgb="FF006600"/>
      <name val="Arial"/>
      <family val="2"/>
    </font>
    <font>
      <sz val="12"/>
      <color rgb="FF006600"/>
      <name val="Arial"/>
      <family val="2"/>
    </font>
    <font>
      <sz val="10"/>
      <color rgb="FF8C0000"/>
      <name val="Arial"/>
      <family val="2"/>
    </font>
    <font>
      <b/>
      <sz val="10"/>
      <color rgb="FFC00000"/>
      <name val="Arial"/>
      <family val="2"/>
    </font>
    <font>
      <sz val="9"/>
      <color rgb="FF004600"/>
      <name val="Arial"/>
      <family val="2"/>
    </font>
    <font>
      <sz val="9"/>
      <color rgb="FFC00000"/>
      <name val="Calibri"/>
      <family val="2"/>
    </font>
    <font>
      <sz val="9"/>
      <color rgb="FF004600"/>
      <name val="Calibri"/>
      <family val="2"/>
    </font>
    <font>
      <b/>
      <sz val="10"/>
      <color rgb="FF004600"/>
      <name val="Arial"/>
      <family val="2"/>
    </font>
    <font>
      <sz val="16"/>
      <color rgb="FF006600"/>
      <name val="Calibri"/>
      <family val="2"/>
      <scheme val="minor"/>
    </font>
    <font>
      <sz val="12"/>
      <color rgb="FF006600"/>
      <name val="Calibri"/>
      <family val="2"/>
      <scheme val="minor"/>
    </font>
    <font>
      <b/>
      <sz val="11"/>
      <name val="Arial"/>
      <family val="2"/>
    </font>
    <font>
      <sz val="10"/>
      <color theme="1" tint="0.34998626667073579"/>
      <name val="Arial"/>
      <family val="2"/>
    </font>
    <font>
      <sz val="14"/>
      <color rgb="FF000096"/>
      <name val="Arial"/>
      <family val="2"/>
    </font>
    <font>
      <sz val="9"/>
      <color theme="1" tint="0.34998626667073579"/>
      <name val="Arial"/>
      <family val="2"/>
    </font>
    <font>
      <u/>
      <sz val="10"/>
      <name val="Arial"/>
      <family val="2"/>
    </font>
    <font>
      <sz val="11"/>
      <color rgb="FFC00000"/>
      <name val="Arial"/>
      <family val="2"/>
    </font>
    <font>
      <sz val="11"/>
      <color rgb="FF0000FF"/>
      <name val="Arial"/>
      <family val="2"/>
    </font>
    <font>
      <vertAlign val="subscript"/>
      <sz val="9"/>
      <color indexed="81"/>
      <name val="Tahoma"/>
      <family val="2"/>
    </font>
    <font>
      <sz val="8"/>
      <color theme="1" tint="0.34998626667073579"/>
      <name val="Arial"/>
      <family val="2"/>
    </font>
    <font>
      <vertAlign val="subscript"/>
      <sz val="10"/>
      <color theme="1" tint="0.34998626667073579"/>
      <name val="Arial"/>
      <family val="2"/>
    </font>
    <font>
      <sz val="9"/>
      <color rgb="FFFF0000"/>
      <name val="Arial"/>
      <family val="2"/>
    </font>
    <font>
      <vertAlign val="subscript"/>
      <sz val="9"/>
      <color rgb="FFFF0000"/>
      <name val="Arial"/>
      <family val="2"/>
    </font>
    <font>
      <sz val="12"/>
      <color theme="1"/>
      <name val="Calibri"/>
      <family val="2"/>
    </font>
    <font>
      <sz val="10"/>
      <color rgb="FFFF0000"/>
      <name val="Arial"/>
      <family val="2"/>
    </font>
    <font>
      <u/>
      <sz val="10"/>
      <color theme="1"/>
      <name val="Arial"/>
      <family val="2"/>
    </font>
    <font>
      <b/>
      <sz val="10"/>
      <color rgb="FF8C0000"/>
      <name val="Arial"/>
      <family val="2"/>
    </font>
    <font>
      <b/>
      <sz val="10"/>
      <color rgb="FF006600"/>
      <name val="Arial"/>
      <family val="2"/>
    </font>
    <font>
      <sz val="12"/>
      <color rgb="FFFF0000"/>
      <name val="Arial"/>
      <family val="2"/>
    </font>
    <font>
      <sz val="10"/>
      <color rgb="FF0000FF"/>
      <name val="Calibri"/>
      <family val="2"/>
    </font>
    <font>
      <sz val="12"/>
      <color rgb="FFFF0000"/>
      <name val="Calibri"/>
      <family val="2"/>
      <scheme val="minor"/>
    </font>
    <font>
      <sz val="18"/>
      <color theme="1"/>
      <name val="Arial"/>
      <family val="2"/>
    </font>
    <font>
      <sz val="10"/>
      <color rgb="FFFF0000"/>
      <name val="Calibri"/>
      <family val="2"/>
    </font>
    <font>
      <sz val="10"/>
      <color indexed="30"/>
      <name val="Arial"/>
      <family val="2"/>
    </font>
    <font>
      <sz val="10"/>
      <color indexed="57"/>
      <name val="Arial"/>
      <family val="2"/>
    </font>
    <font>
      <sz val="10"/>
      <color indexed="36"/>
      <name val="Arial"/>
      <family val="2"/>
    </font>
    <font>
      <b/>
      <sz val="8"/>
      <color theme="1"/>
      <name val="Arial"/>
      <family val="2"/>
    </font>
    <font>
      <sz val="10"/>
      <color indexed="10"/>
      <name val="Arial"/>
      <family val="2"/>
    </font>
    <font>
      <sz val="10"/>
      <color rgb="FF0066CC"/>
      <name val="Arial"/>
      <family val="2"/>
    </font>
    <font>
      <sz val="8"/>
      <color indexed="57"/>
      <name val="Arial"/>
      <family val="2"/>
    </font>
    <font>
      <b/>
      <sz val="12"/>
      <color theme="1"/>
      <name val="Arial"/>
      <family val="2"/>
    </font>
    <font>
      <sz val="12"/>
      <color rgb="FFFF0000"/>
      <name val="Calibri"/>
      <family val="2"/>
    </font>
    <font>
      <sz val="11"/>
      <color indexed="57"/>
      <name val="Arial"/>
      <family val="2"/>
    </font>
    <font>
      <u/>
      <sz val="8"/>
      <color indexed="81"/>
      <name val="Tahoma"/>
      <family val="2"/>
    </font>
    <font>
      <sz val="8"/>
      <color indexed="81"/>
      <name val="Tahoma"/>
      <family val="2"/>
    </font>
    <font>
      <b/>
      <sz val="8"/>
      <color indexed="81"/>
      <name val="Tahoma"/>
      <family val="2"/>
    </font>
    <font>
      <b/>
      <sz val="11"/>
      <color theme="1"/>
      <name val="Calibri"/>
      <family val="2"/>
      <scheme val="minor"/>
    </font>
    <font>
      <i/>
      <sz val="10"/>
      <color theme="1"/>
      <name val="Calibri"/>
      <family val="2"/>
      <scheme val="minor"/>
    </font>
    <font>
      <sz val="11"/>
      <color indexed="8"/>
      <name val="Helvetica"/>
      <family val="2"/>
    </font>
    <font>
      <b/>
      <sz val="14"/>
      <color indexed="8"/>
      <name val="Helvetica"/>
      <family val="2"/>
    </font>
    <font>
      <sz val="17"/>
      <color indexed="8"/>
      <name val="Helvetica"/>
      <family val="2"/>
    </font>
    <font>
      <b/>
      <sz val="17"/>
      <color indexed="8"/>
      <name val="Helvetica"/>
      <family val="2"/>
    </font>
    <font>
      <b/>
      <sz val="30"/>
      <color indexed="8"/>
      <name val="Helvetica"/>
      <family val="2"/>
    </font>
    <font>
      <sz val="19"/>
      <color indexed="8"/>
      <name val="Helvetica"/>
      <family val="2"/>
    </font>
    <font>
      <sz val="24"/>
      <color theme="1"/>
      <name val="Calibri"/>
      <family val="2"/>
      <scheme val="minor"/>
    </font>
    <font>
      <sz val="24"/>
      <color indexed="8"/>
      <name val="Helvetica"/>
      <family val="2"/>
    </font>
    <font>
      <sz val="24"/>
      <color indexed="8"/>
      <name val="Verdana"/>
      <family val="2"/>
    </font>
    <font>
      <b/>
      <sz val="24"/>
      <color indexed="8"/>
      <name val="Helvetica"/>
      <family val="2"/>
    </font>
    <font>
      <sz val="22"/>
      <color indexed="8"/>
      <name val="Verdana"/>
      <family val="2"/>
    </font>
    <font>
      <sz val="12"/>
      <color indexed="8"/>
      <name val="Verdana"/>
      <family val="2"/>
    </font>
    <font>
      <sz val="9"/>
      <color indexed="8"/>
      <name val="Helvetica"/>
      <family val="2"/>
    </font>
    <font>
      <sz val="6"/>
      <color indexed="8"/>
      <name val="Helvetica"/>
      <family val="2"/>
    </font>
    <font>
      <b/>
      <sz val="16"/>
      <color indexed="8"/>
      <name val="Helvetica"/>
      <family val="2"/>
    </font>
    <font>
      <sz val="8"/>
      <color indexed="8"/>
      <name val="Helvetica"/>
      <family val="2"/>
    </font>
    <font>
      <sz val="14"/>
      <color indexed="8"/>
      <name val="Helvetica"/>
      <family val="2"/>
    </font>
    <font>
      <sz val="12"/>
      <color indexed="8"/>
      <name val="Helvetica"/>
      <family val="2"/>
    </font>
    <font>
      <sz val="12"/>
      <color indexed="8"/>
      <name val="Helvetia"/>
    </font>
    <font>
      <sz val="12"/>
      <color indexed="8"/>
      <name val="Verdana"/>
      <family val="2"/>
    </font>
    <font>
      <sz val="15"/>
      <color indexed="8"/>
      <name val="Helvetica"/>
      <family val="2"/>
    </font>
    <font>
      <sz val="12"/>
      <name val="Verdana"/>
      <family val="2"/>
    </font>
    <font>
      <sz val="12"/>
      <name val="Helvetica"/>
      <family val="2"/>
    </font>
    <font>
      <sz val="15"/>
      <color rgb="FF0000FF"/>
      <name val="Helvetica"/>
      <family val="2"/>
    </font>
    <font>
      <sz val="12"/>
      <color rgb="FF0000FF"/>
      <name val="Verdana"/>
      <family val="2"/>
    </font>
    <font>
      <sz val="11"/>
      <color rgb="FF0000FF"/>
      <name val="Helvetica"/>
      <family val="2"/>
    </font>
    <font>
      <sz val="22"/>
      <color indexed="8"/>
      <name val="Helvetica"/>
      <family val="2"/>
    </font>
    <font>
      <i/>
      <sz val="12"/>
      <color indexed="8"/>
      <name val="Helvetica"/>
      <family val="2"/>
    </font>
    <font>
      <sz val="12"/>
      <color rgb="FF0000FF"/>
      <name val="Helvetica"/>
      <family val="2"/>
    </font>
    <font>
      <sz val="10"/>
      <color indexed="8"/>
      <name val="Helvetica"/>
      <family val="2"/>
    </font>
    <font>
      <b/>
      <sz val="16"/>
      <color rgb="FF0000FF"/>
      <name val="Helvetica"/>
      <family val="2"/>
    </font>
    <font>
      <sz val="13"/>
      <color indexed="8"/>
      <name val="Helvetica"/>
      <family val="2"/>
    </font>
    <font>
      <b/>
      <sz val="12"/>
      <color rgb="FF0000FF"/>
      <name val="Helvetica"/>
      <family val="2"/>
    </font>
    <font>
      <sz val="28"/>
      <color indexed="8"/>
      <name val="Helvetica"/>
      <family val="2"/>
    </font>
    <font>
      <b/>
      <sz val="27"/>
      <color indexed="8"/>
      <name val="Helvetica"/>
      <family val="2"/>
    </font>
    <font>
      <b/>
      <sz val="26"/>
      <color indexed="8"/>
      <name val="Helvetica"/>
      <family val="2"/>
    </font>
    <font>
      <b/>
      <sz val="22"/>
      <color indexed="8"/>
      <name val="Helvetica"/>
      <family val="2"/>
    </font>
    <font>
      <sz val="18"/>
      <color indexed="8"/>
      <name val="Helvetica"/>
      <family val="2"/>
    </font>
    <font>
      <sz val="21"/>
      <color indexed="8"/>
      <name val="Helvetica"/>
      <family val="2"/>
    </font>
    <font>
      <sz val="23"/>
      <color indexed="8"/>
      <name val="Helvetica"/>
      <family val="2"/>
    </font>
    <font>
      <b/>
      <i/>
      <sz val="20"/>
      <color indexed="8"/>
      <name val="Helvetica"/>
      <family val="2"/>
    </font>
    <font>
      <sz val="22"/>
      <color theme="1"/>
      <name val="Calibri"/>
      <family val="2"/>
      <scheme val="minor"/>
    </font>
    <font>
      <sz val="25"/>
      <color indexed="8"/>
      <name val="Helvetica"/>
      <family val="2"/>
    </font>
    <font>
      <sz val="20"/>
      <color indexed="8"/>
      <name val="Helvetica"/>
      <family val="2"/>
    </font>
    <font>
      <i/>
      <sz val="22"/>
      <color indexed="8"/>
      <name val="Helvetica"/>
      <family val="2"/>
    </font>
    <font>
      <sz val="20"/>
      <color theme="1"/>
      <name val="Calibri"/>
      <family val="2"/>
      <scheme val="minor"/>
    </font>
    <font>
      <sz val="28"/>
      <color theme="1"/>
      <name val="Calibri"/>
      <family val="2"/>
      <scheme val="minor"/>
    </font>
    <font>
      <sz val="22"/>
      <color theme="1"/>
      <name val="Helvetica"/>
    </font>
    <font>
      <sz val="16"/>
      <color theme="1"/>
      <name val="Helvetica"/>
    </font>
    <font>
      <sz val="20"/>
      <color theme="1"/>
      <name val="Helvetica"/>
    </font>
    <font>
      <sz val="24"/>
      <color theme="1"/>
      <name val="Helvetica"/>
    </font>
    <font>
      <sz val="11"/>
      <color theme="1"/>
      <name val="Helvetica"/>
      <family val="2"/>
    </font>
    <font>
      <b/>
      <sz val="11"/>
      <color theme="1"/>
      <name val="Helvetica"/>
      <family val="2"/>
    </font>
    <font>
      <sz val="10"/>
      <color theme="1"/>
      <name val="Helvetica"/>
      <family val="2"/>
    </font>
    <font>
      <b/>
      <sz val="14"/>
      <color indexed="8"/>
      <name val="Calibri"/>
      <family val="2"/>
    </font>
    <font>
      <b/>
      <vertAlign val="subscript"/>
      <sz val="11"/>
      <color indexed="8"/>
      <name val="Calibri"/>
      <family val="2"/>
    </font>
    <font>
      <b/>
      <vertAlign val="subscript"/>
      <sz val="12"/>
      <color indexed="8"/>
      <name val="Helvetica"/>
      <family val="2"/>
    </font>
    <font>
      <vertAlign val="subscript"/>
      <sz val="11"/>
      <color indexed="8"/>
      <name val="Helvetica"/>
      <family val="2"/>
    </font>
    <font>
      <b/>
      <sz val="12"/>
      <color indexed="8"/>
      <name val="Calibri"/>
      <family val="2"/>
    </font>
    <font>
      <b/>
      <vertAlign val="subscript"/>
      <sz val="12"/>
      <color indexed="8"/>
      <name val="Calibri"/>
      <family val="2"/>
    </font>
    <font>
      <b/>
      <u/>
      <sz val="11"/>
      <color theme="1"/>
      <name val="Helvetica"/>
      <family val="2"/>
    </font>
    <font>
      <sz val="12"/>
      <color theme="1"/>
      <name val="Helvetica"/>
      <family val="2"/>
    </font>
    <font>
      <b/>
      <sz val="14"/>
      <color theme="1"/>
      <name val="Times New Roman"/>
      <family val="1"/>
    </font>
    <font>
      <b/>
      <sz val="18"/>
      <color theme="1"/>
      <name val="Calibri"/>
      <family val="2"/>
    </font>
    <font>
      <sz val="11"/>
      <color rgb="FF0000FF"/>
      <name val="Calibri"/>
      <family val="2"/>
      <scheme val="minor"/>
    </font>
    <font>
      <sz val="12"/>
      <color indexed="8"/>
      <name val="Helvetica"/>
    </font>
    <font>
      <b/>
      <sz val="17"/>
      <color indexed="8"/>
      <name val="Helvetica"/>
    </font>
    <font>
      <b/>
      <i/>
      <sz val="12"/>
      <color theme="1"/>
      <name val="Calibri"/>
      <family val="2"/>
      <scheme val="minor"/>
    </font>
    <font>
      <b/>
      <i/>
      <sz val="13"/>
      <color theme="1"/>
      <name val="Calibri"/>
      <family val="2"/>
      <scheme val="minor"/>
    </font>
    <font>
      <b/>
      <i/>
      <sz val="12"/>
      <color indexed="8"/>
      <name val="Helvetica"/>
    </font>
    <font>
      <b/>
      <sz val="12"/>
      <color indexed="8"/>
      <name val="Helvetica"/>
    </font>
    <font>
      <sz val="22"/>
      <color indexed="8"/>
      <name val="Calibri"/>
      <family val="2"/>
      <scheme val="minor"/>
    </font>
    <font>
      <b/>
      <sz val="24"/>
      <color indexed="8"/>
      <name val="Helvetica"/>
    </font>
    <font>
      <sz val="8"/>
      <name val="Calibri"/>
      <family val="2"/>
      <scheme val="minor"/>
    </font>
    <font>
      <sz val="22"/>
      <name val="Helvetica"/>
      <family val="2"/>
    </font>
    <font>
      <b/>
      <sz val="12"/>
      <color rgb="FFC00000"/>
      <name val="Calibri"/>
      <family val="2"/>
      <scheme val="minor"/>
    </font>
    <font>
      <b/>
      <sz val="12"/>
      <color theme="1"/>
      <name val="Helvetica"/>
      <family val="2"/>
    </font>
    <font>
      <b/>
      <sz val="11"/>
      <color indexed="81"/>
      <name val="Tahoma"/>
      <family val="2"/>
    </font>
    <font>
      <sz val="11"/>
      <color indexed="81"/>
      <name val="Tahoma"/>
      <family val="2"/>
    </font>
    <font>
      <sz val="11"/>
      <color rgb="FFFF0000"/>
      <name val="Calibri"/>
      <family val="2"/>
      <scheme val="minor"/>
    </font>
    <font>
      <sz val="11"/>
      <color theme="1"/>
      <name val="Helvetica"/>
    </font>
    <font>
      <sz val="9"/>
      <color theme="1"/>
      <name val="Helvetica"/>
    </font>
    <font>
      <sz val="10"/>
      <color indexed="8"/>
      <name val="Helvetica"/>
    </font>
    <font>
      <sz val="11"/>
      <name val="Helvetica"/>
      <family val="2"/>
    </font>
    <font>
      <b/>
      <sz val="12"/>
      <color rgb="FFFF0000"/>
      <name val="Arial"/>
      <family val="2"/>
    </font>
    <font>
      <sz val="14"/>
      <color rgb="FF0000FF"/>
      <name val="Arial"/>
      <family val="2"/>
    </font>
    <font>
      <sz val="10"/>
      <color rgb="FFFF0000"/>
      <name val="Calibri"/>
      <family val="2"/>
      <scheme val="minor"/>
    </font>
    <font>
      <sz val="14"/>
      <color rgb="FFFF0000"/>
      <name val="Arial"/>
      <family val="2"/>
    </font>
    <font>
      <sz val="11"/>
      <color theme="9" tint="-0.249977111117893"/>
      <name val="Calibri"/>
      <family val="2"/>
      <scheme val="minor"/>
    </font>
    <font>
      <sz val="12"/>
      <color indexed="8"/>
      <name val="Calibri"/>
      <family val="2"/>
      <scheme val="minor"/>
    </font>
    <font>
      <b/>
      <sz val="12"/>
      <color indexed="81"/>
      <name val="Tahoma"/>
      <family val="2"/>
    </font>
    <font>
      <sz val="12"/>
      <color indexed="81"/>
      <name val="Tahoma"/>
      <family val="2"/>
    </font>
    <font>
      <sz val="8"/>
      <name val="Helvetica"/>
      <family val="2"/>
    </font>
    <font>
      <sz val="9"/>
      <color theme="1"/>
      <name val="Symbol"/>
      <family val="1"/>
      <charset val="2"/>
    </font>
    <font>
      <sz val="7"/>
      <color theme="1"/>
      <name val="Times New Roman"/>
      <family val="1"/>
    </font>
    <font>
      <b/>
      <sz val="14"/>
      <color indexed="81"/>
      <name val="Tahoma"/>
      <family val="2"/>
    </font>
    <font>
      <b/>
      <sz val="16"/>
      <color indexed="81"/>
      <name val="Tahoma"/>
      <family val="2"/>
    </font>
    <font>
      <sz val="16"/>
      <color indexed="81"/>
      <name val="Tahoma"/>
      <family val="2"/>
    </font>
    <font>
      <sz val="11"/>
      <color theme="1"/>
      <name val="Calibri"/>
      <family val="2"/>
      <scheme val="minor"/>
    </font>
    <font>
      <sz val="17"/>
      <color indexed="8"/>
      <name val="Helvetica"/>
      <family val="2"/>
    </font>
    <font>
      <b/>
      <sz val="17"/>
      <color indexed="8"/>
      <name val="Helvetica"/>
      <family val="2"/>
    </font>
    <font>
      <b/>
      <sz val="30"/>
      <color indexed="8"/>
      <name val="Helvetica"/>
      <family val="2"/>
    </font>
    <font>
      <sz val="19"/>
      <color indexed="8"/>
      <name val="Helvetica"/>
      <family val="2"/>
    </font>
    <font>
      <sz val="18"/>
      <color indexed="8"/>
      <name val="Helvetica"/>
      <family val="2"/>
    </font>
    <font>
      <sz val="22"/>
      <color indexed="8"/>
      <name val="Helvetica"/>
      <family val="2"/>
    </font>
    <font>
      <sz val="22"/>
      <color theme="1"/>
      <name val="Calibri"/>
      <family val="2"/>
      <scheme val="minor"/>
    </font>
    <font>
      <sz val="24"/>
      <color theme="1"/>
      <name val="Calibri"/>
      <family val="2"/>
      <scheme val="minor"/>
    </font>
    <font>
      <sz val="16"/>
      <color theme="0" tint="-0.34998626667073579"/>
      <name val="Helvetica"/>
    </font>
    <font>
      <sz val="22"/>
      <color indexed="8"/>
      <name val="Verdana"/>
      <family val="2"/>
    </font>
    <font>
      <b/>
      <sz val="24"/>
      <color indexed="8"/>
      <name val="Helvetica"/>
      <family val="2"/>
    </font>
    <font>
      <sz val="24"/>
      <color indexed="8"/>
      <name val="Verdana"/>
      <family val="2"/>
    </font>
    <font>
      <b/>
      <sz val="22"/>
      <color indexed="8"/>
      <name val="Helvetica"/>
      <family val="2"/>
    </font>
    <font>
      <b/>
      <sz val="19"/>
      <color indexed="8"/>
      <name val="Helvetica"/>
      <family val="2"/>
    </font>
    <font>
      <b/>
      <sz val="12"/>
      <color indexed="8"/>
      <name val="Helvetica"/>
      <family val="2"/>
    </font>
    <font>
      <sz val="12"/>
      <color indexed="8"/>
      <name val="Helvetica"/>
      <family val="2"/>
    </font>
    <font>
      <b/>
      <sz val="16"/>
      <color indexed="8"/>
      <name val="Helvetica"/>
      <family val="2"/>
    </font>
    <font>
      <sz val="20"/>
      <color indexed="8"/>
      <name val="Helvetica"/>
      <family val="2"/>
    </font>
    <font>
      <sz val="20"/>
      <color indexed="8"/>
      <name val="Verdana"/>
      <family val="2"/>
    </font>
    <font>
      <sz val="20"/>
      <color theme="1"/>
      <name val="Calibri"/>
      <family val="2"/>
      <scheme val="minor"/>
    </font>
    <font>
      <sz val="13"/>
      <color indexed="8"/>
      <name val="Helvetica"/>
      <family val="2"/>
    </font>
    <font>
      <sz val="20"/>
      <color theme="0" tint="-0.249977111117893"/>
      <name val="Helvetica"/>
      <family val="2"/>
    </font>
    <font>
      <b/>
      <sz val="22"/>
      <color theme="1"/>
      <name val="Helvetica"/>
      <family val="2"/>
    </font>
    <font>
      <sz val="24"/>
      <color indexed="8"/>
      <name val="Helvetica"/>
      <family val="2"/>
    </font>
    <font>
      <b/>
      <sz val="24"/>
      <color indexed="8"/>
      <name val="Helvetica"/>
    </font>
    <font>
      <sz val="28"/>
      <color indexed="8"/>
      <name val="Helvetica"/>
      <family val="2"/>
    </font>
    <font>
      <sz val="28"/>
      <color theme="1"/>
      <name val="Calibri"/>
      <family val="2"/>
      <scheme val="minor"/>
    </font>
    <font>
      <sz val="21"/>
      <color indexed="8"/>
      <name val="Helvetica"/>
      <family val="2"/>
    </font>
    <font>
      <b/>
      <sz val="22"/>
      <color rgb="FF0000FF"/>
      <name val="Helvetica"/>
      <family val="2"/>
    </font>
    <font>
      <sz val="11"/>
      <color rgb="FF0000FF"/>
      <name val="Calibri"/>
      <family val="2"/>
      <scheme val="minor"/>
    </font>
    <font>
      <sz val="22"/>
      <color theme="1"/>
      <name val="Helvetica"/>
    </font>
    <font>
      <b/>
      <sz val="17"/>
      <color indexed="8"/>
      <name val="Helvetica"/>
    </font>
    <font>
      <b/>
      <sz val="18"/>
      <color indexed="81"/>
      <name val="Tahoma"/>
      <family val="2"/>
    </font>
    <font>
      <b/>
      <sz val="18"/>
      <color indexed="8"/>
      <name val="Helvetica"/>
      <family val="2"/>
    </font>
    <font>
      <b/>
      <i/>
      <sz val="11.5"/>
      <color indexed="8"/>
      <name val="Helvetica"/>
    </font>
    <font>
      <sz val="12"/>
      <color theme="1"/>
      <name val="Helvetica"/>
    </font>
    <font>
      <sz val="11"/>
      <color theme="0" tint="-0.34998626667073579"/>
      <name val="Calibri"/>
      <family val="2"/>
      <scheme val="minor"/>
    </font>
    <font>
      <sz val="12"/>
      <color theme="0" tint="-0.34998626667073579"/>
      <name val="Calibri"/>
      <family val="2"/>
      <scheme val="minor"/>
    </font>
    <font>
      <b/>
      <u/>
      <sz val="11"/>
      <color theme="1"/>
      <name val="Helvetica"/>
    </font>
    <font>
      <b/>
      <u/>
      <sz val="12"/>
      <color theme="1"/>
      <name val="Helvetica"/>
      <family val="2"/>
    </font>
    <font>
      <b/>
      <sz val="12"/>
      <color theme="1"/>
      <name val="Helvetica"/>
    </font>
    <font>
      <b/>
      <u/>
      <sz val="12"/>
      <color theme="1"/>
      <name val="Helvetica"/>
    </font>
    <font>
      <b/>
      <sz val="11"/>
      <color theme="1"/>
      <name val="Helvetica"/>
    </font>
    <font>
      <b/>
      <sz val="14"/>
      <color theme="1"/>
      <name val="Helvetica"/>
      <family val="2"/>
    </font>
    <font>
      <sz val="8"/>
      <color rgb="FF0000FF"/>
      <name val="Calibri"/>
      <family val="2"/>
      <scheme val="minor"/>
    </font>
    <font>
      <b/>
      <sz val="9"/>
      <color rgb="FFFF0000"/>
      <name val="Calibri"/>
      <family val="2"/>
      <scheme val="minor"/>
    </font>
    <font>
      <b/>
      <i/>
      <sz val="9"/>
      <color theme="1"/>
      <name val="Calibri"/>
      <family val="2"/>
      <scheme val="minor"/>
    </font>
    <font>
      <u/>
      <sz val="11"/>
      <color theme="1"/>
      <name val="Calibri"/>
      <family val="2"/>
      <scheme val="minor"/>
    </font>
    <font>
      <b/>
      <sz val="11"/>
      <color indexed="8"/>
      <name val="Helvetica"/>
    </font>
  </fonts>
  <fills count="41">
    <fill>
      <patternFill patternType="none"/>
    </fill>
    <fill>
      <patternFill patternType="gray125"/>
    </fill>
    <fill>
      <patternFill patternType="solid">
        <fgColor theme="0" tint="-4.9989318521683403E-2"/>
        <bgColor indexed="64"/>
      </patternFill>
    </fill>
    <fill>
      <patternFill patternType="solid">
        <fgColor rgb="FFFBFBFB"/>
        <bgColor indexed="64"/>
      </patternFill>
    </fill>
    <fill>
      <patternFill patternType="solid">
        <fgColor rgb="FFDDFFDD"/>
        <bgColor indexed="64"/>
      </patternFill>
    </fill>
    <fill>
      <patternFill patternType="solid">
        <fgColor rgb="FFF8F8F8"/>
        <bgColor indexed="64"/>
      </patternFill>
    </fill>
    <fill>
      <patternFill patternType="solid">
        <fgColor rgb="FFFFFFCC"/>
        <bgColor indexed="64"/>
      </patternFill>
    </fill>
    <fill>
      <patternFill patternType="solid">
        <fgColor rgb="FFF5F5F5"/>
        <bgColor indexed="64"/>
      </patternFill>
    </fill>
    <fill>
      <patternFill patternType="solid">
        <fgColor rgb="FFFFFFE1"/>
        <bgColor indexed="64"/>
      </patternFill>
    </fill>
    <fill>
      <patternFill patternType="solid">
        <fgColor rgb="FFF6FFF3"/>
        <bgColor indexed="64"/>
      </patternFill>
    </fill>
    <fill>
      <patternFill patternType="solid">
        <fgColor rgb="FFFFFFEB"/>
        <bgColor indexed="64"/>
      </patternFill>
    </fill>
    <fill>
      <patternFill patternType="solid">
        <fgColor rgb="FFE8FFE1"/>
        <bgColor indexed="64"/>
      </patternFill>
    </fill>
    <fill>
      <patternFill patternType="solid">
        <fgColor rgb="FFFFFFD9"/>
        <bgColor indexed="64"/>
      </patternFill>
    </fill>
    <fill>
      <patternFill patternType="solid">
        <fgColor rgb="FFDFFFD5"/>
        <bgColor indexed="64"/>
      </patternFill>
    </fill>
    <fill>
      <patternFill patternType="solid">
        <fgColor rgb="FFFFFF00"/>
        <bgColor indexed="64"/>
      </patternFill>
    </fill>
    <fill>
      <patternFill patternType="solid">
        <fgColor rgb="FFFFFFDC"/>
        <bgColor indexed="64"/>
      </patternFill>
    </fill>
    <fill>
      <patternFill patternType="solid">
        <fgColor rgb="FFD5FFFF"/>
        <bgColor indexed="64"/>
      </patternFill>
    </fill>
    <fill>
      <patternFill patternType="solid">
        <fgColor rgb="FFFFFF66"/>
        <bgColor indexed="64"/>
      </patternFill>
    </fill>
    <fill>
      <patternFill patternType="solid">
        <fgColor rgb="FFFFFF99"/>
        <bgColor indexed="64"/>
      </patternFill>
    </fill>
    <fill>
      <patternFill patternType="solid">
        <fgColor rgb="FFF2F2F2"/>
        <bgColor indexed="64"/>
      </patternFill>
    </fill>
    <fill>
      <patternFill patternType="solid">
        <fgColor rgb="FFC1FFFF"/>
        <bgColor indexed="64"/>
      </patternFill>
    </fill>
    <fill>
      <patternFill patternType="solid">
        <fgColor theme="0" tint="-0.14999847407452621"/>
        <bgColor indexed="64"/>
      </patternFill>
    </fill>
    <fill>
      <patternFill patternType="solid">
        <fgColor theme="3" tint="0.79998168889431442"/>
        <bgColor indexed="64"/>
      </patternFill>
    </fill>
    <fill>
      <patternFill patternType="solid">
        <fgColor rgb="FFEEFFEE"/>
        <bgColor indexed="64"/>
      </patternFill>
    </fill>
    <fill>
      <patternFill patternType="solid">
        <fgColor theme="0"/>
        <bgColor indexed="64"/>
      </patternFill>
    </fill>
    <fill>
      <patternFill patternType="solid">
        <fgColor indexed="65"/>
        <bgColor indexed="64"/>
      </patternFill>
    </fill>
    <fill>
      <patternFill patternType="solid">
        <fgColor theme="2"/>
        <bgColor indexed="64"/>
      </patternFill>
    </fill>
    <fill>
      <patternFill patternType="solid">
        <fgColor rgb="FFFFFFFF"/>
        <bgColor indexed="64"/>
      </patternFill>
    </fill>
    <fill>
      <patternFill patternType="solid">
        <fgColor rgb="FFE4E4E4"/>
        <bgColor indexed="64"/>
      </patternFill>
    </fill>
    <fill>
      <patternFill patternType="solid">
        <fgColor rgb="FFEAEAEA"/>
        <bgColor indexed="64"/>
      </patternFill>
    </fill>
    <fill>
      <patternFill patternType="solid">
        <fgColor rgb="FFF0EEE4"/>
        <bgColor indexed="64"/>
      </patternFill>
    </fill>
    <fill>
      <patternFill patternType="solid">
        <fgColor rgb="FFFCFCFA"/>
        <bgColor indexed="64"/>
      </patternFill>
    </fill>
    <fill>
      <patternFill patternType="solid">
        <fgColor theme="9" tint="0.79998168889431442"/>
        <bgColor indexed="64"/>
      </patternFill>
    </fill>
    <fill>
      <patternFill patternType="solid">
        <fgColor theme="6" tint="0.79998168889431442"/>
        <bgColor indexed="64"/>
      </patternFill>
    </fill>
    <fill>
      <patternFill patternType="solid">
        <fgColor rgb="FFFFFFE7"/>
        <bgColor indexed="64"/>
      </patternFill>
    </fill>
    <fill>
      <patternFill patternType="solid">
        <fgColor rgb="FFFFFFDD"/>
        <bgColor indexed="64"/>
      </patternFill>
    </fill>
    <fill>
      <patternFill patternType="solid">
        <fgColor rgb="FFFFFFFB"/>
        <bgColor indexed="64"/>
      </patternFill>
    </fill>
    <fill>
      <patternFill patternType="solid">
        <fgColor theme="4" tint="0.59999389629810485"/>
        <bgColor indexed="64"/>
      </patternFill>
    </fill>
    <fill>
      <patternFill patternType="solid">
        <fgColor rgb="FFFFC000"/>
        <bgColor indexed="64"/>
      </patternFill>
    </fill>
    <fill>
      <patternFill patternType="solid">
        <fgColor theme="5" tint="0.39997558519241921"/>
        <bgColor indexed="64"/>
      </patternFill>
    </fill>
    <fill>
      <patternFill patternType="solid">
        <fgColor theme="9" tint="0.59999389629810485"/>
        <bgColor indexed="64"/>
      </patternFill>
    </fill>
  </fills>
  <borders count="361">
    <border>
      <left/>
      <right/>
      <top/>
      <bottom/>
      <diagonal/>
    </border>
    <border>
      <left/>
      <right/>
      <top/>
      <bottom style="thin">
        <color auto="1"/>
      </bottom>
      <diagonal/>
    </border>
    <border>
      <left/>
      <right style="medium">
        <color indexed="64"/>
      </right>
      <top/>
      <bottom style="thin">
        <color auto="1"/>
      </bottom>
      <diagonal/>
    </border>
    <border>
      <left/>
      <right/>
      <top style="thin">
        <color auto="1"/>
      </top>
      <bottom/>
      <diagonal/>
    </border>
    <border>
      <left style="medium">
        <color indexed="64"/>
      </left>
      <right/>
      <top/>
      <bottom/>
      <diagonal/>
    </border>
    <border>
      <left/>
      <right style="medium">
        <color indexed="64"/>
      </right>
      <top/>
      <bottom/>
      <diagonal/>
    </border>
    <border>
      <left/>
      <right style="medium">
        <color auto="1"/>
      </right>
      <top style="thin">
        <color auto="1"/>
      </top>
      <bottom/>
      <diagonal/>
    </border>
    <border>
      <left style="thin">
        <color indexed="64"/>
      </left>
      <right/>
      <top/>
      <bottom/>
      <diagonal/>
    </border>
    <border>
      <left style="thin">
        <color indexed="64"/>
      </left>
      <right/>
      <top style="thin">
        <color indexed="64"/>
      </top>
      <bottom/>
      <diagonal/>
    </border>
    <border>
      <left/>
      <right style="thin">
        <color indexed="64"/>
      </right>
      <top/>
      <bottom/>
      <diagonal/>
    </border>
    <border>
      <left/>
      <right style="thin">
        <color indexed="64"/>
      </right>
      <top style="thin">
        <color auto="1"/>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dotted">
        <color indexed="64"/>
      </left>
      <right style="dotted">
        <color indexed="64"/>
      </right>
      <top/>
      <bottom/>
      <diagonal/>
    </border>
    <border>
      <left style="dotted">
        <color indexed="64"/>
      </left>
      <right style="dotted">
        <color indexed="64"/>
      </right>
      <top/>
      <bottom style="dotted">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right/>
      <top style="double">
        <color indexed="64"/>
      </top>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style="dotted">
        <color indexed="64"/>
      </left>
      <right/>
      <top/>
      <bottom/>
      <diagonal/>
    </border>
    <border>
      <left/>
      <right style="dotted">
        <color indexed="64"/>
      </right>
      <top/>
      <bottom/>
      <diagonal/>
    </border>
    <border>
      <left style="dotted">
        <color indexed="64"/>
      </left>
      <right/>
      <top/>
      <bottom style="dotted">
        <color indexed="64"/>
      </bottom>
      <diagonal/>
    </border>
    <border>
      <left/>
      <right/>
      <top/>
      <bottom style="dotted">
        <color indexed="64"/>
      </bottom>
      <diagonal/>
    </border>
    <border>
      <left/>
      <right style="dotted">
        <color indexed="64"/>
      </right>
      <top/>
      <bottom style="dotted">
        <color indexed="64"/>
      </bottom>
      <diagonal/>
    </border>
    <border>
      <left/>
      <right/>
      <top style="dotted">
        <color indexed="64"/>
      </top>
      <bottom/>
      <diagonal/>
    </border>
    <border>
      <left style="medium">
        <color indexed="64"/>
      </left>
      <right/>
      <top/>
      <bottom style="thin">
        <color auto="1"/>
      </bottom>
      <diagonal/>
    </border>
    <border>
      <left/>
      <right/>
      <top style="thin">
        <color indexed="64"/>
      </top>
      <bottom style="thin">
        <color indexed="64"/>
      </bottom>
      <diagonal/>
    </border>
    <border>
      <left style="dotted">
        <color auto="1"/>
      </left>
      <right/>
      <top style="dotted">
        <color auto="1"/>
      </top>
      <bottom/>
      <diagonal/>
    </border>
    <border>
      <left/>
      <right style="dotted">
        <color auto="1"/>
      </right>
      <top style="dotted">
        <color auto="1"/>
      </top>
      <bottom/>
      <diagonal/>
    </border>
    <border>
      <left style="thin">
        <color indexed="64"/>
      </left>
      <right style="dotted">
        <color indexed="64"/>
      </right>
      <top/>
      <bottom/>
      <diagonal/>
    </border>
    <border>
      <left style="dotted">
        <color indexed="64"/>
      </left>
      <right style="thin">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dotted">
        <color indexed="64"/>
      </top>
      <bottom/>
      <diagonal/>
    </border>
    <border>
      <left/>
      <right style="medium">
        <color indexed="64"/>
      </right>
      <top style="dotted">
        <color indexed="64"/>
      </top>
      <bottom/>
      <diagonal/>
    </border>
    <border>
      <left/>
      <right/>
      <top style="thin">
        <color theme="0" tint="-0.499984740745262"/>
      </top>
      <bottom style="thin">
        <color theme="0" tint="-0.499984740745262"/>
      </bottom>
      <diagonal/>
    </border>
    <border>
      <left/>
      <right style="thin">
        <color indexed="64"/>
      </right>
      <top style="thin">
        <color theme="0" tint="-0.499984740745262"/>
      </top>
      <bottom style="thin">
        <color theme="0" tint="-0.499984740745262"/>
      </bottom>
      <diagonal/>
    </border>
    <border>
      <left style="thin">
        <color indexed="64"/>
      </left>
      <right style="thin">
        <color indexed="64"/>
      </right>
      <top/>
      <bottom/>
      <diagonal/>
    </border>
    <border>
      <left/>
      <right/>
      <top style="thin">
        <color theme="0" tint="-0.34998626667073579"/>
      </top>
      <bottom style="thin">
        <color theme="0" tint="-0.34998626667073579"/>
      </bottom>
      <diagonal/>
    </border>
    <border>
      <left/>
      <right/>
      <top style="thin">
        <color theme="0" tint="-0.34998626667073579"/>
      </top>
      <bottom style="thin">
        <color indexed="64"/>
      </bottom>
      <diagonal/>
    </border>
    <border>
      <left/>
      <right/>
      <top/>
      <bottom style="thin">
        <color theme="0" tint="-0.34998626667073579"/>
      </bottom>
      <diagonal/>
    </border>
    <border>
      <left/>
      <right style="thin">
        <color indexed="64"/>
      </right>
      <top/>
      <bottom style="thin">
        <color theme="0" tint="-0.34998626667073579"/>
      </bottom>
      <diagonal/>
    </border>
    <border>
      <left/>
      <right/>
      <top style="thin">
        <color indexed="64"/>
      </top>
      <bottom style="thin">
        <color theme="0" tint="-0.499984740745262"/>
      </bottom>
      <diagonal/>
    </border>
    <border>
      <left/>
      <right style="thin">
        <color indexed="64"/>
      </right>
      <top style="thin">
        <color indexed="64"/>
      </top>
      <bottom style="thin">
        <color theme="0" tint="-0.499984740745262"/>
      </bottom>
      <diagonal/>
    </border>
    <border>
      <left style="thin">
        <color indexed="64"/>
      </left>
      <right style="dotted">
        <color theme="0" tint="-0.34998626667073579"/>
      </right>
      <top style="thin">
        <color indexed="64"/>
      </top>
      <bottom style="dotted">
        <color theme="0" tint="-0.34998626667073579"/>
      </bottom>
      <diagonal/>
    </border>
    <border>
      <left style="dotted">
        <color theme="0" tint="-0.34998626667073579"/>
      </left>
      <right style="dotted">
        <color theme="0" tint="-0.34998626667073579"/>
      </right>
      <top style="thin">
        <color indexed="64"/>
      </top>
      <bottom style="dotted">
        <color theme="0" tint="-0.34998626667073579"/>
      </bottom>
      <diagonal/>
    </border>
    <border>
      <left style="dotted">
        <color theme="0" tint="-0.34998626667073579"/>
      </left>
      <right style="thin">
        <color theme="1" tint="0.499984740745262"/>
      </right>
      <top style="thin">
        <color indexed="64"/>
      </top>
      <bottom style="dotted">
        <color theme="0" tint="-0.34998626667073579"/>
      </bottom>
      <diagonal/>
    </border>
    <border>
      <left style="thin">
        <color theme="1" tint="0.499984740745262"/>
      </left>
      <right style="dotted">
        <color theme="0" tint="-0.34998626667073579"/>
      </right>
      <top style="thin">
        <color indexed="64"/>
      </top>
      <bottom style="dotted">
        <color theme="0" tint="-0.34998626667073579"/>
      </bottom>
      <diagonal/>
    </border>
    <border>
      <left style="dotted">
        <color theme="0" tint="-0.34998626667073579"/>
      </left>
      <right style="thin">
        <color indexed="64"/>
      </right>
      <top style="thin">
        <color indexed="64"/>
      </top>
      <bottom style="dotted">
        <color theme="0" tint="-0.34998626667073579"/>
      </bottom>
      <diagonal/>
    </border>
    <border>
      <left style="thin">
        <color indexed="64"/>
      </left>
      <right/>
      <top style="thin">
        <color theme="0" tint="-0.34998626667073579"/>
      </top>
      <bottom style="thin">
        <color theme="0" tint="-0.34998626667073579"/>
      </bottom>
      <diagonal/>
    </border>
    <border>
      <left style="thin">
        <color indexed="64"/>
      </left>
      <right style="dotted">
        <color theme="0" tint="-0.34998626667073579"/>
      </right>
      <top style="dotted">
        <color theme="0" tint="-0.34998626667073579"/>
      </top>
      <bottom style="dotted">
        <color theme="0" tint="-0.34998626667073579"/>
      </bottom>
      <diagonal/>
    </border>
    <border>
      <left style="dotted">
        <color theme="0" tint="-0.34998626667073579"/>
      </left>
      <right style="dotted">
        <color theme="0" tint="-0.34998626667073579"/>
      </right>
      <top style="dotted">
        <color theme="0" tint="-0.34998626667073579"/>
      </top>
      <bottom style="dotted">
        <color theme="0" tint="-0.34998626667073579"/>
      </bottom>
      <diagonal/>
    </border>
    <border>
      <left style="dotted">
        <color theme="0" tint="-0.34998626667073579"/>
      </left>
      <right style="thin">
        <color theme="1" tint="0.499984740745262"/>
      </right>
      <top style="dotted">
        <color theme="0" tint="-0.34998626667073579"/>
      </top>
      <bottom style="dotted">
        <color theme="0" tint="-0.34998626667073579"/>
      </bottom>
      <diagonal/>
    </border>
    <border>
      <left style="thin">
        <color theme="1" tint="0.499984740745262"/>
      </left>
      <right style="dotted">
        <color theme="0" tint="-0.34998626667073579"/>
      </right>
      <top style="dotted">
        <color theme="0" tint="-0.34998626667073579"/>
      </top>
      <bottom style="dotted">
        <color theme="0" tint="-0.34998626667073579"/>
      </bottom>
      <diagonal/>
    </border>
    <border>
      <left style="dotted">
        <color theme="0" tint="-0.34998626667073579"/>
      </left>
      <right style="thin">
        <color indexed="64"/>
      </right>
      <top style="dotted">
        <color theme="0" tint="-0.34998626667073579"/>
      </top>
      <bottom style="dotted">
        <color theme="0" tint="-0.34998626667073579"/>
      </bottom>
      <diagonal/>
    </border>
    <border>
      <left style="thin">
        <color indexed="64"/>
      </left>
      <right style="dotted">
        <color theme="0" tint="-0.34998626667073579"/>
      </right>
      <top style="dotted">
        <color theme="0" tint="-0.34998626667073579"/>
      </top>
      <bottom style="thin">
        <color theme="1" tint="0.499984740745262"/>
      </bottom>
      <diagonal/>
    </border>
    <border>
      <left style="dotted">
        <color theme="0" tint="-0.34998626667073579"/>
      </left>
      <right style="dotted">
        <color theme="0" tint="-0.34998626667073579"/>
      </right>
      <top style="dotted">
        <color theme="0" tint="-0.34998626667073579"/>
      </top>
      <bottom style="thin">
        <color theme="1" tint="0.499984740745262"/>
      </bottom>
      <diagonal/>
    </border>
    <border>
      <left style="dotted">
        <color theme="0" tint="-0.34998626667073579"/>
      </left>
      <right style="thin">
        <color theme="1" tint="0.499984740745262"/>
      </right>
      <top style="dotted">
        <color theme="0" tint="-0.34998626667073579"/>
      </top>
      <bottom style="thin">
        <color theme="1" tint="0.499984740745262"/>
      </bottom>
      <diagonal/>
    </border>
    <border>
      <left style="thin">
        <color theme="1" tint="0.499984740745262"/>
      </left>
      <right style="dotted">
        <color theme="0" tint="-0.34998626667073579"/>
      </right>
      <top style="dotted">
        <color theme="0" tint="-0.34998626667073579"/>
      </top>
      <bottom style="thin">
        <color theme="1" tint="0.499984740745262"/>
      </bottom>
      <diagonal/>
    </border>
    <border>
      <left style="dotted">
        <color theme="0" tint="-0.34998626667073579"/>
      </left>
      <right style="thin">
        <color indexed="64"/>
      </right>
      <top style="dotted">
        <color theme="0" tint="-0.34998626667073579"/>
      </top>
      <bottom style="thin">
        <color theme="1" tint="0.499984740745262"/>
      </bottom>
      <diagonal/>
    </border>
    <border>
      <left style="thin">
        <color indexed="64"/>
      </left>
      <right/>
      <top style="thin">
        <color theme="0" tint="-0.34998626667073579"/>
      </top>
      <bottom style="thin">
        <color indexed="64"/>
      </bottom>
      <diagonal/>
    </border>
    <border>
      <left style="thin">
        <color indexed="64"/>
      </left>
      <right style="dotted">
        <color theme="0" tint="-0.34998626667073579"/>
      </right>
      <top style="thin">
        <color theme="1" tint="0.499984740745262"/>
      </top>
      <bottom style="dotted">
        <color theme="0" tint="-0.34998626667073579"/>
      </bottom>
      <diagonal/>
    </border>
    <border>
      <left style="dotted">
        <color theme="0" tint="-0.34998626667073579"/>
      </left>
      <right style="dotted">
        <color theme="0" tint="-0.34998626667073579"/>
      </right>
      <top style="thin">
        <color theme="1" tint="0.499984740745262"/>
      </top>
      <bottom style="dotted">
        <color theme="0" tint="-0.34998626667073579"/>
      </bottom>
      <diagonal/>
    </border>
    <border>
      <left style="dotted">
        <color theme="0" tint="-0.34998626667073579"/>
      </left>
      <right style="thin">
        <color theme="1" tint="0.499984740745262"/>
      </right>
      <top style="thin">
        <color theme="1" tint="0.499984740745262"/>
      </top>
      <bottom style="dotted">
        <color theme="0" tint="-0.34998626667073579"/>
      </bottom>
      <diagonal/>
    </border>
    <border>
      <left style="thin">
        <color theme="1" tint="0.499984740745262"/>
      </left>
      <right style="dotted">
        <color theme="0" tint="-0.34998626667073579"/>
      </right>
      <top style="thin">
        <color theme="1" tint="0.499984740745262"/>
      </top>
      <bottom style="dotted">
        <color theme="0" tint="-0.34998626667073579"/>
      </bottom>
      <diagonal/>
    </border>
    <border>
      <left style="dotted">
        <color theme="0" tint="-0.34998626667073579"/>
      </left>
      <right style="thin">
        <color indexed="64"/>
      </right>
      <top style="thin">
        <color theme="1" tint="0.499984740745262"/>
      </top>
      <bottom style="dotted">
        <color theme="0" tint="-0.34998626667073579"/>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dotted">
        <color theme="0" tint="-0.34998626667073579"/>
      </right>
      <top style="dotted">
        <color theme="0" tint="-0.34998626667073579"/>
      </top>
      <bottom style="thin">
        <color indexed="64"/>
      </bottom>
      <diagonal/>
    </border>
    <border>
      <left style="dotted">
        <color theme="0" tint="-0.34998626667073579"/>
      </left>
      <right style="dotted">
        <color theme="0" tint="-0.34998626667073579"/>
      </right>
      <top style="dotted">
        <color theme="0" tint="-0.34998626667073579"/>
      </top>
      <bottom style="thin">
        <color indexed="64"/>
      </bottom>
      <diagonal/>
    </border>
    <border>
      <left style="dotted">
        <color theme="0" tint="-0.34998626667073579"/>
      </left>
      <right style="thin">
        <color theme="1" tint="0.499984740745262"/>
      </right>
      <top style="dotted">
        <color theme="0" tint="-0.34998626667073579"/>
      </top>
      <bottom style="thin">
        <color indexed="64"/>
      </bottom>
      <diagonal/>
    </border>
    <border>
      <left style="thin">
        <color theme="1" tint="0.499984740745262"/>
      </left>
      <right style="dotted">
        <color theme="0" tint="-0.34998626667073579"/>
      </right>
      <top style="dotted">
        <color theme="0" tint="-0.34998626667073579"/>
      </top>
      <bottom style="thin">
        <color indexed="64"/>
      </bottom>
      <diagonal/>
    </border>
    <border>
      <left style="dotted">
        <color theme="0" tint="-0.34998626667073579"/>
      </left>
      <right style="thin">
        <color indexed="64"/>
      </right>
      <top style="dotted">
        <color theme="0" tint="-0.34998626667073579"/>
      </top>
      <bottom style="thin">
        <color indexed="64"/>
      </bottom>
      <diagonal/>
    </border>
    <border>
      <left style="thin">
        <color indexed="64"/>
      </left>
      <right style="thin">
        <color theme="0" tint="-0.499984740745262"/>
      </right>
      <top style="thin">
        <color indexed="64"/>
      </top>
      <bottom/>
      <diagonal/>
    </border>
    <border>
      <left style="thin">
        <color theme="0" tint="-0.499984740745262"/>
      </left>
      <right style="thin">
        <color theme="0" tint="-0.499984740745262"/>
      </right>
      <top style="thin">
        <color indexed="64"/>
      </top>
      <bottom/>
      <diagonal/>
    </border>
    <border>
      <left style="thin">
        <color theme="0" tint="-0.499984740745262"/>
      </left>
      <right style="thin">
        <color indexed="64"/>
      </right>
      <top style="thin">
        <color indexed="64"/>
      </top>
      <bottom/>
      <diagonal/>
    </border>
    <border>
      <left/>
      <right style="thin">
        <color theme="0" tint="-0.499984740745262"/>
      </right>
      <top style="thin">
        <color indexed="64"/>
      </top>
      <bottom/>
      <diagonal/>
    </border>
    <border>
      <left style="thin">
        <color indexed="64"/>
      </left>
      <right style="thin">
        <color theme="0" tint="-0.499984740745262"/>
      </right>
      <top/>
      <bottom/>
      <diagonal/>
    </border>
    <border>
      <left style="thin">
        <color theme="0" tint="-0.499984740745262"/>
      </left>
      <right style="thin">
        <color theme="0" tint="-0.499984740745262"/>
      </right>
      <top/>
      <bottom/>
      <diagonal/>
    </border>
    <border>
      <left style="thin">
        <color theme="0" tint="-0.499984740745262"/>
      </left>
      <right style="thin">
        <color indexed="64"/>
      </right>
      <top/>
      <bottom/>
      <diagonal/>
    </border>
    <border>
      <left/>
      <right style="thin">
        <color theme="0" tint="-0.499984740745262"/>
      </right>
      <top/>
      <bottom/>
      <diagonal/>
    </border>
    <border>
      <left/>
      <right style="thin">
        <color indexed="64"/>
      </right>
      <top style="medium">
        <color indexed="64"/>
      </top>
      <bottom/>
      <diagonal/>
    </border>
    <border>
      <left style="thin">
        <color indexed="64"/>
      </left>
      <right/>
      <top style="medium">
        <color indexed="64"/>
      </top>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dotted">
        <color indexed="64"/>
      </right>
      <top style="medium">
        <color indexed="64"/>
      </top>
      <bottom/>
      <diagonal/>
    </border>
    <border>
      <left style="dotted">
        <color indexed="64"/>
      </left>
      <right style="dotted">
        <color indexed="64"/>
      </right>
      <top style="medium">
        <color indexed="64"/>
      </top>
      <bottom/>
      <diagonal/>
    </border>
    <border>
      <left style="dotted">
        <color indexed="64"/>
      </left>
      <right/>
      <top style="medium">
        <color indexed="64"/>
      </top>
      <bottom/>
      <diagonal/>
    </border>
    <border>
      <left style="thin">
        <color indexed="64"/>
      </left>
      <right style="dotted">
        <color indexed="64"/>
      </right>
      <top style="medium">
        <color indexed="64"/>
      </top>
      <bottom/>
      <diagonal/>
    </border>
    <border>
      <left style="dotted">
        <color indexed="64"/>
      </left>
      <right style="thin">
        <color indexed="64"/>
      </right>
      <top style="medium">
        <color indexed="64"/>
      </top>
      <bottom/>
      <diagonal/>
    </border>
    <border>
      <left/>
      <right style="thin">
        <color indexed="64"/>
      </right>
      <top style="dotted">
        <color indexed="64"/>
      </top>
      <bottom/>
      <diagonal/>
    </border>
    <border>
      <left style="thin">
        <color indexed="64"/>
      </left>
      <right/>
      <top style="dotted">
        <color indexed="64"/>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dotted">
        <color indexed="64"/>
      </right>
      <top/>
      <bottom style="medium">
        <color indexed="64"/>
      </bottom>
      <diagonal/>
    </border>
    <border>
      <left style="dotted">
        <color indexed="64"/>
      </left>
      <right style="dotted">
        <color indexed="64"/>
      </right>
      <top/>
      <bottom style="medium">
        <color indexed="64"/>
      </bottom>
      <diagonal/>
    </border>
    <border>
      <left style="dotted">
        <color indexed="64"/>
      </left>
      <right style="thin">
        <color indexed="64"/>
      </right>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medium">
        <color indexed="64"/>
      </bottom>
      <diagonal/>
    </border>
    <border>
      <left style="thin">
        <color indexed="64"/>
      </left>
      <right style="thin">
        <color indexed="64"/>
      </right>
      <top style="thin">
        <color indexed="64"/>
      </top>
      <bottom style="thin">
        <color theme="0" tint="-0.24994659260841701"/>
      </bottom>
      <diagonal/>
    </border>
    <border>
      <left style="medium">
        <color indexed="64"/>
      </left>
      <right style="thin">
        <color indexed="64"/>
      </right>
      <top style="thin">
        <color indexed="64"/>
      </top>
      <bottom style="thin">
        <color theme="0" tint="-0.24994659260841701"/>
      </bottom>
      <diagonal/>
    </border>
    <border>
      <left style="thin">
        <color theme="0" tint="-0.34998626667073579"/>
      </left>
      <right/>
      <top/>
      <bottom/>
      <diagonal/>
    </border>
    <border>
      <left/>
      <right style="thin">
        <color theme="0" tint="-0.34998626667073579"/>
      </right>
      <top/>
      <bottom style="thin">
        <color theme="0" tint="-0.34998626667073579"/>
      </bottom>
      <diagonal/>
    </border>
    <border>
      <left style="thin">
        <color indexed="64"/>
      </left>
      <right/>
      <top/>
      <bottom style="dotted">
        <color indexed="64"/>
      </bottom>
      <diagonal/>
    </border>
    <border>
      <left style="thin">
        <color theme="0" tint="-0.34998626667073579"/>
      </left>
      <right/>
      <top style="thin">
        <color theme="0" tint="-0.34998626667073579"/>
      </top>
      <bottom style="medium">
        <color indexed="64"/>
      </bottom>
      <diagonal/>
    </border>
    <border>
      <left/>
      <right/>
      <top style="thin">
        <color theme="0" tint="-0.34998626667073579"/>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dotted">
        <color indexed="64"/>
      </left>
      <right/>
      <top/>
      <bottom style="medium">
        <color indexed="64"/>
      </bottom>
      <diagonal/>
    </border>
    <border>
      <left style="thin">
        <color indexed="64"/>
      </left>
      <right style="thin">
        <color indexed="64"/>
      </right>
      <top style="thin">
        <color indexed="64"/>
      </top>
      <bottom style="dotted">
        <color indexed="64"/>
      </bottom>
      <diagonal/>
    </border>
    <border>
      <left style="thin">
        <color indexed="64"/>
      </left>
      <right style="thin">
        <color indexed="64"/>
      </right>
      <top style="dotted">
        <color indexed="64"/>
      </top>
      <bottom style="dotted">
        <color indexed="64"/>
      </bottom>
      <diagonal/>
    </border>
    <border>
      <left style="thin">
        <color indexed="64"/>
      </left>
      <right style="thin">
        <color indexed="64"/>
      </right>
      <top style="medium">
        <color indexed="64"/>
      </top>
      <bottom style="dotted">
        <color indexed="64"/>
      </bottom>
      <diagonal/>
    </border>
    <border>
      <left style="thin">
        <color theme="0" tint="-0.34998626667073579"/>
      </left>
      <right/>
      <top style="thin">
        <color theme="0" tint="-0.34998626667073579"/>
      </top>
      <bottom style="thin">
        <color theme="0" tint="-0.34998626667073579"/>
      </bottom>
      <diagonal/>
    </border>
    <border>
      <left/>
      <right style="thin">
        <color theme="0" tint="-0.34998626667073579"/>
      </right>
      <top/>
      <bottom style="medium">
        <color indexed="64"/>
      </bottom>
      <diagonal/>
    </border>
    <border>
      <left/>
      <right/>
      <top style="dotted">
        <color indexed="64"/>
      </top>
      <bottom style="thin">
        <color theme="0" tint="-0.34998626667073579"/>
      </bottom>
      <diagonal/>
    </border>
    <border>
      <left/>
      <right style="thin">
        <color indexed="64"/>
      </right>
      <top style="dotted">
        <color indexed="64"/>
      </top>
      <bottom style="thin">
        <color theme="0" tint="-0.34998626667073579"/>
      </bottom>
      <diagonal/>
    </border>
    <border>
      <left/>
      <right style="thin">
        <color indexed="64"/>
      </right>
      <top style="thin">
        <color theme="0" tint="-0.34998626667073579"/>
      </top>
      <bottom style="medium">
        <color indexed="64"/>
      </bottom>
      <diagonal/>
    </border>
    <border>
      <left/>
      <right style="dotted">
        <color indexed="64"/>
      </right>
      <top/>
      <bottom style="medium">
        <color indexed="64"/>
      </bottom>
      <diagonal/>
    </border>
    <border>
      <left/>
      <right style="dotted">
        <color indexed="64"/>
      </right>
      <top/>
      <bottom style="thin">
        <color indexed="64"/>
      </bottom>
      <diagonal/>
    </border>
    <border>
      <left style="dotted">
        <color auto="1"/>
      </left>
      <right style="dotted">
        <color auto="1"/>
      </right>
      <top style="dotted">
        <color auto="1"/>
      </top>
      <bottom style="dotted">
        <color auto="1"/>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thin">
        <color indexed="64"/>
      </bottom>
      <diagonal/>
    </border>
    <border>
      <left/>
      <right style="dotted">
        <color indexed="64"/>
      </right>
      <top style="dotted">
        <color indexed="64"/>
      </top>
      <bottom style="dotted">
        <color indexed="64"/>
      </bottom>
      <diagonal/>
    </border>
    <border>
      <left/>
      <right style="thin">
        <color indexed="64"/>
      </right>
      <top style="thin">
        <color indexed="64"/>
      </top>
      <bottom style="dotted">
        <color indexed="64"/>
      </bottom>
      <diagonal/>
    </border>
    <border>
      <left/>
      <right style="thin">
        <color indexed="64"/>
      </right>
      <top style="dotted">
        <color indexed="64"/>
      </top>
      <bottom style="dotted">
        <color indexed="64"/>
      </bottom>
      <diagonal/>
    </border>
    <border>
      <left/>
      <right style="thin">
        <color indexed="64"/>
      </right>
      <top style="dotted">
        <color indexed="64"/>
      </top>
      <bottom style="thin">
        <color indexed="64"/>
      </bottom>
      <diagonal/>
    </border>
    <border>
      <left style="dotted">
        <color indexed="64"/>
      </left>
      <right/>
      <top style="dotted">
        <color indexed="64"/>
      </top>
      <bottom style="dotted">
        <color indexed="64"/>
      </bottom>
      <diagonal/>
    </border>
    <border>
      <left/>
      <right/>
      <top style="dotted">
        <color indexed="64"/>
      </top>
      <bottom style="dotted">
        <color indexed="64"/>
      </bottom>
      <diagonal/>
    </border>
    <border>
      <left style="thin">
        <color indexed="64"/>
      </left>
      <right style="dotted">
        <color indexed="64"/>
      </right>
      <top style="thin">
        <color indexed="64"/>
      </top>
      <bottom style="dotted">
        <color indexed="64"/>
      </bottom>
      <diagonal/>
    </border>
    <border>
      <left style="dotted">
        <color indexed="64"/>
      </left>
      <right style="thin">
        <color indexed="64"/>
      </right>
      <top style="thin">
        <color indexed="64"/>
      </top>
      <bottom/>
      <diagonal/>
    </border>
    <border>
      <left style="thin">
        <color indexed="64"/>
      </left>
      <right style="dotted">
        <color indexed="64"/>
      </right>
      <top style="dotted">
        <color auto="1"/>
      </top>
      <bottom style="dotted">
        <color auto="1"/>
      </bottom>
      <diagonal/>
    </border>
    <border>
      <left style="dotted">
        <color indexed="64"/>
      </left>
      <right style="thin">
        <color indexed="64"/>
      </right>
      <top style="dotted">
        <color auto="1"/>
      </top>
      <bottom/>
      <diagonal/>
    </border>
    <border>
      <left style="thin">
        <color indexed="64"/>
      </left>
      <right style="dotted">
        <color indexed="64"/>
      </right>
      <top style="dotted">
        <color auto="1"/>
      </top>
      <bottom style="thin">
        <color indexed="64"/>
      </bottom>
      <diagonal/>
    </border>
    <border>
      <left style="dotted">
        <color indexed="64"/>
      </left>
      <right style="thin">
        <color indexed="64"/>
      </right>
      <top style="dotted">
        <color auto="1"/>
      </top>
      <bottom style="thin">
        <color indexed="64"/>
      </bottom>
      <diagonal/>
    </border>
    <border>
      <left style="medium">
        <color indexed="64"/>
      </left>
      <right/>
      <top style="dotted">
        <color indexed="64"/>
      </top>
      <bottom style="dotted">
        <color indexed="64"/>
      </bottom>
      <diagonal/>
    </border>
    <border>
      <left/>
      <right style="thin">
        <color indexed="64"/>
      </right>
      <top style="thin">
        <color indexed="64"/>
      </top>
      <bottom style="thin">
        <color theme="0" tint="-0.24994659260841701"/>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theme="0" tint="-0.34998626667073579"/>
      </top>
      <bottom/>
      <diagonal/>
    </border>
    <border>
      <left style="dotted">
        <color theme="1" tint="0.34998626667073579"/>
      </left>
      <right/>
      <top style="dotted">
        <color theme="1" tint="0.34998626667073579"/>
      </top>
      <bottom style="dotted">
        <color theme="1" tint="0.34998626667073579"/>
      </bottom>
      <diagonal/>
    </border>
    <border>
      <left/>
      <right/>
      <top style="dotted">
        <color theme="1" tint="0.34998626667073579"/>
      </top>
      <bottom style="dotted">
        <color theme="1" tint="0.34998626667073579"/>
      </bottom>
      <diagonal/>
    </border>
    <border>
      <left/>
      <right style="dotted">
        <color theme="1" tint="0.34998626667073579"/>
      </right>
      <top style="dotted">
        <color theme="1" tint="0.34998626667073579"/>
      </top>
      <bottom style="dotted">
        <color theme="1" tint="0.34998626667073579"/>
      </bottom>
      <diagonal/>
    </border>
    <border>
      <left style="thin">
        <color theme="1" tint="0.499984740745262"/>
      </left>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right style="dotted">
        <color theme="1" tint="0.34998626667073579"/>
      </right>
      <top/>
      <bottom/>
      <diagonal/>
    </border>
    <border>
      <left style="thin">
        <color indexed="64"/>
      </left>
      <right/>
      <top/>
      <bottom style="dotted">
        <color theme="1" tint="0.499984740745262"/>
      </bottom>
      <diagonal/>
    </border>
    <border>
      <left/>
      <right/>
      <top/>
      <bottom style="dotted">
        <color theme="1" tint="0.499984740745262"/>
      </bottom>
      <diagonal/>
    </border>
    <border>
      <left/>
      <right style="thin">
        <color indexed="64"/>
      </right>
      <top/>
      <bottom style="dotted">
        <color theme="1" tint="0.499984740745262"/>
      </bottom>
      <diagonal/>
    </border>
    <border>
      <left/>
      <right style="thin">
        <color theme="1" tint="0.499984740745262"/>
      </right>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double">
        <color indexed="64"/>
      </left>
      <right style="thin">
        <color indexed="64"/>
      </right>
      <top style="thin">
        <color indexed="64"/>
      </top>
      <bottom style="thin">
        <color indexed="64"/>
      </bottom>
      <diagonal/>
    </border>
    <border>
      <left style="double">
        <color indexed="64"/>
      </left>
      <right style="thin">
        <color indexed="64"/>
      </right>
      <top style="thin">
        <color indexed="64"/>
      </top>
      <bottom/>
      <diagonal/>
    </border>
    <border>
      <left/>
      <right style="double">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thin">
        <color indexed="64"/>
      </left>
      <right/>
      <top style="dotted">
        <color auto="1"/>
      </top>
      <bottom style="dotted">
        <color auto="1"/>
      </bottom>
      <diagonal/>
    </border>
    <border>
      <left/>
      <right style="double">
        <color indexed="64"/>
      </right>
      <top style="dotted">
        <color indexed="64"/>
      </top>
      <bottom style="dotted">
        <color indexed="64"/>
      </bottom>
      <diagonal/>
    </border>
    <border>
      <left style="thin">
        <color indexed="64"/>
      </left>
      <right style="thin">
        <color indexed="64"/>
      </right>
      <top style="medium">
        <color indexed="64"/>
      </top>
      <bottom/>
      <diagonal/>
    </border>
    <border>
      <left style="double">
        <color indexed="64"/>
      </left>
      <right/>
      <top style="thin">
        <color indexed="64"/>
      </top>
      <bottom style="thin">
        <color indexed="64"/>
      </bottom>
      <diagonal/>
    </border>
    <border>
      <left style="thin">
        <color indexed="64"/>
      </left>
      <right style="thin">
        <color indexed="64"/>
      </right>
      <top style="thin">
        <color indexed="64"/>
      </top>
      <bottom style="double">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dotted">
        <color indexed="64"/>
      </left>
      <right/>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style="thin">
        <color indexed="64"/>
      </top>
      <bottom/>
      <diagonal/>
    </border>
    <border>
      <left style="medium">
        <color indexed="64"/>
      </left>
      <right style="thin">
        <color indexed="64"/>
      </right>
      <top/>
      <bottom/>
      <diagonal/>
    </border>
    <border>
      <left style="thin">
        <color indexed="64"/>
      </left>
      <right style="medium">
        <color auto="1"/>
      </right>
      <top/>
      <bottom/>
      <diagonal/>
    </border>
    <border>
      <left style="medium">
        <color indexed="64"/>
      </left>
      <right style="medium">
        <color indexed="64"/>
      </right>
      <top/>
      <bottom/>
      <diagonal/>
    </border>
    <border>
      <left style="double">
        <color indexed="64"/>
      </left>
      <right style="thin">
        <color indexed="64"/>
      </right>
      <top/>
      <bottom/>
      <diagonal/>
    </border>
    <border>
      <left style="medium">
        <color indexed="64"/>
      </left>
      <right style="medium">
        <color indexed="64"/>
      </right>
      <top/>
      <bottom style="thin">
        <color indexed="64"/>
      </bottom>
      <diagonal/>
    </border>
    <border>
      <left style="double">
        <color indexed="64"/>
      </left>
      <right style="thin">
        <color indexed="64"/>
      </right>
      <top/>
      <bottom style="thin">
        <color indexed="64"/>
      </bottom>
      <diagonal/>
    </border>
    <border>
      <left style="thin">
        <color indexed="64"/>
      </left>
      <right style="medium">
        <color indexed="64"/>
      </right>
      <top style="thin">
        <color indexed="64"/>
      </top>
      <bottom style="dotted">
        <color indexed="64"/>
      </bottom>
      <diagonal/>
    </border>
    <border>
      <left style="medium">
        <color indexed="64"/>
      </left>
      <right style="medium">
        <color indexed="64"/>
      </right>
      <top style="thin">
        <color indexed="64"/>
      </top>
      <bottom style="dotted">
        <color indexed="64"/>
      </bottom>
      <diagonal/>
    </border>
    <border>
      <left style="dotted">
        <color auto="1"/>
      </left>
      <right style="thin">
        <color indexed="64"/>
      </right>
      <top style="thin">
        <color indexed="64"/>
      </top>
      <bottom style="dotted">
        <color auto="1"/>
      </bottom>
      <diagonal/>
    </border>
    <border>
      <left style="dotted">
        <color indexed="64"/>
      </left>
      <right style="dotted">
        <color indexed="64"/>
      </right>
      <top style="thin">
        <color indexed="64"/>
      </top>
      <bottom style="dotted">
        <color indexed="64"/>
      </bottom>
      <diagonal/>
    </border>
    <border>
      <left style="thin">
        <color indexed="64"/>
      </left>
      <right/>
      <top style="thin">
        <color indexed="64"/>
      </top>
      <bottom style="dotted">
        <color indexed="64"/>
      </bottom>
      <diagonal/>
    </border>
    <border>
      <left style="thin">
        <color indexed="64"/>
      </left>
      <right style="medium">
        <color indexed="64"/>
      </right>
      <top style="dotted">
        <color indexed="64"/>
      </top>
      <bottom style="dotted">
        <color indexed="64"/>
      </bottom>
      <diagonal/>
    </border>
    <border>
      <left style="medium">
        <color indexed="64"/>
      </left>
      <right style="medium">
        <color indexed="64"/>
      </right>
      <top style="dotted">
        <color indexed="64"/>
      </top>
      <bottom style="dotted">
        <color indexed="64"/>
      </bottom>
      <diagonal/>
    </border>
    <border>
      <left style="thin">
        <color indexed="64"/>
      </left>
      <right style="dotted">
        <color auto="1"/>
      </right>
      <top/>
      <bottom style="dotted">
        <color auto="1"/>
      </bottom>
      <diagonal/>
    </border>
    <border>
      <left style="dotted">
        <color auto="1"/>
      </left>
      <right style="thin">
        <color indexed="64"/>
      </right>
      <top/>
      <bottom style="dotted">
        <color auto="1"/>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diagonal/>
    </border>
    <border>
      <left/>
      <right/>
      <top/>
      <bottom style="medium">
        <color rgb="FF0000FF"/>
      </bottom>
      <diagonal/>
    </border>
    <border>
      <left/>
      <right style="thick">
        <color indexed="64"/>
      </right>
      <top/>
      <bottom/>
      <diagonal/>
    </border>
    <border>
      <left/>
      <right/>
      <top style="medium">
        <color rgb="FF0000FF"/>
      </top>
      <bottom style="medium">
        <color rgb="FF0000FF"/>
      </bottom>
      <diagonal/>
    </border>
    <border>
      <left/>
      <right/>
      <top style="medium">
        <color rgb="FF0000FF"/>
      </top>
      <bottom/>
      <diagonal/>
    </border>
    <border>
      <left style="thick">
        <color indexed="64"/>
      </left>
      <right/>
      <top/>
      <bottom style="medium">
        <color rgb="FF0000FF"/>
      </bottom>
      <diagonal/>
    </border>
    <border>
      <left/>
      <right style="thick">
        <color indexed="64"/>
      </right>
      <top/>
      <bottom style="medium">
        <color rgb="FF0000FF"/>
      </bottom>
      <diagonal/>
    </border>
    <border>
      <left style="thick">
        <color indexed="64"/>
      </left>
      <right/>
      <top/>
      <bottom style="thick">
        <color indexed="64"/>
      </bottom>
      <diagonal/>
    </border>
    <border>
      <left/>
      <right/>
      <top/>
      <bottom style="thick">
        <color indexed="64"/>
      </bottom>
      <diagonal/>
    </border>
    <border>
      <left/>
      <right style="thick">
        <color indexed="64"/>
      </right>
      <top/>
      <bottom style="thick">
        <color indexed="64"/>
      </bottom>
      <diagonal/>
    </border>
    <border>
      <left/>
      <right/>
      <top style="thick">
        <color auto="1"/>
      </top>
      <bottom style="medium">
        <color rgb="FF0000FF"/>
      </bottom>
      <diagonal/>
    </border>
    <border>
      <left/>
      <right/>
      <top style="medium">
        <color indexed="12"/>
      </top>
      <bottom style="medium">
        <color indexed="12"/>
      </bottom>
      <diagonal/>
    </border>
    <border>
      <left/>
      <right/>
      <top style="medium">
        <color indexed="12"/>
      </top>
      <bottom/>
      <diagonal/>
    </border>
    <border>
      <left style="medium">
        <color indexed="12"/>
      </left>
      <right/>
      <top/>
      <bottom style="medium">
        <color indexed="12"/>
      </bottom>
      <diagonal/>
    </border>
    <border>
      <left/>
      <right style="medium">
        <color indexed="12"/>
      </right>
      <top/>
      <bottom style="medium">
        <color indexed="12"/>
      </bottom>
      <diagonal/>
    </border>
    <border>
      <left/>
      <right/>
      <top/>
      <bottom style="medium">
        <color indexed="12"/>
      </bottom>
      <diagonal/>
    </border>
    <border>
      <left/>
      <right style="medium">
        <color indexed="12"/>
      </right>
      <top/>
      <bottom/>
      <diagonal/>
    </border>
    <border>
      <left/>
      <right style="medium">
        <color auto="1"/>
      </right>
      <top/>
      <bottom/>
      <diagonal/>
    </border>
    <border>
      <left style="medium">
        <color auto="1"/>
      </left>
      <right/>
      <top/>
      <bottom/>
      <diagonal/>
    </border>
    <border>
      <left style="medium">
        <color indexed="12"/>
      </left>
      <right style="medium">
        <color indexed="12"/>
      </right>
      <top style="thick">
        <color theme="1"/>
      </top>
      <bottom/>
      <diagonal/>
    </border>
    <border>
      <left style="thick">
        <color indexed="64"/>
      </left>
      <right/>
      <top/>
      <bottom style="medium">
        <color indexed="64"/>
      </bottom>
      <diagonal/>
    </border>
    <border>
      <left/>
      <right/>
      <top style="thin">
        <color indexed="8"/>
      </top>
      <bottom/>
      <diagonal/>
    </border>
    <border>
      <left/>
      <right/>
      <top/>
      <bottom style="thick">
        <color theme="1"/>
      </bottom>
      <diagonal/>
    </border>
    <border>
      <left style="thick">
        <color theme="1"/>
      </left>
      <right style="medium">
        <color indexed="12"/>
      </right>
      <top/>
      <bottom/>
      <diagonal/>
    </border>
    <border>
      <left style="medium">
        <color indexed="12"/>
      </left>
      <right/>
      <top style="thick">
        <color theme="1"/>
      </top>
      <bottom/>
      <diagonal/>
    </border>
    <border>
      <left style="medium">
        <color indexed="12"/>
      </left>
      <right/>
      <top/>
      <bottom/>
      <diagonal/>
    </border>
    <border>
      <left/>
      <right style="thick">
        <color theme="1"/>
      </right>
      <top/>
      <bottom/>
      <diagonal/>
    </border>
    <border>
      <left style="thick">
        <color theme="1"/>
      </left>
      <right style="medium">
        <color indexed="12"/>
      </right>
      <top/>
      <bottom style="medium">
        <color indexed="12"/>
      </bottom>
      <diagonal/>
    </border>
    <border>
      <left style="medium">
        <color indexed="12"/>
      </left>
      <right style="medium">
        <color indexed="12"/>
      </right>
      <top/>
      <bottom style="medium">
        <color indexed="12"/>
      </bottom>
      <diagonal/>
    </border>
    <border>
      <left style="medium">
        <color indexed="12"/>
      </left>
      <right/>
      <top/>
      <bottom style="thick">
        <color indexed="12"/>
      </bottom>
      <diagonal/>
    </border>
    <border>
      <left/>
      <right/>
      <top style="thick">
        <color indexed="12"/>
      </top>
      <bottom/>
      <diagonal/>
    </border>
    <border>
      <left/>
      <right style="thick">
        <color theme="1"/>
      </right>
      <top style="thick">
        <color indexed="12"/>
      </top>
      <bottom/>
      <diagonal/>
    </border>
    <border>
      <left/>
      <right/>
      <top/>
      <bottom style="thick">
        <color indexed="12"/>
      </bottom>
      <diagonal/>
    </border>
    <border>
      <left style="medium">
        <color indexed="12"/>
      </left>
      <right/>
      <top style="medium">
        <color indexed="12"/>
      </top>
      <bottom/>
      <diagonal/>
    </border>
    <border>
      <left/>
      <right style="medium">
        <color rgb="FF0000FF"/>
      </right>
      <top style="medium">
        <color rgb="FF0000FF"/>
      </top>
      <bottom/>
      <diagonal/>
    </border>
    <border>
      <left/>
      <right style="thick">
        <color indexed="12"/>
      </right>
      <top style="thick">
        <color indexed="12"/>
      </top>
      <bottom/>
      <diagonal/>
    </border>
    <border>
      <left/>
      <right style="medium">
        <color rgb="FF0000FF"/>
      </right>
      <top/>
      <bottom style="medium">
        <color rgb="FF0000FF"/>
      </bottom>
      <diagonal/>
    </border>
    <border>
      <left/>
      <right style="thick">
        <color indexed="12"/>
      </right>
      <top/>
      <bottom style="thick">
        <color indexed="12"/>
      </bottom>
      <diagonal/>
    </border>
    <border>
      <left/>
      <right style="thick">
        <color theme="1" tint="0.34998626667073579"/>
      </right>
      <top style="medium">
        <color rgb="FF0000FF"/>
      </top>
      <bottom/>
      <diagonal/>
    </border>
    <border>
      <left style="thick">
        <color theme="1" tint="0.34998626667073579"/>
      </left>
      <right/>
      <top style="thick">
        <color indexed="12"/>
      </top>
      <bottom/>
      <diagonal/>
    </border>
    <border>
      <left/>
      <right style="thick">
        <color theme="1" tint="0.34998626667073579"/>
      </right>
      <top/>
      <bottom style="thick">
        <color indexed="12"/>
      </bottom>
      <diagonal/>
    </border>
    <border>
      <left style="thick">
        <color theme="1" tint="0.34998626667073579"/>
      </left>
      <right/>
      <top/>
      <bottom style="thick">
        <color indexed="12"/>
      </bottom>
      <diagonal/>
    </border>
    <border>
      <left style="medium">
        <color indexed="12"/>
      </left>
      <right/>
      <top style="thick">
        <color indexed="12"/>
      </top>
      <bottom/>
      <diagonal/>
    </border>
    <border>
      <left/>
      <right style="thick">
        <color theme="1"/>
      </right>
      <top/>
      <bottom style="medium">
        <color indexed="12"/>
      </bottom>
      <diagonal/>
    </border>
    <border>
      <left style="thick">
        <color theme="1"/>
      </left>
      <right/>
      <top/>
      <bottom/>
      <diagonal/>
    </border>
    <border>
      <left style="thick">
        <color theme="1"/>
      </left>
      <right/>
      <top style="thick">
        <color indexed="12"/>
      </top>
      <bottom/>
      <diagonal/>
    </border>
    <border>
      <left/>
      <right/>
      <top style="medium">
        <color indexed="12"/>
      </top>
      <bottom style="thick">
        <color indexed="12"/>
      </bottom>
      <diagonal/>
    </border>
    <border>
      <left/>
      <right/>
      <top style="thick">
        <color indexed="12"/>
      </top>
      <bottom style="thick">
        <color indexed="12"/>
      </bottom>
      <diagonal/>
    </border>
    <border>
      <left style="thick">
        <color theme="1"/>
      </left>
      <right/>
      <top/>
      <bottom style="thick">
        <color theme="1"/>
      </bottom>
      <diagonal/>
    </border>
    <border>
      <left/>
      <right style="thick">
        <color theme="1"/>
      </right>
      <top/>
      <bottom style="thick">
        <color theme="1"/>
      </bottom>
      <diagonal/>
    </border>
    <border>
      <left style="medium">
        <color indexed="12"/>
      </left>
      <right style="medium">
        <color indexed="12"/>
      </right>
      <top style="medium">
        <color indexed="12"/>
      </top>
      <bottom style="medium">
        <color indexed="12"/>
      </bottom>
      <diagonal/>
    </border>
    <border>
      <left style="thick">
        <color theme="1"/>
      </left>
      <right style="medium">
        <color indexed="12"/>
      </right>
      <top style="medium">
        <color indexed="12"/>
      </top>
      <bottom style="medium">
        <color indexed="12"/>
      </bottom>
      <diagonal/>
    </border>
    <border>
      <left/>
      <right style="thick">
        <color theme="1"/>
      </right>
      <top style="medium">
        <color indexed="12"/>
      </top>
      <bottom style="medium">
        <color indexed="12"/>
      </bottom>
      <diagonal/>
    </border>
    <border>
      <left/>
      <right/>
      <top style="medium">
        <color indexed="12"/>
      </top>
      <bottom style="medium">
        <color indexed="12"/>
      </bottom>
      <diagonal/>
    </border>
    <border>
      <left style="medium">
        <color indexed="12"/>
      </left>
      <right/>
      <top style="medium">
        <color indexed="12"/>
      </top>
      <bottom style="medium">
        <color indexed="12"/>
      </bottom>
      <diagonal/>
    </border>
    <border>
      <left/>
      <right style="medium">
        <color indexed="12"/>
      </right>
      <top style="medium">
        <color indexed="12"/>
      </top>
      <bottom style="medium">
        <color indexed="12"/>
      </bottom>
      <diagonal/>
    </border>
    <border>
      <left/>
      <right style="thick">
        <color theme="1"/>
      </right>
      <top/>
      <bottom style="thick">
        <color indexed="12"/>
      </bottom>
      <diagonal/>
    </border>
    <border>
      <left/>
      <right style="medium">
        <color indexed="12"/>
      </right>
      <top style="medium">
        <color indexed="12"/>
      </top>
      <bottom/>
      <diagonal/>
    </border>
    <border>
      <left style="medium">
        <color indexed="12"/>
      </left>
      <right style="medium">
        <color indexed="12"/>
      </right>
      <top style="medium">
        <color indexed="12"/>
      </top>
      <bottom/>
      <diagonal/>
    </border>
    <border>
      <left style="thick">
        <color theme="1"/>
      </left>
      <right style="medium">
        <color indexed="12"/>
      </right>
      <top style="thick">
        <color indexed="12"/>
      </top>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style="thick">
        <color theme="1"/>
      </left>
      <right/>
      <top style="medium">
        <color indexed="12"/>
      </top>
      <bottom/>
      <diagonal/>
    </border>
    <border>
      <left style="thick">
        <color theme="1"/>
      </left>
      <right/>
      <top/>
      <bottom style="thick">
        <color indexed="12"/>
      </bottom>
      <diagonal/>
    </border>
    <border>
      <left/>
      <right/>
      <top style="medium">
        <color auto="1"/>
      </top>
      <bottom/>
      <diagonal/>
    </border>
    <border>
      <left style="thick">
        <color indexed="64"/>
      </left>
      <right/>
      <top style="thick">
        <color indexed="64"/>
      </top>
      <bottom/>
      <diagonal/>
    </border>
    <border>
      <left/>
      <right/>
      <top/>
      <bottom style="thick">
        <color indexed="64"/>
      </bottom>
      <diagonal/>
    </border>
    <border>
      <left/>
      <right style="thick">
        <color theme="1"/>
      </right>
      <top style="thick">
        <color theme="1"/>
      </top>
      <bottom/>
      <diagonal/>
    </border>
    <border>
      <left/>
      <right style="thick">
        <color indexed="64"/>
      </right>
      <top/>
      <bottom style="thick">
        <color indexed="64"/>
      </bottom>
      <diagonal/>
    </border>
    <border>
      <left/>
      <right/>
      <top style="thick">
        <color indexed="64"/>
      </top>
      <bottom/>
      <diagonal/>
    </border>
    <border>
      <left style="mediumDashed">
        <color auto="1"/>
      </left>
      <right/>
      <top style="thick">
        <color auto="1"/>
      </top>
      <bottom/>
      <diagonal/>
    </border>
    <border>
      <left/>
      <right style="thick">
        <color indexed="64"/>
      </right>
      <top style="thick">
        <color indexed="64"/>
      </top>
      <bottom/>
      <diagonal/>
    </border>
    <border>
      <left style="mediumDashed">
        <color indexed="64"/>
      </left>
      <right/>
      <top/>
      <bottom/>
      <diagonal/>
    </border>
    <border>
      <left/>
      <right style="thick">
        <color auto="1"/>
      </right>
      <top/>
      <bottom style="thin">
        <color indexed="64"/>
      </bottom>
      <diagonal/>
    </border>
    <border>
      <left/>
      <right/>
      <top style="thin">
        <color indexed="64"/>
      </top>
      <bottom style="thick">
        <color indexed="12"/>
      </bottom>
      <diagonal/>
    </border>
    <border>
      <left/>
      <right style="thick">
        <color auto="1"/>
      </right>
      <top style="thin">
        <color indexed="64"/>
      </top>
      <bottom/>
      <diagonal/>
    </border>
    <border>
      <left style="mediumDashed">
        <color indexed="64"/>
      </left>
      <right/>
      <top/>
      <bottom style="thick">
        <color auto="1"/>
      </bottom>
      <diagonal/>
    </border>
    <border>
      <left/>
      <right/>
      <top/>
      <bottom style="thick">
        <color indexed="12"/>
      </bottom>
      <diagonal/>
    </border>
    <border>
      <left/>
      <right/>
      <top style="thick">
        <color indexed="12"/>
      </top>
      <bottom style="thick">
        <color indexed="12"/>
      </bottom>
      <diagonal/>
    </border>
    <border>
      <left style="thick">
        <color indexed="64"/>
      </left>
      <right/>
      <top/>
      <bottom style="thick">
        <color indexed="64"/>
      </bottom>
      <diagonal/>
    </border>
    <border>
      <left/>
      <right/>
      <top/>
      <bottom style="thick">
        <color indexed="64"/>
      </bottom>
      <diagonal/>
    </border>
    <border>
      <left/>
      <right style="thick">
        <color indexed="64"/>
      </right>
      <top/>
      <bottom style="thick">
        <color indexed="64"/>
      </bottom>
      <diagonal/>
    </border>
    <border>
      <left/>
      <right style="thin">
        <color indexed="64"/>
      </right>
      <top style="thin">
        <color indexed="64"/>
      </top>
      <bottom/>
      <diagonal/>
    </border>
    <border>
      <left/>
      <right style="thick">
        <color theme="1"/>
      </right>
      <top/>
      <bottom style="thin">
        <color indexed="64"/>
      </bottom>
      <diagonal/>
    </border>
    <border>
      <left/>
      <right/>
      <top style="thick">
        <color indexed="12"/>
      </top>
      <bottom style="thin">
        <color indexed="64"/>
      </bottom>
      <diagonal/>
    </border>
    <border>
      <left/>
      <right/>
      <top style="medium">
        <color indexed="12"/>
      </top>
      <bottom style="thin">
        <color indexed="64"/>
      </bottom>
      <diagonal/>
    </border>
    <border>
      <left style="thick">
        <color theme="1"/>
      </left>
      <right/>
      <top style="medium">
        <color indexed="12"/>
      </top>
      <bottom style="medium">
        <color indexed="12"/>
      </bottom>
      <diagonal/>
    </border>
    <border>
      <left/>
      <right/>
      <top style="thin">
        <color indexed="64"/>
      </top>
      <bottom/>
      <diagonal/>
    </border>
    <border>
      <left style="medium">
        <color rgb="FF0000FF"/>
      </left>
      <right/>
      <top style="medium">
        <color rgb="FF0000FF"/>
      </top>
      <bottom/>
      <diagonal/>
    </border>
    <border>
      <left style="medium">
        <color rgb="FF0000FF"/>
      </left>
      <right/>
      <top/>
      <bottom/>
      <diagonal/>
    </border>
    <border>
      <left/>
      <right style="medium">
        <color rgb="FF0000FF"/>
      </right>
      <top/>
      <bottom/>
      <diagonal/>
    </border>
    <border>
      <left/>
      <right style="thick">
        <color theme="1"/>
      </right>
      <top style="medium">
        <color indexed="12"/>
      </top>
      <bottom/>
      <diagonal/>
    </border>
    <border>
      <left style="thick">
        <color indexed="64"/>
      </left>
      <right/>
      <top style="medium">
        <color rgb="FF0000FF"/>
      </top>
      <bottom/>
      <diagonal/>
    </border>
    <border>
      <left/>
      <right style="thick">
        <color indexed="64"/>
      </right>
      <top style="medium">
        <color rgb="FF0000FF"/>
      </top>
      <bottom/>
      <diagonal/>
    </border>
    <border>
      <left style="thick">
        <color indexed="64"/>
      </left>
      <right/>
      <top style="medium">
        <color indexed="64"/>
      </top>
      <bottom style="medium">
        <color indexed="64"/>
      </bottom>
      <diagonal/>
    </border>
    <border>
      <left/>
      <right/>
      <top style="thick">
        <color indexed="12"/>
      </top>
      <bottom/>
      <diagonal/>
    </border>
    <border>
      <left/>
      <right/>
      <top style="thick">
        <color theme="1"/>
      </top>
      <bottom style="medium">
        <color rgb="FF0000FF"/>
      </bottom>
      <diagonal/>
    </border>
    <border>
      <left/>
      <right/>
      <top style="thick">
        <color theme="1"/>
      </top>
      <bottom style="thick">
        <color rgb="FF0000FF"/>
      </bottom>
      <diagonal/>
    </border>
    <border>
      <left/>
      <right/>
      <top/>
      <bottom style="medium">
        <color auto="1"/>
      </bottom>
      <diagonal/>
    </border>
    <border>
      <left style="thin">
        <color theme="0" tint="-0.34998626667073579"/>
      </left>
      <right/>
      <top style="medium">
        <color indexed="64"/>
      </top>
      <bottom/>
      <diagonal/>
    </border>
    <border>
      <left style="thin">
        <color theme="0" tint="-0.34998626667073579"/>
      </left>
      <right/>
      <top style="thin">
        <color theme="0" tint="-0.34998626667073579"/>
      </top>
      <bottom/>
      <diagonal/>
    </border>
    <border>
      <left/>
      <right/>
      <top style="thick">
        <color indexed="12"/>
      </top>
      <bottom style="thick">
        <color indexed="12"/>
      </bottom>
      <diagonal/>
    </border>
    <border>
      <left style="medium">
        <color indexed="64"/>
      </left>
      <right/>
      <top/>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right style="thick">
        <color indexed="64"/>
      </right>
      <top/>
      <bottom style="medium">
        <color indexed="64"/>
      </bottom>
      <diagonal/>
    </border>
    <border>
      <left/>
      <right style="thick">
        <color indexed="64"/>
      </right>
      <top style="medium">
        <color indexed="64"/>
      </top>
      <bottom style="medium">
        <color indexed="64"/>
      </bottom>
      <diagonal/>
    </border>
    <border>
      <left style="medium">
        <color indexed="64"/>
      </left>
      <right/>
      <top style="medium">
        <color indexed="64"/>
      </top>
      <bottom style="thick">
        <color indexed="64"/>
      </bottom>
      <diagonal/>
    </border>
    <border>
      <left/>
      <right/>
      <top style="medium">
        <color indexed="64"/>
      </top>
      <bottom style="thick">
        <color indexed="64"/>
      </bottom>
      <diagonal/>
    </border>
    <border>
      <left/>
      <right style="thick">
        <color indexed="64"/>
      </right>
      <top style="medium">
        <color indexed="64"/>
      </top>
      <bottom style="thick">
        <color indexed="64"/>
      </bottom>
      <diagonal/>
    </border>
    <border>
      <left style="thick">
        <color indexed="64"/>
      </left>
      <right/>
      <top style="medium">
        <color indexed="64"/>
      </top>
      <bottom style="thick">
        <color indexed="64"/>
      </bottom>
      <diagonal/>
    </border>
    <border>
      <left style="thick">
        <color indexed="64"/>
      </left>
      <right/>
      <top style="thick">
        <color indexed="64"/>
      </top>
      <bottom style="thick">
        <color indexed="64"/>
      </bottom>
      <diagonal/>
    </border>
    <border>
      <left/>
      <right/>
      <top style="thick">
        <color indexed="64"/>
      </top>
      <bottom style="thick">
        <color indexed="64"/>
      </bottom>
      <diagonal/>
    </border>
    <border>
      <left/>
      <right style="thick">
        <color indexed="64"/>
      </right>
      <top style="thick">
        <color indexed="64"/>
      </top>
      <bottom style="thick">
        <color indexed="64"/>
      </bottom>
      <diagonal/>
    </border>
    <border>
      <left style="medium">
        <color indexed="64"/>
      </left>
      <right/>
      <top style="dotted">
        <color indexed="64"/>
      </top>
      <bottom style="thin">
        <color indexed="64"/>
      </bottom>
      <diagonal/>
    </border>
    <border>
      <left/>
      <right/>
      <top style="dotted">
        <color indexed="64"/>
      </top>
      <bottom style="thin">
        <color indexed="64"/>
      </bottom>
      <diagonal/>
    </border>
    <border>
      <left/>
      <right style="medium">
        <color auto="1"/>
      </right>
      <top style="dotted">
        <color indexed="64"/>
      </top>
      <bottom style="thin">
        <color indexed="64"/>
      </bottom>
      <diagonal/>
    </border>
    <border>
      <left style="medium">
        <color auto="1"/>
      </left>
      <right/>
      <top style="thin">
        <color indexed="64"/>
      </top>
      <bottom style="dotted">
        <color auto="1"/>
      </bottom>
      <diagonal/>
    </border>
    <border>
      <left/>
      <right/>
      <top style="thin">
        <color indexed="64"/>
      </top>
      <bottom style="dotted">
        <color auto="1"/>
      </bottom>
      <diagonal/>
    </border>
    <border>
      <left/>
      <right style="medium">
        <color auto="1"/>
      </right>
      <top style="thin">
        <color indexed="64"/>
      </top>
      <bottom style="dotted">
        <color auto="1"/>
      </bottom>
      <diagonal/>
    </border>
    <border>
      <left style="dotted">
        <color theme="1" tint="0.34998626667073579"/>
      </left>
      <right/>
      <top style="medium">
        <color indexed="64"/>
      </top>
      <bottom/>
      <diagonal/>
    </border>
    <border>
      <left/>
      <right style="dotted">
        <color theme="1" tint="0.34998626667073579"/>
      </right>
      <top style="medium">
        <color indexed="64"/>
      </top>
      <bottom/>
      <diagonal/>
    </border>
    <border>
      <left style="dotted">
        <color theme="1" tint="0.34998626667073579"/>
      </left>
      <right/>
      <top/>
      <bottom/>
      <diagonal/>
    </border>
    <border>
      <left style="dotted">
        <color theme="1" tint="0.34998626667073579"/>
      </left>
      <right/>
      <top/>
      <bottom style="dotted">
        <color theme="1" tint="0.34998626667073579"/>
      </bottom>
      <diagonal/>
    </border>
    <border>
      <left/>
      <right/>
      <top/>
      <bottom style="dotted">
        <color theme="1" tint="0.34998626667073579"/>
      </bottom>
      <diagonal/>
    </border>
    <border>
      <left/>
      <right style="dotted">
        <color theme="1" tint="0.34998626667073579"/>
      </right>
      <top/>
      <bottom style="dotted">
        <color theme="1" tint="0.34998626667073579"/>
      </bottom>
      <diagonal/>
    </border>
    <border>
      <left style="double">
        <color indexed="64"/>
      </left>
      <right style="thin">
        <color indexed="64"/>
      </right>
      <top style="thin">
        <color indexed="64"/>
      </top>
      <bottom style="medium">
        <color indexed="64"/>
      </bottom>
      <diagonal/>
    </border>
    <border>
      <left style="thin">
        <color indexed="64"/>
      </left>
      <right style="dotted">
        <color indexed="64"/>
      </right>
      <top style="dotted">
        <color auto="1"/>
      </top>
      <bottom/>
      <diagonal/>
    </border>
    <border>
      <left style="thick">
        <color indexed="64"/>
      </left>
      <right style="medium">
        <color indexed="12"/>
      </right>
      <top style="thick">
        <color indexed="64"/>
      </top>
      <bottom/>
      <diagonal/>
    </border>
    <border>
      <left style="medium">
        <color indexed="12"/>
      </left>
      <right/>
      <top style="thick">
        <color indexed="64"/>
      </top>
      <bottom/>
      <diagonal/>
    </border>
    <border>
      <left style="medium">
        <color indexed="64"/>
      </left>
      <right/>
      <top style="thick">
        <color indexed="64"/>
      </top>
      <bottom/>
      <diagonal/>
    </border>
    <border>
      <left/>
      <right style="medium">
        <color indexed="64"/>
      </right>
      <top style="thick">
        <color indexed="64"/>
      </top>
      <bottom/>
      <diagonal/>
    </border>
    <border>
      <left style="thick">
        <color indexed="64"/>
      </left>
      <right style="medium">
        <color indexed="12"/>
      </right>
      <top/>
      <bottom/>
      <diagonal/>
    </border>
    <border>
      <left style="thick">
        <color indexed="64"/>
      </left>
      <right style="medium">
        <color indexed="12"/>
      </right>
      <top style="medium">
        <color indexed="12"/>
      </top>
      <bottom style="medium">
        <color indexed="12"/>
      </bottom>
      <diagonal/>
    </border>
    <border>
      <left/>
      <right style="thick">
        <color indexed="64"/>
      </right>
      <top style="thick">
        <color indexed="12"/>
      </top>
      <bottom/>
      <diagonal/>
    </border>
    <border>
      <left/>
      <right style="thick">
        <color indexed="64"/>
      </right>
      <top/>
      <bottom style="medium">
        <color indexed="12"/>
      </bottom>
      <diagonal/>
    </border>
    <border>
      <left/>
      <right style="thick">
        <color indexed="64"/>
      </right>
      <top style="medium">
        <color indexed="12"/>
      </top>
      <bottom/>
      <diagonal/>
    </border>
    <border>
      <left style="thick">
        <color indexed="64"/>
      </left>
      <right/>
      <top style="thick">
        <color indexed="12"/>
      </top>
      <bottom/>
      <diagonal/>
    </border>
    <border>
      <left style="medium">
        <color indexed="12"/>
      </left>
      <right/>
      <top style="thick">
        <color indexed="64"/>
      </top>
      <bottom style="medium">
        <color indexed="12"/>
      </bottom>
      <diagonal/>
    </border>
    <border>
      <left/>
      <right/>
      <top style="thick">
        <color indexed="64"/>
      </top>
      <bottom style="medium">
        <color indexed="12"/>
      </bottom>
      <diagonal/>
    </border>
    <border>
      <left style="medium">
        <color indexed="64"/>
      </left>
      <right style="medium">
        <color indexed="64"/>
      </right>
      <top style="thick">
        <color indexed="64"/>
      </top>
      <bottom/>
      <diagonal/>
    </border>
    <border>
      <left/>
      <right style="medium">
        <color indexed="12"/>
      </right>
      <top style="thick">
        <color indexed="64"/>
      </top>
      <bottom/>
      <diagonal/>
    </border>
    <border>
      <left style="thick">
        <color indexed="64"/>
      </left>
      <right style="medium">
        <color indexed="12"/>
      </right>
      <top/>
      <bottom style="medium">
        <color indexed="12"/>
      </bottom>
      <diagonal/>
    </border>
    <border>
      <left/>
      <right style="thick">
        <color indexed="64"/>
      </right>
      <top style="medium">
        <color indexed="12"/>
      </top>
      <bottom style="medium">
        <color indexed="12"/>
      </bottom>
      <diagonal/>
    </border>
    <border>
      <left style="medium">
        <color rgb="FF0000FF"/>
      </left>
      <right/>
      <top/>
      <bottom style="thick">
        <color indexed="12"/>
      </bottom>
      <diagonal/>
    </border>
    <border>
      <left/>
      <right style="thick">
        <color indexed="12"/>
      </right>
      <top/>
      <bottom/>
      <diagonal/>
    </border>
    <border>
      <left/>
      <right style="thick">
        <color indexed="12"/>
      </right>
      <top style="medium">
        <color rgb="FF0000FF"/>
      </top>
      <bottom/>
      <diagonal/>
    </border>
    <border>
      <left/>
      <right style="medium">
        <color indexed="64"/>
      </right>
      <top style="thick">
        <color indexed="64"/>
      </top>
      <bottom style="medium">
        <color indexed="64"/>
      </bottom>
      <diagonal/>
    </border>
    <border>
      <left style="medium">
        <color indexed="64"/>
      </left>
      <right/>
      <top style="thick">
        <color indexed="64"/>
      </top>
      <bottom style="medium">
        <color indexed="64"/>
      </bottom>
      <diagonal/>
    </border>
    <border>
      <left/>
      <right style="thick">
        <color indexed="64"/>
      </right>
      <top style="thick">
        <color indexed="64"/>
      </top>
      <bottom style="medium">
        <color indexed="64"/>
      </bottom>
      <diagonal/>
    </border>
    <border>
      <left style="thick">
        <color indexed="64"/>
      </left>
      <right/>
      <top style="medium">
        <color indexed="64"/>
      </top>
      <bottom/>
      <diagonal/>
    </border>
    <border>
      <left/>
      <right style="thick">
        <color indexed="64"/>
      </right>
      <top style="medium">
        <color indexed="64"/>
      </top>
      <bottom/>
      <diagonal/>
    </border>
    <border>
      <left/>
      <right style="medium">
        <color indexed="64"/>
      </right>
      <top style="thick">
        <color indexed="64"/>
      </top>
      <bottom style="thick">
        <color indexed="64"/>
      </bottom>
      <diagonal/>
    </border>
    <border>
      <left style="medium">
        <color indexed="64"/>
      </left>
      <right/>
      <top style="thick">
        <color indexed="64"/>
      </top>
      <bottom style="thick">
        <color indexed="64"/>
      </bottom>
      <diagonal/>
    </border>
    <border>
      <left/>
      <right style="medium">
        <color indexed="64"/>
      </right>
      <top style="medium">
        <color indexed="64"/>
      </top>
      <bottom style="thick">
        <color indexed="64"/>
      </bottom>
      <diagonal/>
    </border>
    <border>
      <left style="thick">
        <color indexed="64"/>
      </left>
      <right style="medium">
        <color indexed="64"/>
      </right>
      <top/>
      <bottom/>
      <diagonal/>
    </border>
    <border>
      <left/>
      <right style="thick">
        <color auto="1"/>
      </right>
      <top/>
      <bottom/>
      <diagonal/>
    </border>
  </borders>
  <cellStyleXfs count="14">
    <xf numFmtId="0" fontId="0" fillId="0" borderId="0"/>
    <xf numFmtId="0" fontId="21" fillId="0" borderId="0"/>
    <xf numFmtId="0" fontId="18" fillId="0" borderId="0"/>
    <xf numFmtId="0" fontId="17" fillId="0" borderId="0"/>
    <xf numFmtId="0" fontId="16" fillId="0" borderId="0"/>
    <xf numFmtId="0" fontId="3" fillId="0" borderId="0"/>
    <xf numFmtId="0" fontId="2" fillId="0" borderId="0"/>
    <xf numFmtId="0" fontId="211" fillId="0" borderId="0" applyNumberFormat="0" applyFill="0" applyBorder="0" applyProtection="0">
      <alignment vertical="top"/>
    </xf>
    <xf numFmtId="0" fontId="1" fillId="0" borderId="0"/>
    <xf numFmtId="0" fontId="1" fillId="0" borderId="0"/>
    <xf numFmtId="0" fontId="1" fillId="0" borderId="0"/>
    <xf numFmtId="0" fontId="1" fillId="0" borderId="0"/>
    <xf numFmtId="0" fontId="1" fillId="0" borderId="0"/>
    <xf numFmtId="0" fontId="1" fillId="0" borderId="0"/>
  </cellStyleXfs>
  <cellXfs count="3534">
    <xf numFmtId="0" fontId="0" fillId="0" borderId="0" xfId="0"/>
    <xf numFmtId="0" fontId="30" fillId="0" borderId="0" xfId="0" applyFont="1"/>
    <xf numFmtId="0" fontId="31" fillId="0" borderId="0" xfId="0" applyFont="1" applyAlignment="1">
      <alignment vertical="center" wrapText="1"/>
    </xf>
    <xf numFmtId="0" fontId="44" fillId="0" borderId="0" xfId="0" applyFont="1" applyAlignment="1">
      <alignment vertical="center" textRotation="255"/>
    </xf>
    <xf numFmtId="0" fontId="27" fillId="0" borderId="0" xfId="0" applyFont="1" applyAlignment="1">
      <alignment vertical="center"/>
    </xf>
    <xf numFmtId="0" fontId="0" fillId="0" borderId="33" xfId="0" applyBorder="1"/>
    <xf numFmtId="0" fontId="0" fillId="0" borderId="30" xfId="0" applyBorder="1"/>
    <xf numFmtId="0" fontId="0" fillId="0" borderId="34" xfId="0" applyBorder="1"/>
    <xf numFmtId="0" fontId="0" fillId="0" borderId="25" xfId="0" applyBorder="1"/>
    <xf numFmtId="0" fontId="0" fillId="0" borderId="26" xfId="0" applyBorder="1"/>
    <xf numFmtId="2" fontId="43" fillId="0" borderId="26" xfId="0" applyNumberFormat="1" applyFont="1" applyBorder="1" applyAlignment="1">
      <alignment vertical="center"/>
    </xf>
    <xf numFmtId="0" fontId="43" fillId="0" borderId="0" xfId="0" applyFont="1" applyAlignment="1">
      <alignment horizontal="center" vertical="top"/>
    </xf>
    <xf numFmtId="0" fontId="0" fillId="0" borderId="18" xfId="0" applyBorder="1"/>
    <xf numFmtId="0" fontId="0" fillId="0" borderId="32" xfId="0" applyBorder="1"/>
    <xf numFmtId="0" fontId="0" fillId="0" borderId="21" xfId="0" applyBorder="1"/>
    <xf numFmtId="0" fontId="0" fillId="0" borderId="27" xfId="0" applyBorder="1"/>
    <xf numFmtId="0" fontId="0" fillId="0" borderId="28" xfId="0" applyBorder="1"/>
    <xf numFmtId="0" fontId="0" fillId="0" borderId="29" xfId="0" applyBorder="1"/>
    <xf numFmtId="2" fontId="0" fillId="0" borderId="0" xfId="0" applyNumberFormat="1"/>
    <xf numFmtId="0" fontId="43" fillId="0" borderId="25" xfId="0" applyFont="1" applyBorder="1" applyAlignment="1">
      <alignment horizontal="center" vertical="top"/>
    </xf>
    <xf numFmtId="0" fontId="43" fillId="0" borderId="26" xfId="0" applyFont="1" applyBorder="1" applyAlignment="1">
      <alignment horizontal="center" vertical="top"/>
    </xf>
    <xf numFmtId="0" fontId="27" fillId="0" borderId="25" xfId="0" applyFont="1" applyBorder="1" applyAlignment="1">
      <alignment vertical="center"/>
    </xf>
    <xf numFmtId="0" fontId="52" fillId="0" borderId="0" xfId="0" applyFont="1" applyAlignment="1">
      <alignment vertical="center"/>
    </xf>
    <xf numFmtId="0" fontId="49" fillId="0" borderId="0" xfId="0" applyFont="1" applyAlignment="1">
      <alignment vertical="center" wrapText="1"/>
    </xf>
    <xf numFmtId="2" fontId="40" fillId="0" borderId="0" xfId="0" applyNumberFormat="1" applyFont="1" applyAlignment="1">
      <alignment vertical="center"/>
    </xf>
    <xf numFmtId="2" fontId="51" fillId="0" borderId="0" xfId="0" applyNumberFormat="1" applyFont="1" applyAlignment="1">
      <alignment vertical="center"/>
    </xf>
    <xf numFmtId="0" fontId="0" fillId="0" borderId="0" xfId="0" applyAlignment="1">
      <alignment vertical="center" wrapText="1"/>
    </xf>
    <xf numFmtId="0" fontId="28" fillId="0" borderId="0" xfId="0" applyFont="1" applyAlignment="1">
      <alignment vertical="center" wrapText="1"/>
    </xf>
    <xf numFmtId="0" fontId="31" fillId="0" borderId="0" xfId="0" applyFont="1" applyAlignment="1">
      <alignment vertical="top" wrapText="1"/>
    </xf>
    <xf numFmtId="0" fontId="56" fillId="0" borderId="0" xfId="0" applyFont="1"/>
    <xf numFmtId="0" fontId="21" fillId="0" borderId="0" xfId="1" applyAlignment="1">
      <alignment horizontal="center"/>
    </xf>
    <xf numFmtId="0" fontId="21" fillId="0" borderId="0" xfId="1" applyAlignment="1">
      <alignment horizontal="center" vertical="center"/>
    </xf>
    <xf numFmtId="0" fontId="63" fillId="0" borderId="0" xfId="1" applyFont="1" applyAlignment="1">
      <alignment horizontal="center" vertical="center" wrapText="1"/>
    </xf>
    <xf numFmtId="0" fontId="21" fillId="0" borderId="33" xfId="1" applyBorder="1" applyAlignment="1">
      <alignment horizontal="center"/>
    </xf>
    <xf numFmtId="0" fontId="63" fillId="0" borderId="30" xfId="1" applyFont="1" applyBorder="1" applyAlignment="1">
      <alignment horizontal="center" vertical="center" wrapText="1"/>
    </xf>
    <xf numFmtId="0" fontId="21" fillId="0" borderId="30" xfId="1" applyBorder="1" applyAlignment="1">
      <alignment horizontal="center"/>
    </xf>
    <xf numFmtId="0" fontId="21" fillId="0" borderId="34" xfId="1" applyBorder="1" applyAlignment="1">
      <alignment horizontal="center"/>
    </xf>
    <xf numFmtId="0" fontId="21" fillId="0" borderId="25" xfId="1" applyBorder="1" applyAlignment="1">
      <alignment horizontal="center"/>
    </xf>
    <xf numFmtId="0" fontId="21" fillId="0" borderId="26" xfId="1" applyBorder="1" applyAlignment="1">
      <alignment horizontal="center"/>
    </xf>
    <xf numFmtId="0" fontId="21" fillId="0" borderId="21" xfId="1" applyBorder="1" applyAlignment="1">
      <alignment horizontal="center"/>
    </xf>
    <xf numFmtId="0" fontId="21" fillId="0" borderId="14" xfId="1" applyBorder="1" applyAlignment="1">
      <alignment horizontal="center"/>
    </xf>
    <xf numFmtId="2" fontId="21" fillId="4" borderId="14" xfId="1" applyNumberFormat="1" applyFill="1" applyBorder="1" applyAlignment="1">
      <alignment horizontal="center"/>
    </xf>
    <xf numFmtId="0" fontId="21" fillId="0" borderId="0" xfId="1"/>
    <xf numFmtId="0" fontId="70" fillId="0" borderId="0" xfId="1" applyFont="1"/>
    <xf numFmtId="0" fontId="61" fillId="0" borderId="14" xfId="1" applyFont="1" applyBorder="1" applyAlignment="1">
      <alignment horizontal="center"/>
    </xf>
    <xf numFmtId="0" fontId="75" fillId="0" borderId="0" xfId="1" applyFont="1" applyAlignment="1">
      <alignment horizontal="center"/>
    </xf>
    <xf numFmtId="0" fontId="76" fillId="0" borderId="14" xfId="1" applyFont="1" applyBorder="1" applyAlignment="1">
      <alignment horizontal="center"/>
    </xf>
    <xf numFmtId="0" fontId="57" fillId="0" borderId="0" xfId="1" applyFont="1" applyAlignment="1">
      <alignment horizontal="center"/>
    </xf>
    <xf numFmtId="1" fontId="77" fillId="0" borderId="14" xfId="1" applyNumberFormat="1" applyFont="1" applyBorder="1" applyAlignment="1">
      <alignment horizontal="center"/>
    </xf>
    <xf numFmtId="2" fontId="21" fillId="0" borderId="14" xfId="1" applyNumberFormat="1" applyBorder="1" applyAlignment="1">
      <alignment horizontal="center"/>
    </xf>
    <xf numFmtId="2" fontId="77" fillId="0" borderId="14" xfId="1" applyNumberFormat="1" applyFont="1" applyBorder="1" applyAlignment="1">
      <alignment horizontal="center"/>
    </xf>
    <xf numFmtId="2" fontId="61" fillId="0" borderId="14" xfId="1" applyNumberFormat="1" applyFont="1" applyBorder="1" applyAlignment="1">
      <alignment horizontal="center"/>
    </xf>
    <xf numFmtId="2" fontId="57" fillId="0" borderId="14" xfId="1" applyNumberFormat="1" applyFont="1" applyBorder="1" applyAlignment="1">
      <alignment horizontal="center"/>
    </xf>
    <xf numFmtId="0" fontId="21" fillId="0" borderId="54" xfId="1" applyBorder="1"/>
    <xf numFmtId="0" fontId="21" fillId="0" borderId="55" xfId="1" applyBorder="1"/>
    <xf numFmtId="0" fontId="21" fillId="0" borderId="56" xfId="1" applyBorder="1"/>
    <xf numFmtId="0" fontId="21" fillId="0" borderId="57" xfId="1" applyBorder="1"/>
    <xf numFmtId="0" fontId="21" fillId="0" borderId="58" xfId="1" applyBorder="1"/>
    <xf numFmtId="0" fontId="21" fillId="0" borderId="60" xfId="1" applyBorder="1"/>
    <xf numFmtId="0" fontId="21" fillId="0" borderId="61" xfId="1" applyBorder="1"/>
    <xf numFmtId="0" fontId="21" fillId="0" borderId="62" xfId="1" applyBorder="1"/>
    <xf numFmtId="0" fontId="21" fillId="0" borderId="63" xfId="1" applyBorder="1"/>
    <xf numFmtId="0" fontId="21" fillId="0" borderId="64" xfId="1" applyBorder="1"/>
    <xf numFmtId="0" fontId="63" fillId="0" borderId="25" xfId="1" applyFont="1" applyBorder="1" applyAlignment="1">
      <alignment horizontal="center" vertical="center" wrapText="1"/>
    </xf>
    <xf numFmtId="0" fontId="83" fillId="0" borderId="0" xfId="1" applyFont="1" applyAlignment="1">
      <alignment horizontal="left"/>
    </xf>
    <xf numFmtId="0" fontId="21" fillId="0" borderId="65" xfId="1" applyBorder="1"/>
    <xf numFmtId="0" fontId="21" fillId="0" borderId="66" xfId="1" applyBorder="1"/>
    <xf numFmtId="0" fontId="21" fillId="0" borderId="67" xfId="1" applyBorder="1"/>
    <xf numFmtId="0" fontId="21" fillId="0" borderId="68" xfId="1" applyBorder="1"/>
    <xf numFmtId="0" fontId="21" fillId="0" borderId="69" xfId="1" applyBorder="1"/>
    <xf numFmtId="0" fontId="84" fillId="0" borderId="0" xfId="1" applyFont="1" applyAlignment="1">
      <alignment horizontal="left"/>
    </xf>
    <xf numFmtId="0" fontId="21" fillId="0" borderId="71" xfId="1" applyBorder="1"/>
    <xf numFmtId="0" fontId="21" fillId="0" borderId="72" xfId="1" applyBorder="1"/>
    <xf numFmtId="0" fontId="21" fillId="0" borderId="73" xfId="1" applyBorder="1"/>
    <xf numFmtId="0" fontId="21" fillId="0" borderId="74" xfId="1" applyBorder="1"/>
    <xf numFmtId="0" fontId="21" fillId="0" borderId="75" xfId="1" applyBorder="1"/>
    <xf numFmtId="0" fontId="21" fillId="0" borderId="76" xfId="1" applyBorder="1" applyAlignment="1">
      <alignment horizontal="center"/>
    </xf>
    <xf numFmtId="0" fontId="85" fillId="0" borderId="21" xfId="1" applyFont="1" applyBorder="1" applyAlignment="1">
      <alignment horizontal="center"/>
    </xf>
    <xf numFmtId="0" fontId="85" fillId="0" borderId="14" xfId="1" applyFont="1" applyBorder="1" applyAlignment="1">
      <alignment horizontal="center"/>
    </xf>
    <xf numFmtId="0" fontId="21" fillId="2" borderId="77" xfId="1" applyFill="1" applyBorder="1" applyAlignment="1">
      <alignment horizontal="center"/>
    </xf>
    <xf numFmtId="0" fontId="83" fillId="2" borderId="14" xfId="1" applyFont="1" applyFill="1" applyBorder="1" applyAlignment="1">
      <alignment horizontal="center"/>
    </xf>
    <xf numFmtId="0" fontId="59" fillId="0" borderId="0" xfId="1" applyFont="1" applyAlignment="1">
      <alignment horizontal="center"/>
    </xf>
    <xf numFmtId="0" fontId="21" fillId="2" borderId="78" xfId="1" applyFill="1" applyBorder="1" applyAlignment="1">
      <alignment horizontal="center"/>
    </xf>
    <xf numFmtId="0" fontId="62" fillId="0" borderId="0" xfId="1" applyFont="1" applyAlignment="1">
      <alignment vertical="center" wrapText="1"/>
    </xf>
    <xf numFmtId="0" fontId="61" fillId="0" borderId="0" xfId="1" applyFont="1" applyAlignment="1">
      <alignment horizontal="left" vertical="center" wrapText="1"/>
    </xf>
    <xf numFmtId="0" fontId="61" fillId="0" borderId="0" xfId="1" applyFont="1" applyAlignment="1">
      <alignment horizontal="left"/>
    </xf>
    <xf numFmtId="0" fontId="61" fillId="2" borderId="14" xfId="1" applyFont="1" applyFill="1" applyBorder="1" applyAlignment="1">
      <alignment horizontal="center"/>
    </xf>
    <xf numFmtId="2" fontId="86" fillId="0" borderId="14" xfId="1" applyNumberFormat="1" applyFont="1" applyBorder="1" applyAlignment="1">
      <alignment horizontal="center"/>
    </xf>
    <xf numFmtId="0" fontId="21" fillId="0" borderId="79" xfId="1" applyBorder="1"/>
    <xf numFmtId="0" fontId="21" fillId="0" borderId="80" xfId="1" applyBorder="1"/>
    <xf numFmtId="0" fontId="21" fillId="0" borderId="81" xfId="1" applyBorder="1"/>
    <xf numFmtId="0" fontId="21" fillId="0" borderId="82" xfId="1" applyBorder="1"/>
    <xf numFmtId="0" fontId="21" fillId="0" borderId="83" xfId="1" applyBorder="1"/>
    <xf numFmtId="0" fontId="21" fillId="0" borderId="27" xfId="1" applyBorder="1" applyAlignment="1">
      <alignment horizontal="center"/>
    </xf>
    <xf numFmtId="0" fontId="21" fillId="0" borderId="28" xfId="1" applyBorder="1" applyAlignment="1">
      <alignment horizontal="center"/>
    </xf>
    <xf numFmtId="0" fontId="21" fillId="0" borderId="29" xfId="1" applyBorder="1" applyAlignment="1">
      <alignment horizontal="center"/>
    </xf>
    <xf numFmtId="0" fontId="21" fillId="0" borderId="9" xfId="1" applyBorder="1" applyAlignment="1" applyProtection="1">
      <alignment vertical="top" wrapText="1"/>
      <protection locked="0"/>
    </xf>
    <xf numFmtId="0" fontId="21" fillId="0" borderId="9" xfId="1" applyBorder="1"/>
    <xf numFmtId="0" fontId="21" fillId="0" borderId="7" xfId="1" applyBorder="1"/>
    <xf numFmtId="0" fontId="64" fillId="0" borderId="0" xfId="1" applyFont="1" applyAlignment="1">
      <alignment horizontal="left" vertical="center"/>
    </xf>
    <xf numFmtId="0" fontId="63" fillId="0" borderId="26" xfId="1" applyFont="1" applyBorder="1" applyAlignment="1">
      <alignment horizontal="center" vertical="center" wrapText="1"/>
    </xf>
    <xf numFmtId="0" fontId="70" fillId="0" borderId="26" xfId="1" applyFont="1" applyBorder="1"/>
    <xf numFmtId="0" fontId="21" fillId="0" borderId="26" xfId="1" applyBorder="1" applyAlignment="1">
      <alignment horizontal="left"/>
    </xf>
    <xf numFmtId="0" fontId="62" fillId="0" borderId="26" xfId="1" applyFont="1" applyBorder="1" applyAlignment="1">
      <alignment vertical="center" wrapText="1"/>
    </xf>
    <xf numFmtId="0" fontId="21" fillId="0" borderId="9" xfId="1" applyBorder="1" applyAlignment="1">
      <alignment horizontal="center"/>
    </xf>
    <xf numFmtId="0" fontId="21" fillId="0" borderId="12" xfId="1" applyBorder="1"/>
    <xf numFmtId="0" fontId="27" fillId="0" borderId="4" xfId="0" applyFont="1" applyBorder="1" applyAlignment="1">
      <alignment vertical="center"/>
    </xf>
    <xf numFmtId="0" fontId="0" fillId="0" borderId="0" xfId="0" applyAlignment="1">
      <alignment vertical="top" wrapText="1"/>
    </xf>
    <xf numFmtId="0" fontId="95" fillId="0" borderId="0" xfId="0" applyFont="1" applyAlignment="1">
      <alignment vertical="center" wrapText="1"/>
    </xf>
    <xf numFmtId="0" fontId="24" fillId="0" borderId="0" xfId="0" applyFont="1" applyAlignment="1">
      <alignment vertical="center"/>
    </xf>
    <xf numFmtId="0" fontId="19" fillId="0" borderId="0" xfId="1" applyFont="1" applyAlignment="1">
      <alignment horizontal="center"/>
    </xf>
    <xf numFmtId="2" fontId="21" fillId="0" borderId="14" xfId="1" applyNumberFormat="1" applyBorder="1" applyAlignment="1">
      <alignment horizontal="center" vertical="center"/>
    </xf>
    <xf numFmtId="0" fontId="0" fillId="0" borderId="0" xfId="0" applyAlignment="1">
      <alignment horizontal="center"/>
    </xf>
    <xf numFmtId="0" fontId="0" fillId="0" borderId="14" xfId="0" applyBorder="1" applyAlignment="1">
      <alignment horizontal="center"/>
    </xf>
    <xf numFmtId="18" fontId="0" fillId="0" borderId="0" xfId="0" applyNumberFormat="1"/>
    <xf numFmtId="49" fontId="0" fillId="0" borderId="0" xfId="0" applyNumberFormat="1"/>
    <xf numFmtId="0" fontId="0" fillId="0" borderId="15" xfId="0" applyBorder="1" applyAlignment="1">
      <alignment horizontal="center"/>
    </xf>
    <xf numFmtId="0" fontId="0" fillId="0" borderId="19" xfId="0" applyBorder="1" applyAlignment="1">
      <alignment horizontal="center"/>
    </xf>
    <xf numFmtId="0" fontId="0" fillId="0" borderId="18" xfId="0" applyBorder="1" applyAlignment="1">
      <alignment horizontal="center"/>
    </xf>
    <xf numFmtId="0" fontId="0" fillId="0" borderId="96" xfId="0" applyBorder="1" applyAlignment="1">
      <alignment horizontal="center"/>
    </xf>
    <xf numFmtId="2" fontId="61" fillId="0" borderId="14" xfId="2" applyNumberFormat="1" applyFont="1" applyBorder="1" applyAlignment="1">
      <alignment horizontal="center"/>
    </xf>
    <xf numFmtId="2" fontId="61" fillId="0" borderId="96" xfId="2" applyNumberFormat="1" applyFont="1" applyBorder="1" applyAlignment="1">
      <alignment horizontal="center"/>
    </xf>
    <xf numFmtId="2" fontId="61" fillId="0" borderId="15" xfId="2" applyNumberFormat="1" applyFont="1" applyBorder="1" applyAlignment="1">
      <alignment horizontal="center"/>
    </xf>
    <xf numFmtId="2" fontId="61" fillId="0" borderId="47" xfId="2" applyNumberFormat="1" applyFont="1" applyBorder="1" applyAlignment="1">
      <alignment horizontal="center"/>
    </xf>
    <xf numFmtId="49" fontId="0" fillId="0" borderId="14" xfId="0" applyNumberFormat="1" applyBorder="1"/>
    <xf numFmtId="49" fontId="0" fillId="0" borderId="19" xfId="0" applyNumberFormat="1" applyBorder="1"/>
    <xf numFmtId="49" fontId="0" fillId="0" borderId="96" xfId="0" applyNumberFormat="1" applyBorder="1"/>
    <xf numFmtId="0" fontId="0" fillId="0" borderId="9" xfId="0" applyBorder="1" applyAlignment="1">
      <alignment horizontal="center"/>
    </xf>
    <xf numFmtId="0" fontId="63" fillId="0" borderId="27" xfId="2" quotePrefix="1" applyFont="1" applyBorder="1" applyAlignment="1">
      <alignment horizontal="center"/>
    </xf>
    <xf numFmtId="0" fontId="63" fillId="0" borderId="126" xfId="2" quotePrefix="1" applyFont="1" applyBorder="1" applyAlignment="1">
      <alignment horizontal="center"/>
    </xf>
    <xf numFmtId="0" fontId="63" fillId="0" borderId="127" xfId="2" quotePrefix="1" applyFont="1" applyBorder="1" applyAlignment="1">
      <alignment horizontal="center"/>
    </xf>
    <xf numFmtId="2" fontId="61" fillId="0" borderId="115" xfId="2" applyNumberFormat="1" applyFont="1" applyBorder="1" applyAlignment="1">
      <alignment horizontal="center"/>
    </xf>
    <xf numFmtId="2" fontId="61" fillId="0" borderId="127" xfId="2" applyNumberFormat="1" applyFont="1" applyBorder="1" applyAlignment="1">
      <alignment horizontal="center"/>
    </xf>
    <xf numFmtId="2" fontId="61" fillId="0" borderId="128" xfId="2" applyNumberFormat="1" applyFont="1" applyBorder="1" applyAlignment="1">
      <alignment horizontal="center"/>
    </xf>
    <xf numFmtId="2" fontId="61" fillId="0" borderId="129" xfId="2" applyNumberFormat="1" applyFont="1" applyBorder="1" applyAlignment="1">
      <alignment horizontal="center"/>
    </xf>
    <xf numFmtId="0" fontId="0" fillId="6" borderId="15" xfId="0" applyFill="1" applyBorder="1" applyAlignment="1">
      <alignment horizontal="center"/>
    </xf>
    <xf numFmtId="0" fontId="0" fillId="6" borderId="19" xfId="0" applyFill="1" applyBorder="1" applyAlignment="1">
      <alignment horizontal="center"/>
    </xf>
    <xf numFmtId="2" fontId="0" fillId="0" borderId="113" xfId="0" applyNumberFormat="1" applyBorder="1" applyAlignment="1">
      <alignment horizontal="center"/>
    </xf>
    <xf numFmtId="0" fontId="0" fillId="0" borderId="10" xfId="0" applyBorder="1" applyAlignment="1">
      <alignment horizontal="center"/>
    </xf>
    <xf numFmtId="0" fontId="0" fillId="0" borderId="0" xfId="0" applyAlignment="1">
      <alignment vertical="center"/>
    </xf>
    <xf numFmtId="2" fontId="0" fillId="0" borderId="14" xfId="0" applyNumberFormat="1" applyBorder="1" applyAlignment="1">
      <alignment horizontal="center"/>
    </xf>
    <xf numFmtId="0" fontId="31" fillId="0" borderId="14" xfId="0" applyFont="1" applyBorder="1" applyAlignment="1">
      <alignment horizontal="center"/>
    </xf>
    <xf numFmtId="2" fontId="0" fillId="0" borderId="19" xfId="0" applyNumberFormat="1" applyBorder="1" applyAlignment="1">
      <alignment horizontal="center"/>
    </xf>
    <xf numFmtId="2" fontId="0" fillId="0" borderId="96" xfId="0" applyNumberFormat="1" applyBorder="1" applyAlignment="1">
      <alignment horizontal="center"/>
    </xf>
    <xf numFmtId="2" fontId="61" fillId="0" borderId="19" xfId="2" applyNumberFormat="1" applyFont="1" applyBorder="1" applyAlignment="1">
      <alignment horizontal="center"/>
    </xf>
    <xf numFmtId="2" fontId="61" fillId="0" borderId="113" xfId="2" applyNumberFormat="1" applyFont="1" applyBorder="1" applyAlignment="1">
      <alignment horizontal="center"/>
    </xf>
    <xf numFmtId="0" fontId="24" fillId="0" borderId="41" xfId="0" applyFont="1" applyBorder="1" applyAlignment="1">
      <alignment vertical="top"/>
    </xf>
    <xf numFmtId="0" fontId="0" fillId="0" borderId="41" xfId="0" applyBorder="1"/>
    <xf numFmtId="0" fontId="126" fillId="0" borderId="0" xfId="0" applyFont="1"/>
    <xf numFmtId="0" fontId="0" fillId="0" borderId="95" xfId="0" applyBorder="1"/>
    <xf numFmtId="0" fontId="43" fillId="0" borderId="135" xfId="0" applyFont="1" applyBorder="1" applyAlignment="1">
      <alignment horizontal="center" vertical="top"/>
    </xf>
    <xf numFmtId="0" fontId="43" fillId="0" borderId="112" xfId="0" applyFont="1" applyBorder="1" applyAlignment="1">
      <alignment horizontal="center" vertical="top"/>
    </xf>
    <xf numFmtId="0" fontId="0" fillId="0" borderId="8" xfId="0" applyBorder="1"/>
    <xf numFmtId="0" fontId="0" fillId="0" borderId="3" xfId="0" applyBorder="1"/>
    <xf numFmtId="0" fontId="0" fillId="0" borderId="11" xfId="0" applyBorder="1"/>
    <xf numFmtId="0" fontId="0" fillId="0" borderId="1" xfId="0" applyBorder="1"/>
    <xf numFmtId="18" fontId="23" fillId="0" borderId="14" xfId="0" applyNumberFormat="1" applyFont="1" applyBorder="1"/>
    <xf numFmtId="166" fontId="23" fillId="0" borderId="14" xfId="0" applyNumberFormat="1" applyFont="1" applyBorder="1" applyAlignment="1">
      <alignment horizontal="center"/>
    </xf>
    <xf numFmtId="18" fontId="23" fillId="0" borderId="19" xfId="0" applyNumberFormat="1" applyFont="1" applyBorder="1"/>
    <xf numFmtId="0" fontId="22" fillId="0" borderId="0" xfId="0" applyFont="1" applyAlignment="1">
      <alignment vertical="center" wrapText="1"/>
    </xf>
    <xf numFmtId="0" fontId="16" fillId="0" borderId="0" xfId="4"/>
    <xf numFmtId="0" fontId="59" fillId="0" borderId="0" xfId="4" applyFont="1"/>
    <xf numFmtId="2" fontId="16" fillId="0" borderId="14" xfId="4" applyNumberFormat="1" applyBorder="1" applyAlignment="1">
      <alignment horizontal="center"/>
    </xf>
    <xf numFmtId="0" fontId="16" fillId="0" borderId="0" xfId="4" applyAlignment="1">
      <alignment horizontal="center"/>
    </xf>
    <xf numFmtId="0" fontId="16" fillId="0" borderId="3" xfId="4" applyBorder="1"/>
    <xf numFmtId="0" fontId="16" fillId="0" borderId="12" xfId="4" applyBorder="1"/>
    <xf numFmtId="0" fontId="16" fillId="0" borderId="8" xfId="4" applyBorder="1"/>
    <xf numFmtId="0" fontId="16" fillId="0" borderId="10" xfId="4" applyBorder="1"/>
    <xf numFmtId="0" fontId="16" fillId="0" borderId="11" xfId="4" applyBorder="1"/>
    <xf numFmtId="0" fontId="16" fillId="0" borderId="7" xfId="4" applyBorder="1"/>
    <xf numFmtId="0" fontId="16" fillId="0" borderId="9" xfId="4" applyBorder="1"/>
    <xf numFmtId="0" fontId="16" fillId="0" borderId="1" xfId="4" applyBorder="1"/>
    <xf numFmtId="0" fontId="129" fillId="0" borderId="0" xfId="4" applyFont="1"/>
    <xf numFmtId="0" fontId="62" fillId="0" borderId="0" xfId="4" applyFont="1" applyAlignment="1">
      <alignment horizontal="center"/>
    </xf>
    <xf numFmtId="0" fontId="62" fillId="0" borderId="0" xfId="4" applyFont="1"/>
    <xf numFmtId="0" fontId="99" fillId="0" borderId="0" xfId="4" applyFont="1" applyAlignment="1">
      <alignment vertical="top" wrapText="1"/>
    </xf>
    <xf numFmtId="2" fontId="62" fillId="0" borderId="0" xfId="4" applyNumberFormat="1" applyFont="1" applyAlignment="1">
      <alignment vertical="center"/>
    </xf>
    <xf numFmtId="0" fontId="66" fillId="0" borderId="0" xfId="4" applyFont="1"/>
    <xf numFmtId="0" fontId="15" fillId="0" borderId="0" xfId="4" applyFont="1" applyAlignment="1">
      <alignment horizontal="center"/>
    </xf>
    <xf numFmtId="0" fontId="15" fillId="0" borderId="0" xfId="4" applyFont="1"/>
    <xf numFmtId="0" fontId="23" fillId="0" borderId="25" xfId="0" applyFont="1" applyBorder="1" applyAlignment="1">
      <alignment vertical="top" wrapText="1"/>
    </xf>
    <xf numFmtId="0" fontId="23" fillId="0" borderId="0" xfId="0" applyFont="1" applyAlignment="1">
      <alignment vertical="top" wrapText="1"/>
    </xf>
    <xf numFmtId="0" fontId="0" fillId="0" borderId="0" xfId="0" applyAlignment="1">
      <alignment horizontal="right"/>
    </xf>
    <xf numFmtId="2" fontId="47" fillId="0" borderId="14" xfId="0" applyNumberFormat="1" applyFont="1" applyBorder="1" applyAlignment="1">
      <alignment horizontal="center"/>
    </xf>
    <xf numFmtId="0" fontId="0" fillId="0" borderId="112" xfId="0" applyBorder="1"/>
    <xf numFmtId="0" fontId="0" fillId="0" borderId="135" xfId="0" applyBorder="1"/>
    <xf numFmtId="0" fontId="28" fillId="0" borderId="18" xfId="0" applyFont="1" applyBorder="1" applyAlignment="1">
      <alignment vertical="center"/>
    </xf>
    <xf numFmtId="0" fontId="28" fillId="0" borderId="21" xfId="0" applyFont="1" applyBorder="1" applyAlignment="1">
      <alignment vertical="center"/>
    </xf>
    <xf numFmtId="0" fontId="27" fillId="0" borderId="18" xfId="0" applyFont="1" applyBorder="1" applyAlignment="1">
      <alignment vertical="center"/>
    </xf>
    <xf numFmtId="0" fontId="27" fillId="0" borderId="21" xfId="0" applyFont="1" applyBorder="1" applyAlignment="1">
      <alignment vertical="center"/>
    </xf>
    <xf numFmtId="0" fontId="28" fillId="0" borderId="0" xfId="0" applyFont="1" applyAlignment="1">
      <alignment vertical="center"/>
    </xf>
    <xf numFmtId="0" fontId="59" fillId="0" borderId="0" xfId="4" applyFont="1" applyAlignment="1">
      <alignment horizontal="right"/>
    </xf>
    <xf numFmtId="0" fontId="16" fillId="0" borderId="41" xfId="4" applyBorder="1"/>
    <xf numFmtId="0" fontId="16" fillId="0" borderId="0" xfId="4" applyAlignment="1">
      <alignment horizontal="left"/>
    </xf>
    <xf numFmtId="0" fontId="59" fillId="0" borderId="0" xfId="4" applyFont="1" applyAlignment="1">
      <alignment horizontal="center"/>
    </xf>
    <xf numFmtId="0" fontId="59" fillId="0" borderId="0" xfId="4" applyFont="1" applyAlignment="1">
      <alignment horizontal="left"/>
    </xf>
    <xf numFmtId="0" fontId="129" fillId="0" borderId="0" xfId="4" applyFont="1" applyAlignment="1">
      <alignment horizontal="right"/>
    </xf>
    <xf numFmtId="0" fontId="16" fillId="0" borderId="137" xfId="4" applyBorder="1" applyAlignment="1">
      <alignment horizontal="center"/>
    </xf>
    <xf numFmtId="2" fontId="16" fillId="0" borderId="137" xfId="4" applyNumberFormat="1" applyBorder="1" applyAlignment="1">
      <alignment horizontal="center"/>
    </xf>
    <xf numFmtId="0" fontId="14" fillId="0" borderId="0" xfId="4" applyFont="1"/>
    <xf numFmtId="0" fontId="86" fillId="0" borderId="9" xfId="1" applyFont="1" applyBorder="1"/>
    <xf numFmtId="0" fontId="96" fillId="0" borderId="9" xfId="1" applyFont="1" applyBorder="1" applyAlignment="1">
      <alignment vertical="top" wrapText="1"/>
    </xf>
    <xf numFmtId="0" fontId="135" fillId="0" borderId="1" xfId="0" applyFont="1" applyBorder="1"/>
    <xf numFmtId="0" fontId="62" fillId="0" borderId="10" xfId="4" applyFont="1" applyBorder="1"/>
    <xf numFmtId="0" fontId="62" fillId="0" borderId="9" xfId="4" applyFont="1" applyBorder="1"/>
    <xf numFmtId="0" fontId="14" fillId="0" borderId="0" xfId="4" applyFont="1" applyAlignment="1">
      <alignment horizontal="right"/>
    </xf>
    <xf numFmtId="0" fontId="138" fillId="0" borderId="0" xfId="4" applyFont="1" applyAlignment="1">
      <alignment horizontal="center"/>
    </xf>
    <xf numFmtId="0" fontId="137" fillId="0" borderId="0" xfId="4" applyFont="1" applyAlignment="1">
      <alignment horizontal="center"/>
    </xf>
    <xf numFmtId="0" fontId="132" fillId="0" borderId="0" xfId="4" applyFont="1"/>
    <xf numFmtId="0" fontId="133" fillId="0" borderId="0" xfId="4" applyFont="1" applyAlignment="1">
      <alignment horizontal="right"/>
    </xf>
    <xf numFmtId="0" fontId="132" fillId="0" borderId="26" xfId="4" applyFont="1" applyBorder="1" applyAlignment="1">
      <alignment horizontal="right"/>
    </xf>
    <xf numFmtId="0" fontId="128" fillId="0" borderId="0" xfId="4" applyFont="1"/>
    <xf numFmtId="0" fontId="132" fillId="0" borderId="0" xfId="4" applyFont="1" applyAlignment="1">
      <alignment horizontal="center"/>
    </xf>
    <xf numFmtId="0" fontId="132" fillId="0" borderId="0" xfId="4" applyFont="1" applyAlignment="1">
      <alignment horizontal="right"/>
    </xf>
    <xf numFmtId="0" fontId="16" fillId="0" borderId="3" xfId="4" applyBorder="1" applyAlignment="1">
      <alignment horizontal="center"/>
    </xf>
    <xf numFmtId="2" fontId="62" fillId="0" borderId="3" xfId="4" applyNumberFormat="1" applyFont="1" applyBorder="1" applyAlignment="1">
      <alignment vertical="center"/>
    </xf>
    <xf numFmtId="0" fontId="62" fillId="0" borderId="3" xfId="4" applyFont="1" applyBorder="1"/>
    <xf numFmtId="0" fontId="16" fillId="0" borderId="0" xfId="4" applyAlignment="1">
      <alignment horizontal="right"/>
    </xf>
    <xf numFmtId="0" fontId="129" fillId="0" borderId="0" xfId="4" applyFont="1" applyAlignment="1">
      <alignment horizontal="left"/>
    </xf>
    <xf numFmtId="2" fontId="16" fillId="0" borderId="0" xfId="4" applyNumberFormat="1" applyAlignment="1">
      <alignment horizontal="center"/>
    </xf>
    <xf numFmtId="0" fontId="130" fillId="0" borderId="0" xfId="4" applyFont="1" applyAlignment="1">
      <alignment horizontal="center"/>
    </xf>
    <xf numFmtId="0" fontId="99" fillId="0" borderId="0" xfId="4" applyFont="1" applyAlignment="1">
      <alignment horizontal="center" vertical="top" wrapText="1"/>
    </xf>
    <xf numFmtId="0" fontId="14" fillId="0" borderId="0" xfId="4" applyFont="1" applyAlignment="1">
      <alignment horizontal="center"/>
    </xf>
    <xf numFmtId="0" fontId="136" fillId="0" borderId="0" xfId="4" applyFont="1" applyAlignment="1">
      <alignment horizontal="center"/>
    </xf>
    <xf numFmtId="2" fontId="16" fillId="0" borderId="19" xfId="4" applyNumberFormat="1" applyBorder="1" applyAlignment="1">
      <alignment horizontal="center"/>
    </xf>
    <xf numFmtId="169" fontId="16" fillId="0" borderId="14" xfId="4" applyNumberFormat="1" applyBorder="1" applyAlignment="1">
      <alignment horizontal="center"/>
    </xf>
    <xf numFmtId="2" fontId="16" fillId="0" borderId="9" xfId="4" applyNumberFormat="1" applyBorder="1" applyAlignment="1">
      <alignment horizontal="center"/>
    </xf>
    <xf numFmtId="0" fontId="77" fillId="0" borderId="19" xfId="4" applyFont="1" applyBorder="1" applyAlignment="1">
      <alignment horizontal="center"/>
    </xf>
    <xf numFmtId="0" fontId="16" fillId="0" borderId="15" xfId="4" applyBorder="1"/>
    <xf numFmtId="0" fontId="77" fillId="0" borderId="47" xfId="4" applyFont="1" applyBorder="1" applyAlignment="1">
      <alignment horizontal="center"/>
    </xf>
    <xf numFmtId="0" fontId="16" fillId="0" borderId="47" xfId="4" applyBorder="1"/>
    <xf numFmtId="2" fontId="16" fillId="0" borderId="107" xfId="4" applyNumberFormat="1" applyBorder="1" applyAlignment="1">
      <alignment horizontal="center"/>
    </xf>
    <xf numFmtId="2" fontId="16" fillId="0" borderId="109" xfId="4" applyNumberFormat="1" applyBorder="1" applyAlignment="1">
      <alignment horizontal="center"/>
    </xf>
    <xf numFmtId="2" fontId="16" fillId="0" borderId="22" xfId="4" applyNumberFormat="1" applyBorder="1" applyAlignment="1">
      <alignment horizontal="center"/>
    </xf>
    <xf numFmtId="2" fontId="16" fillId="0" borderId="23" xfId="4" applyNumberFormat="1" applyBorder="1" applyAlignment="1">
      <alignment horizontal="center"/>
    </xf>
    <xf numFmtId="0" fontId="16" fillId="0" borderId="98" xfId="4" applyBorder="1" applyAlignment="1">
      <alignment horizontal="center"/>
    </xf>
    <xf numFmtId="0" fontId="16" fillId="0" borderId="97" xfId="4" applyBorder="1" applyAlignment="1">
      <alignment horizontal="center"/>
    </xf>
    <xf numFmtId="0" fontId="14" fillId="0" borderId="14" xfId="4" applyFont="1" applyBorder="1"/>
    <xf numFmtId="0" fontId="16" fillId="0" borderId="32" xfId="4" applyBorder="1"/>
    <xf numFmtId="0" fontId="16" fillId="0" borderId="21" xfId="4" applyBorder="1"/>
    <xf numFmtId="0" fontId="14" fillId="0" borderId="18" xfId="4" applyFont="1" applyBorder="1" applyAlignment="1">
      <alignment vertical="center"/>
    </xf>
    <xf numFmtId="0" fontId="14" fillId="0" borderId="8" xfId="4" applyFont="1" applyBorder="1" applyAlignment="1">
      <alignment vertical="center"/>
    </xf>
    <xf numFmtId="0" fontId="16" fillId="0" borderId="124" xfId="4" applyBorder="1"/>
    <xf numFmtId="0" fontId="16" fillId="0" borderId="125" xfId="4" applyBorder="1"/>
    <xf numFmtId="0" fontId="16" fillId="0" borderId="123" xfId="4" applyBorder="1" applyAlignment="1">
      <alignment vertical="center"/>
    </xf>
    <xf numFmtId="2" fontId="16" fillId="0" borderId="14" xfId="4" applyNumberFormat="1" applyBorder="1" applyAlignment="1">
      <alignment horizontal="center" vertical="center"/>
    </xf>
    <xf numFmtId="0" fontId="129" fillId="0" borderId="0" xfId="4" applyFont="1" applyAlignment="1">
      <alignment vertical="center"/>
    </xf>
    <xf numFmtId="0" fontId="14" fillId="0" borderId="18" xfId="4" applyFont="1" applyBorder="1"/>
    <xf numFmtId="2" fontId="16" fillId="0" borderId="0" xfId="4" applyNumberFormat="1"/>
    <xf numFmtId="0" fontId="61" fillId="0" borderId="0" xfId="4" applyFont="1" applyAlignment="1">
      <alignment horizontal="center"/>
    </xf>
    <xf numFmtId="2" fontId="16" fillId="0" borderId="141" xfId="4" applyNumberFormat="1" applyBorder="1" applyAlignment="1">
      <alignment horizontal="center"/>
    </xf>
    <xf numFmtId="2" fontId="16" fillId="0" borderId="142" xfId="4" applyNumberFormat="1" applyBorder="1" applyAlignment="1">
      <alignment horizontal="center"/>
    </xf>
    <xf numFmtId="2" fontId="16" fillId="0" borderId="143" xfId="4" applyNumberFormat="1" applyBorder="1" applyAlignment="1">
      <alignment horizontal="center"/>
    </xf>
    <xf numFmtId="0" fontId="14" fillId="0" borderId="41" xfId="4" applyFont="1" applyBorder="1"/>
    <xf numFmtId="0" fontId="62" fillId="0" borderId="1" xfId="4" applyFont="1" applyBorder="1" applyAlignment="1">
      <alignment horizontal="center"/>
    </xf>
    <xf numFmtId="0" fontId="138" fillId="0" borderId="47" xfId="4" applyFont="1" applyBorder="1" applyAlignment="1">
      <alignment horizontal="center"/>
    </xf>
    <xf numFmtId="0" fontId="137" fillId="0" borderId="19" xfId="4" applyFont="1" applyBorder="1" applyAlignment="1">
      <alignment horizontal="center"/>
    </xf>
    <xf numFmtId="0" fontId="138" fillId="0" borderId="19" xfId="4" applyFont="1" applyBorder="1" applyAlignment="1">
      <alignment horizontal="center"/>
    </xf>
    <xf numFmtId="0" fontId="138" fillId="0" borderId="15" xfId="4" applyFont="1" applyBorder="1" applyAlignment="1">
      <alignment horizontal="center"/>
    </xf>
    <xf numFmtId="2" fontId="14" fillId="0" borderId="14" xfId="4" quotePrefix="1" applyNumberFormat="1" applyFont="1" applyBorder="1" applyAlignment="1">
      <alignment horizontal="center"/>
    </xf>
    <xf numFmtId="0" fontId="14" fillId="0" borderId="0" xfId="4" quotePrefix="1" applyFont="1"/>
    <xf numFmtId="0" fontId="14" fillId="0" borderId="19" xfId="4" applyFont="1" applyBorder="1" applyAlignment="1">
      <alignment horizontal="center"/>
    </xf>
    <xf numFmtId="0" fontId="62" fillId="0" borderId="0" xfId="4" applyFont="1" applyAlignment="1">
      <alignment vertical="center"/>
    </xf>
    <xf numFmtId="0" fontId="128" fillId="0" borderId="0" xfId="4" applyFont="1" applyAlignment="1">
      <alignment vertical="center" wrapText="1"/>
    </xf>
    <xf numFmtId="0" fontId="61" fillId="8" borderId="138" xfId="4" applyFont="1" applyFill="1" applyBorder="1" applyAlignment="1" applyProtection="1">
      <alignment horizontal="center" vertical="center"/>
      <protection locked="0"/>
    </xf>
    <xf numFmtId="0" fontId="13" fillId="0" borderId="0" xfId="4" applyFont="1"/>
    <xf numFmtId="0" fontId="13" fillId="0" borderId="0" xfId="4" quotePrefix="1" applyFont="1"/>
    <xf numFmtId="2" fontId="14" fillId="0" borderId="0" xfId="4" quotePrefix="1" applyNumberFormat="1" applyFont="1" applyAlignment="1">
      <alignment horizontal="center"/>
    </xf>
    <xf numFmtId="2" fontId="16" fillId="0" borderId="147" xfId="4" applyNumberFormat="1" applyBorder="1" applyAlignment="1">
      <alignment horizontal="center"/>
    </xf>
    <xf numFmtId="2" fontId="16" fillId="0" borderId="149" xfId="4" applyNumberFormat="1" applyBorder="1" applyAlignment="1">
      <alignment horizontal="center"/>
    </xf>
    <xf numFmtId="2" fontId="16" fillId="0" borderId="151" xfId="4" applyNumberFormat="1" applyBorder="1" applyAlignment="1">
      <alignment horizontal="center"/>
    </xf>
    <xf numFmtId="0" fontId="128" fillId="0" borderId="146" xfId="4" applyFont="1" applyBorder="1" applyAlignment="1">
      <alignment horizontal="center"/>
    </xf>
    <xf numFmtId="0" fontId="128" fillId="0" borderId="148" xfId="4" applyFont="1" applyBorder="1" applyAlignment="1">
      <alignment horizontal="center"/>
    </xf>
    <xf numFmtId="0" fontId="128" fillId="0" borderId="150" xfId="4" applyFont="1" applyBorder="1" applyAlignment="1">
      <alignment horizontal="center"/>
    </xf>
    <xf numFmtId="0" fontId="0" fillId="0" borderId="0" xfId="0" quotePrefix="1"/>
    <xf numFmtId="0" fontId="0" fillId="0" borderId="38" xfId="0" quotePrefix="1" applyBorder="1"/>
    <xf numFmtId="0" fontId="0" fillId="0" borderId="38" xfId="0" applyBorder="1"/>
    <xf numFmtId="0" fontId="21" fillId="0" borderId="3" xfId="1" applyBorder="1"/>
    <xf numFmtId="0" fontId="11" fillId="0" borderId="0" xfId="4" applyFont="1"/>
    <xf numFmtId="0" fontId="11" fillId="0" borderId="0" xfId="4" applyFont="1" applyAlignment="1">
      <alignment horizontal="right"/>
    </xf>
    <xf numFmtId="0" fontId="11" fillId="0" borderId="3" xfId="4" applyFont="1" applyBorder="1" applyAlignment="1">
      <alignment horizontal="center"/>
    </xf>
    <xf numFmtId="0" fontId="16" fillId="0" borderId="1" xfId="4" applyBorder="1" applyAlignment="1">
      <alignment horizontal="center"/>
    </xf>
    <xf numFmtId="2" fontId="59" fillId="0" borderId="0" xfId="4" applyNumberFormat="1" applyFont="1"/>
    <xf numFmtId="0" fontId="10" fillId="0" borderId="0" xfId="4" applyFont="1"/>
    <xf numFmtId="0" fontId="31" fillId="0" borderId="0" xfId="0" applyFont="1" applyAlignment="1">
      <alignment vertical="center"/>
    </xf>
    <xf numFmtId="0" fontId="31" fillId="0" borderId="14" xfId="0" applyFont="1" applyBorder="1" applyAlignment="1">
      <alignment horizontal="center" vertical="center"/>
    </xf>
    <xf numFmtId="0" fontId="23" fillId="0" borderId="0" xfId="0" applyFont="1" applyAlignment="1">
      <alignment vertical="center"/>
    </xf>
    <xf numFmtId="0" fontId="23" fillId="0" borderId="0" xfId="0" applyFont="1" applyAlignment="1">
      <alignment horizontal="left" vertical="center"/>
    </xf>
    <xf numFmtId="0" fontId="10" fillId="0" borderId="0" xfId="4" applyFont="1" applyAlignment="1">
      <alignment horizontal="center"/>
    </xf>
    <xf numFmtId="0" fontId="23" fillId="0" borderId="0" xfId="4" applyFont="1"/>
    <xf numFmtId="0" fontId="23" fillId="0" borderId="0" xfId="4" quotePrefix="1" applyFont="1"/>
    <xf numFmtId="0" fontId="44" fillId="0" borderId="0" xfId="4" quotePrefix="1" applyFont="1"/>
    <xf numFmtId="0" fontId="59" fillId="0" borderId="7" xfId="4" applyFont="1" applyBorder="1" applyAlignment="1">
      <alignment horizontal="center"/>
    </xf>
    <xf numFmtId="2" fontId="10" fillId="0" borderId="14" xfId="4" applyNumberFormat="1" applyFont="1" applyBorder="1" applyAlignment="1">
      <alignment horizontal="center"/>
    </xf>
    <xf numFmtId="2" fontId="62" fillId="0" borderId="14" xfId="4" applyNumberFormat="1" applyFont="1" applyBorder="1" applyAlignment="1">
      <alignment horizontal="center"/>
    </xf>
    <xf numFmtId="0" fontId="10" fillId="0" borderId="0" xfId="4" quotePrefix="1" applyFont="1"/>
    <xf numFmtId="0" fontId="16" fillId="0" borderId="4" xfId="4" applyBorder="1"/>
    <xf numFmtId="0" fontId="16" fillId="0" borderId="5" xfId="4" applyBorder="1"/>
    <xf numFmtId="0" fontId="27" fillId="0" borderId="5" xfId="0" applyFont="1" applyBorder="1" applyAlignment="1">
      <alignment vertical="center"/>
    </xf>
    <xf numFmtId="0" fontId="16" fillId="0" borderId="40" xfId="4" applyBorder="1"/>
    <xf numFmtId="0" fontId="16" fillId="0" borderId="42" xfId="4" applyBorder="1"/>
    <xf numFmtId="0" fontId="59" fillId="0" borderId="47" xfId="4" applyFont="1" applyBorder="1" applyAlignment="1">
      <alignment vertical="distributed"/>
    </xf>
    <xf numFmtId="0" fontId="128" fillId="0" borderId="0" xfId="4" applyFont="1" applyAlignment="1">
      <alignment horizontal="center"/>
    </xf>
    <xf numFmtId="2" fontId="31" fillId="12" borderId="14" xfId="0" applyNumberFormat="1" applyFont="1" applyFill="1" applyBorder="1" applyAlignment="1">
      <alignment horizontal="center" vertical="center"/>
    </xf>
    <xf numFmtId="2" fontId="16" fillId="12" borderId="14" xfId="4" applyNumberFormat="1" applyFill="1" applyBorder="1" applyAlignment="1">
      <alignment horizontal="center"/>
    </xf>
    <xf numFmtId="2" fontId="10" fillId="12" borderId="14" xfId="4" applyNumberFormat="1" applyFont="1" applyFill="1" applyBorder="1" applyAlignment="1">
      <alignment horizontal="center"/>
    </xf>
    <xf numFmtId="0" fontId="59" fillId="0" borderId="9" xfId="4" applyFont="1" applyBorder="1" applyAlignment="1">
      <alignment horizontal="right"/>
    </xf>
    <xf numFmtId="2" fontId="131" fillId="0" borderId="47" xfId="4" applyNumberFormat="1" applyFont="1" applyBorder="1" applyAlignment="1">
      <alignment vertical="distributed"/>
    </xf>
    <xf numFmtId="0" fontId="131" fillId="0" borderId="9" xfId="4" applyFont="1" applyBorder="1" applyAlignment="1">
      <alignment horizontal="right"/>
    </xf>
    <xf numFmtId="2" fontId="137" fillId="12" borderId="96" xfId="4" applyNumberFormat="1" applyFont="1" applyFill="1" applyBorder="1" applyAlignment="1">
      <alignment horizontal="center"/>
    </xf>
    <xf numFmtId="2" fontId="61" fillId="12" borderId="97" xfId="4" applyNumberFormat="1" applyFont="1" applyFill="1" applyBorder="1" applyAlignment="1">
      <alignment horizontal="center"/>
    </xf>
    <xf numFmtId="2" fontId="137" fillId="12" borderId="19" xfId="4" applyNumberFormat="1" applyFont="1" applyFill="1" applyBorder="1" applyAlignment="1">
      <alignment horizontal="center"/>
    </xf>
    <xf numFmtId="2" fontId="61" fillId="12" borderId="19" xfId="4" applyNumberFormat="1" applyFont="1" applyFill="1" applyBorder="1" applyAlignment="1">
      <alignment horizontal="center"/>
    </xf>
    <xf numFmtId="2" fontId="137" fillId="12" borderId="14" xfId="4" applyNumberFormat="1" applyFont="1" applyFill="1" applyBorder="1" applyAlignment="1">
      <alignment horizontal="center"/>
    </xf>
    <xf numFmtId="2" fontId="61" fillId="12" borderId="14" xfId="4" applyNumberFormat="1" applyFont="1" applyFill="1" applyBorder="1" applyAlignment="1">
      <alignment horizontal="center"/>
    </xf>
    <xf numFmtId="0" fontId="131" fillId="0" borderId="47" xfId="4" applyFont="1" applyBorder="1" applyAlignment="1">
      <alignment vertical="distributed"/>
    </xf>
    <xf numFmtId="0" fontId="57" fillId="0" borderId="0" xfId="4" applyFont="1"/>
    <xf numFmtId="168" fontId="62" fillId="0" borderId="14" xfId="4" applyNumberFormat="1" applyFont="1" applyBorder="1" applyAlignment="1">
      <alignment horizontal="center"/>
    </xf>
    <xf numFmtId="0" fontId="151" fillId="0" borderId="0" xfId="4" applyFont="1"/>
    <xf numFmtId="0" fontId="44" fillId="0" borderId="0" xfId="0" applyFont="1" applyAlignment="1">
      <alignment horizontal="right" vertical="center"/>
    </xf>
    <xf numFmtId="0" fontId="44" fillId="0" borderId="0" xfId="4" applyFont="1" applyAlignment="1">
      <alignment horizontal="right"/>
    </xf>
    <xf numFmtId="17" fontId="16" fillId="12" borderId="14" xfId="4" applyNumberFormat="1" applyFill="1" applyBorder="1"/>
    <xf numFmtId="169" fontId="16" fillId="12" borderId="138" xfId="4" applyNumberFormat="1" applyFill="1" applyBorder="1" applyAlignment="1">
      <alignment horizontal="center" vertical="center"/>
    </xf>
    <xf numFmtId="2" fontId="16" fillId="12" borderId="113" xfId="4" applyNumberFormat="1" applyFill="1" applyBorder="1" applyAlignment="1">
      <alignment horizontal="center"/>
    </xf>
    <xf numFmtId="168" fontId="16" fillId="12" borderId="14" xfId="4" applyNumberFormat="1" applyFill="1" applyBorder="1" applyAlignment="1">
      <alignment horizontal="center"/>
    </xf>
    <xf numFmtId="2" fontId="137" fillId="16" borderId="96" xfId="4" applyNumberFormat="1" applyFont="1" applyFill="1" applyBorder="1" applyAlignment="1">
      <alignment horizontal="center"/>
    </xf>
    <xf numFmtId="2" fontId="61" fillId="16" borderId="96" xfId="4" applyNumberFormat="1" applyFont="1" applyFill="1" applyBorder="1" applyAlignment="1">
      <alignment horizontal="center"/>
    </xf>
    <xf numFmtId="2" fontId="137" fillId="16" borderId="19" xfId="4" applyNumberFormat="1" applyFont="1" applyFill="1" applyBorder="1" applyAlignment="1">
      <alignment horizontal="center"/>
    </xf>
    <xf numFmtId="2" fontId="61" fillId="16" borderId="19" xfId="4" applyNumberFormat="1" applyFont="1" applyFill="1" applyBorder="1" applyAlignment="1">
      <alignment horizontal="center"/>
    </xf>
    <xf numFmtId="2" fontId="59" fillId="12" borderId="0" xfId="4" applyNumberFormat="1" applyFont="1" applyFill="1" applyAlignment="1">
      <alignment horizontal="center"/>
    </xf>
    <xf numFmtId="2" fontId="16" fillId="12" borderId="138" xfId="4" applyNumberFormat="1" applyFill="1" applyBorder="1" applyAlignment="1">
      <alignment horizontal="center"/>
    </xf>
    <xf numFmtId="2" fontId="0" fillId="12" borderId="14" xfId="0" applyNumberFormat="1" applyFill="1" applyBorder="1" applyAlignment="1">
      <alignment horizontal="center"/>
    </xf>
    <xf numFmtId="0" fontId="11" fillId="12" borderId="32" xfId="4" applyFont="1" applyFill="1" applyBorder="1" applyAlignment="1">
      <alignment horizontal="center"/>
    </xf>
    <xf numFmtId="0" fontId="10" fillId="12" borderId="21" xfId="4" applyFont="1" applyFill="1" applyBorder="1" applyAlignment="1">
      <alignment horizontal="center"/>
    </xf>
    <xf numFmtId="2" fontId="128" fillId="12" borderId="14" xfId="4" applyNumberFormat="1" applyFont="1" applyFill="1" applyBorder="1" applyAlignment="1">
      <alignment horizontal="center"/>
    </xf>
    <xf numFmtId="2" fontId="128" fillId="12" borderId="96" xfId="4" applyNumberFormat="1" applyFont="1" applyFill="1" applyBorder="1" applyAlignment="1">
      <alignment horizontal="center"/>
    </xf>
    <xf numFmtId="2" fontId="128" fillId="12" borderId="19" xfId="4" applyNumberFormat="1" applyFont="1" applyFill="1" applyBorder="1" applyAlignment="1">
      <alignment horizontal="center"/>
    </xf>
    <xf numFmtId="0" fontId="130" fillId="0" borderId="0" xfId="4" applyFont="1" applyAlignment="1">
      <alignment vertical="top" wrapText="1"/>
    </xf>
    <xf numFmtId="0" fontId="62" fillId="0" borderId="0" xfId="4" applyFont="1" applyAlignment="1">
      <alignment vertical="top" wrapText="1"/>
    </xf>
    <xf numFmtId="2" fontId="62" fillId="0" borderId="0" xfId="4" applyNumberFormat="1" applyFont="1" applyAlignment="1">
      <alignment horizontal="center"/>
    </xf>
    <xf numFmtId="169" fontId="62" fillId="0" borderId="0" xfId="4" applyNumberFormat="1" applyFont="1" applyAlignment="1">
      <alignment horizontal="center"/>
    </xf>
    <xf numFmtId="0" fontId="9" fillId="0" borderId="8" xfId="4" applyFont="1" applyBorder="1"/>
    <xf numFmtId="0" fontId="9" fillId="0" borderId="7" xfId="4" applyFont="1" applyBorder="1"/>
    <xf numFmtId="0" fontId="31" fillId="16" borderId="138" xfId="0" applyFont="1" applyFill="1" applyBorder="1" applyAlignment="1">
      <alignment horizontal="center" vertical="center"/>
    </xf>
    <xf numFmtId="0" fontId="9" fillId="0" borderId="0" xfId="4" applyFont="1"/>
    <xf numFmtId="0" fontId="99" fillId="0" borderId="0" xfId="4" applyFont="1" applyAlignment="1">
      <alignment vertical="center"/>
    </xf>
    <xf numFmtId="0" fontId="152" fillId="0" borderId="0" xfId="4" applyFont="1" applyAlignment="1">
      <alignment vertical="center"/>
    </xf>
    <xf numFmtId="0" fontId="99" fillId="0" borderId="0" xfId="4" applyFont="1"/>
    <xf numFmtId="0" fontId="9" fillId="0" borderId="0" xfId="4" applyFont="1" applyAlignment="1">
      <alignment horizontal="center"/>
    </xf>
    <xf numFmtId="0" fontId="9" fillId="0" borderId="3" xfId="4" applyFont="1" applyBorder="1" applyAlignment="1">
      <alignment horizontal="center" vertical="center"/>
    </xf>
    <xf numFmtId="0" fontId="9" fillId="0" borderId="0" xfId="4" applyFont="1" applyAlignment="1">
      <alignment horizontal="center" vertical="center"/>
    </xf>
    <xf numFmtId="0" fontId="99" fillId="0" borderId="0" xfId="4" quotePrefix="1" applyFont="1" applyAlignment="1">
      <alignment horizontal="left"/>
    </xf>
    <xf numFmtId="0" fontId="59" fillId="0" borderId="0" xfId="4" quotePrefix="1" applyFont="1"/>
    <xf numFmtId="0" fontId="15" fillId="12" borderId="18" xfId="4" applyFont="1" applyFill="1" applyBorder="1"/>
    <xf numFmtId="0" fontId="15" fillId="12" borderId="32" xfId="4" applyFont="1" applyFill="1" applyBorder="1"/>
    <xf numFmtId="0" fontId="15" fillId="12" borderId="21" xfId="4" applyFont="1" applyFill="1" applyBorder="1"/>
    <xf numFmtId="0" fontId="14" fillId="0" borderId="0" xfId="4" applyFont="1" applyAlignment="1">
      <alignment horizontal="left"/>
    </xf>
    <xf numFmtId="0" fontId="12" fillId="0" borderId="0" xfId="4" applyFont="1" applyAlignment="1">
      <alignment horizontal="left"/>
    </xf>
    <xf numFmtId="0" fontId="96" fillId="0" borderId="0" xfId="4" applyFont="1" applyAlignment="1">
      <alignment horizontal="right"/>
    </xf>
    <xf numFmtId="0" fontId="96" fillId="0" borderId="0" xfId="4" applyFont="1" applyAlignment="1">
      <alignment horizontal="center"/>
    </xf>
    <xf numFmtId="0" fontId="96" fillId="0" borderId="0" xfId="4" applyFont="1"/>
    <xf numFmtId="0" fontId="62" fillId="17" borderId="15" xfId="4" applyFont="1" applyFill="1" applyBorder="1" applyAlignment="1">
      <alignment horizontal="center"/>
    </xf>
    <xf numFmtId="0" fontId="62" fillId="17" borderId="19" xfId="4" applyFont="1" applyFill="1" applyBorder="1"/>
    <xf numFmtId="0" fontId="128" fillId="0" borderId="15" xfId="4" applyFont="1" applyBorder="1" applyAlignment="1">
      <alignment horizontal="center"/>
    </xf>
    <xf numFmtId="0" fontId="128" fillId="0" borderId="19" xfId="4" applyFont="1" applyBorder="1" applyAlignment="1">
      <alignment horizontal="center"/>
    </xf>
    <xf numFmtId="0" fontId="128" fillId="0" borderId="14" xfId="4" applyFont="1" applyBorder="1"/>
    <xf numFmtId="0" fontId="162" fillId="0" borderId="0" xfId="0" applyFont="1" applyAlignment="1">
      <alignment vertical="center"/>
    </xf>
    <xf numFmtId="0" fontId="14" fillId="17" borderId="47" xfId="4" applyFont="1" applyFill="1" applyBorder="1" applyAlignment="1">
      <alignment horizontal="center"/>
    </xf>
    <xf numFmtId="0" fontId="14" fillId="0" borderId="7" xfId="4" applyFont="1" applyBorder="1" applyAlignment="1">
      <alignment horizontal="center"/>
    </xf>
    <xf numFmtId="0" fontId="21" fillId="0" borderId="7" xfId="1" applyBorder="1" applyAlignment="1">
      <alignment horizontal="center"/>
    </xf>
    <xf numFmtId="0" fontId="7" fillId="0" borderId="0" xfId="4" applyFont="1"/>
    <xf numFmtId="2" fontId="21" fillId="0" borderId="0" xfId="1" applyNumberFormat="1" applyAlignment="1">
      <alignment horizontal="center"/>
    </xf>
    <xf numFmtId="0" fontId="7" fillId="0" borderId="0" xfId="1" applyFont="1" applyAlignment="1">
      <alignment horizontal="center"/>
    </xf>
    <xf numFmtId="0" fontId="7" fillId="0" borderId="0" xfId="1" applyFont="1" applyAlignment="1">
      <alignment horizontal="left"/>
    </xf>
    <xf numFmtId="0" fontId="83" fillId="2" borderId="19" xfId="1" applyFont="1" applyFill="1" applyBorder="1" applyAlignment="1">
      <alignment horizontal="center"/>
    </xf>
    <xf numFmtId="0" fontId="61" fillId="19" borderId="19" xfId="1" applyFont="1" applyFill="1" applyBorder="1" applyAlignment="1">
      <alignment horizontal="center"/>
    </xf>
    <xf numFmtId="0" fontId="61" fillId="19" borderId="14" xfId="1" applyFont="1" applyFill="1" applyBorder="1" applyAlignment="1">
      <alignment horizontal="center"/>
    </xf>
    <xf numFmtId="0" fontId="6" fillId="0" borderId="0" xfId="1" applyFont="1" applyAlignment="1">
      <alignment horizontal="center"/>
    </xf>
    <xf numFmtId="0" fontId="6" fillId="0" borderId="0" xfId="1" applyFont="1" applyAlignment="1">
      <alignment horizontal="right"/>
    </xf>
    <xf numFmtId="0" fontId="164" fillId="0" borderId="0" xfId="1" applyFont="1" applyAlignment="1">
      <alignment horizontal="center" vertical="top"/>
    </xf>
    <xf numFmtId="0" fontId="164" fillId="0" borderId="0" xfId="1" applyFont="1" applyAlignment="1">
      <alignment horizontal="center" vertical="center"/>
    </xf>
    <xf numFmtId="0" fontId="5" fillId="0" borderId="0" xfId="1" applyFont="1" applyAlignment="1">
      <alignment horizontal="center"/>
    </xf>
    <xf numFmtId="0" fontId="171" fillId="0" borderId="0" xfId="1" applyFont="1" applyAlignment="1">
      <alignment horizontal="center" vertical="center"/>
    </xf>
    <xf numFmtId="0" fontId="171" fillId="0" borderId="0" xfId="1" applyFont="1" applyAlignment="1">
      <alignment vertical="center"/>
    </xf>
    <xf numFmtId="0" fontId="164" fillId="0" borderId="0" xfId="1" applyFont="1" applyAlignment="1">
      <alignment horizontal="center"/>
    </xf>
    <xf numFmtId="0" fontId="143" fillId="0" borderId="0" xfId="0" applyFont="1"/>
    <xf numFmtId="0" fontId="22" fillId="0" borderId="0" xfId="0" applyFont="1"/>
    <xf numFmtId="0" fontId="59" fillId="12" borderId="32" xfId="4" applyFont="1" applyFill="1" applyBorder="1"/>
    <xf numFmtId="0" fontId="59" fillId="12" borderId="21" xfId="4" applyFont="1" applyFill="1" applyBorder="1"/>
    <xf numFmtId="0" fontId="59" fillId="12" borderId="1" xfId="4" applyFont="1" applyFill="1" applyBorder="1"/>
    <xf numFmtId="0" fontId="59" fillId="12" borderId="12" xfId="4" applyFont="1" applyFill="1" applyBorder="1"/>
    <xf numFmtId="169" fontId="0" fillId="0" borderId="14" xfId="0" applyNumberFormat="1" applyBorder="1" applyAlignment="1">
      <alignment horizontal="center"/>
    </xf>
    <xf numFmtId="0" fontId="4" fillId="0" borderId="0" xfId="1" applyFont="1" applyAlignment="1">
      <alignment horizontal="center"/>
    </xf>
    <xf numFmtId="0" fontId="134" fillId="0" borderId="0" xfId="0" applyFont="1"/>
    <xf numFmtId="0" fontId="166" fillId="0" borderId="9" xfId="1" applyFont="1" applyBorder="1" applyAlignment="1">
      <alignment vertical="center" wrapText="1"/>
    </xf>
    <xf numFmtId="0" fontId="2" fillId="0" borderId="0" xfId="6"/>
    <xf numFmtId="0" fontId="2" fillId="0" borderId="7" xfId="6" applyBorder="1"/>
    <xf numFmtId="0" fontId="2" fillId="0" borderId="9" xfId="6" applyBorder="1"/>
    <xf numFmtId="0" fontId="62" fillId="0" borderId="18" xfId="6" applyFont="1" applyBorder="1" applyAlignment="1">
      <alignment horizontal="right"/>
    </xf>
    <xf numFmtId="169" fontId="62" fillId="0" borderId="21" xfId="6" applyNumberFormat="1" applyFont="1" applyBorder="1" applyAlignment="1">
      <alignment horizontal="center"/>
    </xf>
    <xf numFmtId="0" fontId="2" fillId="0" borderId="18" xfId="6" applyBorder="1" applyAlignment="1">
      <alignment horizontal="right"/>
    </xf>
    <xf numFmtId="169" fontId="2" fillId="0" borderId="21" xfId="6" applyNumberFormat="1" applyBorder="1" applyAlignment="1">
      <alignment horizontal="center"/>
    </xf>
    <xf numFmtId="0" fontId="2" fillId="2" borderId="8" xfId="6" applyFill="1" applyBorder="1"/>
    <xf numFmtId="0" fontId="2" fillId="2" borderId="3" xfId="6" applyFill="1" applyBorder="1"/>
    <xf numFmtId="0" fontId="2" fillId="0" borderId="0" xfId="6" applyAlignment="1">
      <alignment horizontal="left"/>
    </xf>
    <xf numFmtId="0" fontId="62" fillId="0" borderId="11" xfId="6" applyFont="1" applyBorder="1" applyAlignment="1">
      <alignment horizontal="center"/>
    </xf>
    <xf numFmtId="0" fontId="62" fillId="0" borderId="12" xfId="6" applyFont="1" applyBorder="1" applyAlignment="1">
      <alignment horizontal="center"/>
    </xf>
    <xf numFmtId="0" fontId="2" fillId="0" borderId="7" xfId="6" applyBorder="1" applyAlignment="1">
      <alignment horizontal="center"/>
    </xf>
    <xf numFmtId="0" fontId="2" fillId="0" borderId="9" xfId="6" applyBorder="1" applyAlignment="1">
      <alignment horizontal="center"/>
    </xf>
    <xf numFmtId="0" fontId="2" fillId="2" borderId="7" xfId="6" applyFill="1" applyBorder="1"/>
    <xf numFmtId="0" fontId="2" fillId="2" borderId="0" xfId="6" applyFill="1"/>
    <xf numFmtId="0" fontId="2" fillId="2" borderId="9" xfId="6" applyFill="1" applyBorder="1"/>
    <xf numFmtId="0" fontId="2" fillId="0" borderId="15" xfId="6" applyBorder="1" applyAlignment="1">
      <alignment horizontal="center"/>
    </xf>
    <xf numFmtId="1" fontId="62" fillId="0" borderId="14" xfId="6" applyNumberFormat="1" applyFont="1" applyBorder="1" applyAlignment="1">
      <alignment horizontal="center"/>
    </xf>
    <xf numFmtId="1" fontId="155" fillId="0" borderId="14" xfId="6" applyNumberFormat="1" applyFont="1" applyBorder="1" applyAlignment="1">
      <alignment horizontal="center"/>
    </xf>
    <xf numFmtId="0" fontId="155" fillId="0" borderId="14" xfId="6" applyFont="1" applyBorder="1" applyAlignment="1">
      <alignment horizontal="center"/>
    </xf>
    <xf numFmtId="0" fontId="61" fillId="0" borderId="14" xfId="6" applyFont="1" applyBorder="1" applyAlignment="1">
      <alignment horizontal="center"/>
    </xf>
    <xf numFmtId="0" fontId="63" fillId="0" borderId="14" xfId="6" applyFont="1" applyBorder="1" applyAlignment="1">
      <alignment horizontal="center"/>
    </xf>
    <xf numFmtId="0" fontId="2" fillId="0" borderId="47" xfId="6" applyBorder="1" applyAlignment="1">
      <alignment horizontal="center"/>
    </xf>
    <xf numFmtId="169" fontId="62" fillId="0" borderId="14" xfId="6" applyNumberFormat="1" applyFont="1" applyBorder="1" applyAlignment="1">
      <alignment horizontal="center"/>
    </xf>
    <xf numFmtId="2" fontId="62" fillId="0" borderId="14" xfId="6" applyNumberFormat="1" applyFont="1" applyBorder="1" applyAlignment="1">
      <alignment horizontal="center"/>
    </xf>
    <xf numFmtId="169" fontId="155" fillId="0" borderId="14" xfId="6" applyNumberFormat="1" applyFont="1" applyBorder="1" applyAlignment="1">
      <alignment horizontal="center"/>
    </xf>
    <xf numFmtId="2" fontId="155" fillId="0" borderId="14" xfId="6" applyNumberFormat="1" applyFont="1" applyBorder="1" applyAlignment="1">
      <alignment horizontal="center"/>
    </xf>
    <xf numFmtId="169" fontId="61" fillId="0" borderId="14" xfId="6" applyNumberFormat="1" applyFont="1" applyBorder="1" applyAlignment="1">
      <alignment horizontal="center"/>
    </xf>
    <xf numFmtId="2" fontId="61" fillId="0" borderId="14" xfId="6" applyNumberFormat="1" applyFont="1" applyBorder="1" applyAlignment="1">
      <alignment horizontal="center"/>
    </xf>
    <xf numFmtId="169" fontId="63" fillId="0" borderId="14" xfId="6" applyNumberFormat="1" applyFont="1" applyBorder="1" applyAlignment="1">
      <alignment horizontal="center"/>
    </xf>
    <xf numFmtId="2" fontId="63" fillId="0" borderId="14" xfId="6" applyNumberFormat="1" applyFont="1" applyBorder="1" applyAlignment="1">
      <alignment horizontal="center"/>
    </xf>
    <xf numFmtId="0" fontId="2" fillId="0" borderId="19" xfId="6" applyBorder="1" applyAlignment="1">
      <alignment horizontal="center"/>
    </xf>
    <xf numFmtId="0" fontId="2" fillId="0" borderId="8" xfId="6" applyBorder="1" applyAlignment="1">
      <alignment horizontal="center"/>
    </xf>
    <xf numFmtId="165" fontId="2" fillId="0" borderId="11" xfId="6" applyNumberFormat="1" applyBorder="1" applyAlignment="1">
      <alignment horizontal="center"/>
    </xf>
    <xf numFmtId="168" fontId="2" fillId="0" borderId="170" xfId="6" applyNumberFormat="1" applyBorder="1" applyAlignment="1">
      <alignment horizontal="center" vertical="center"/>
    </xf>
    <xf numFmtId="0" fontId="2" fillId="0" borderId="11" xfId="6" applyBorder="1"/>
    <xf numFmtId="0" fontId="2" fillId="0" borderId="1" xfId="6" applyBorder="1"/>
    <xf numFmtId="0" fontId="2" fillId="0" borderId="12" xfId="6" applyBorder="1"/>
    <xf numFmtId="165" fontId="84" fillId="0" borderId="14" xfId="6" applyNumberFormat="1" applyFont="1" applyBorder="1" applyAlignment="1">
      <alignment horizontal="center" vertical="center"/>
    </xf>
    <xf numFmtId="168" fontId="84" fillId="0" borderId="170" xfId="6" applyNumberFormat="1" applyFont="1" applyBorder="1" applyAlignment="1">
      <alignment horizontal="center" vertical="center"/>
    </xf>
    <xf numFmtId="165" fontId="61" fillId="0" borderId="14" xfId="6" applyNumberFormat="1" applyFont="1" applyBorder="1" applyAlignment="1">
      <alignment horizontal="center" vertical="center"/>
    </xf>
    <xf numFmtId="168" fontId="61" fillId="0" borderId="170" xfId="6" applyNumberFormat="1" applyFont="1" applyBorder="1" applyAlignment="1">
      <alignment horizontal="center" vertical="center"/>
    </xf>
    <xf numFmtId="165" fontId="63" fillId="0" borderId="14" xfId="6" applyNumberFormat="1" applyFont="1" applyBorder="1" applyAlignment="1">
      <alignment horizontal="center" vertical="center"/>
    </xf>
    <xf numFmtId="168" fontId="63" fillId="0" borderId="171" xfId="6" applyNumberFormat="1" applyFont="1" applyBorder="1" applyAlignment="1">
      <alignment horizontal="center" vertical="center"/>
    </xf>
    <xf numFmtId="0" fontId="2" fillId="0" borderId="0" xfId="6" applyAlignment="1">
      <alignment horizontal="right"/>
    </xf>
    <xf numFmtId="168" fontId="2" fillId="0" borderId="138" xfId="6" applyNumberFormat="1" applyBorder="1" applyAlignment="1">
      <alignment horizontal="center"/>
    </xf>
    <xf numFmtId="165" fontId="2" fillId="0" borderId="19" xfId="6" applyNumberFormat="1" applyBorder="1" applyAlignment="1">
      <alignment horizontal="center"/>
    </xf>
    <xf numFmtId="0" fontId="2" fillId="0" borderId="12" xfId="6" applyBorder="1" applyAlignment="1">
      <alignment horizontal="center"/>
    </xf>
    <xf numFmtId="0" fontId="2" fillId="0" borderId="14" xfId="6" quotePrefix="1" applyBorder="1" applyAlignment="1">
      <alignment horizontal="center" vertical="center"/>
    </xf>
    <xf numFmtId="0" fontId="2" fillId="0" borderId="172" xfId="6" quotePrefix="1" applyBorder="1" applyAlignment="1">
      <alignment horizontal="center" vertical="center"/>
    </xf>
    <xf numFmtId="0" fontId="2" fillId="0" borderId="0" xfId="6" applyAlignment="1">
      <alignment horizontal="center"/>
    </xf>
    <xf numFmtId="0" fontId="150" fillId="18" borderId="138" xfId="6" applyFont="1" applyFill="1" applyBorder="1" applyAlignment="1">
      <alignment horizontal="center" vertical="center"/>
    </xf>
    <xf numFmtId="1" fontId="2" fillId="0" borderId="0" xfId="6" applyNumberFormat="1"/>
    <xf numFmtId="168" fontId="2" fillId="0" borderId="0" xfId="6" applyNumberFormat="1"/>
    <xf numFmtId="0" fontId="2" fillId="6" borderId="14" xfId="6" applyFill="1" applyBorder="1" applyAlignment="1">
      <alignment horizontal="center" vertical="center"/>
    </xf>
    <xf numFmtId="168" fontId="63" fillId="0" borderId="170" xfId="6" applyNumberFormat="1" applyFont="1" applyBorder="1" applyAlignment="1">
      <alignment horizontal="center" vertical="center"/>
    </xf>
    <xf numFmtId="0" fontId="2" fillId="0" borderId="0" xfId="6" applyAlignment="1">
      <alignment vertical="center"/>
    </xf>
    <xf numFmtId="0" fontId="2" fillId="0" borderId="0" xfId="6" applyAlignment="1">
      <alignment vertical="center" wrapText="1"/>
    </xf>
    <xf numFmtId="0" fontId="2" fillId="2" borderId="11" xfId="6" applyFill="1" applyBorder="1"/>
    <xf numFmtId="0" fontId="2" fillId="2" borderId="1" xfId="6" applyFill="1" applyBorder="1"/>
    <xf numFmtId="0" fontId="2" fillId="2" borderId="12" xfId="6" applyFill="1" applyBorder="1"/>
    <xf numFmtId="0" fontId="141" fillId="0" borderId="0" xfId="6" applyFont="1" applyAlignment="1">
      <alignment vertical="center" wrapText="1"/>
    </xf>
    <xf numFmtId="0" fontId="181" fillId="0" borderId="0" xfId="6" applyFont="1" applyAlignment="1">
      <alignment horizontal="center"/>
    </xf>
    <xf numFmtId="0" fontId="182" fillId="0" borderId="0" xfId="6" applyFont="1" applyAlignment="1">
      <alignment horizontal="center"/>
    </xf>
    <xf numFmtId="0" fontId="2" fillId="0" borderId="8" xfId="6" applyBorder="1"/>
    <xf numFmtId="0" fontId="2" fillId="0" borderId="3" xfId="6" applyBorder="1"/>
    <xf numFmtId="0" fontId="176" fillId="0" borderId="0" xfId="6" applyFont="1" applyAlignment="1">
      <alignment horizontal="center"/>
    </xf>
    <xf numFmtId="0" fontId="184" fillId="0" borderId="0" xfId="6" applyFont="1" applyAlignment="1">
      <alignment horizontal="center"/>
    </xf>
    <xf numFmtId="0" fontId="62" fillId="0" borderId="15" xfId="6" applyFont="1" applyBorder="1" applyAlignment="1">
      <alignment horizontal="center"/>
    </xf>
    <xf numFmtId="0" fontId="59" fillId="0" borderId="18" xfId="6" applyFont="1" applyBorder="1" applyAlignment="1">
      <alignment horizontal="center"/>
    </xf>
    <xf numFmtId="0" fontId="185" fillId="0" borderId="14" xfId="6" applyFont="1" applyBorder="1" applyAlignment="1">
      <alignment horizontal="center"/>
    </xf>
    <xf numFmtId="0" fontId="61" fillId="0" borderId="7" xfId="6" applyFont="1" applyBorder="1" applyAlignment="1">
      <alignment horizontal="right"/>
    </xf>
    <xf numFmtId="0" fontId="61" fillId="0" borderId="0" xfId="6" applyFont="1" applyAlignment="1">
      <alignment horizontal="right"/>
    </xf>
    <xf numFmtId="0" fontId="2" fillId="18" borderId="14" xfId="6" applyFill="1" applyBorder="1" applyAlignment="1">
      <alignment horizontal="center"/>
    </xf>
    <xf numFmtId="0" fontId="62" fillId="0" borderId="8" xfId="6" applyFont="1" applyBorder="1" applyAlignment="1">
      <alignment horizontal="center"/>
    </xf>
    <xf numFmtId="0" fontId="2" fillId="0" borderId="170" xfId="6" applyBorder="1" applyAlignment="1">
      <alignment horizontal="center"/>
    </xf>
    <xf numFmtId="0" fontId="187" fillId="0" borderId="14" xfId="6" applyFont="1" applyBorder="1" applyAlignment="1">
      <alignment horizontal="center"/>
    </xf>
    <xf numFmtId="0" fontId="150" fillId="18" borderId="138" xfId="6" applyFont="1" applyFill="1" applyBorder="1" applyAlignment="1" applyProtection="1">
      <alignment horizontal="center" vertical="center"/>
      <protection locked="0"/>
    </xf>
    <xf numFmtId="169" fontId="180" fillId="0" borderId="170" xfId="6" applyNumberFormat="1" applyFont="1" applyBorder="1" applyAlignment="1">
      <alignment horizontal="center"/>
    </xf>
    <xf numFmtId="2" fontId="185" fillId="0" borderId="17" xfId="6" applyNumberFormat="1" applyFont="1" applyBorder="1" applyAlignment="1">
      <alignment horizontal="center"/>
    </xf>
    <xf numFmtId="2" fontId="190" fillId="0" borderId="17" xfId="6" applyNumberFormat="1" applyFont="1" applyBorder="1" applyAlignment="1">
      <alignment horizontal="center"/>
    </xf>
    <xf numFmtId="2" fontId="62" fillId="0" borderId="17" xfId="6" applyNumberFormat="1" applyFont="1" applyBorder="1" applyAlignment="1">
      <alignment horizontal="center"/>
    </xf>
    <xf numFmtId="1" fontId="186" fillId="0" borderId="17" xfId="6" applyNumberFormat="1" applyFont="1" applyBorder="1" applyAlignment="1">
      <alignment horizontal="center"/>
    </xf>
    <xf numFmtId="169" fontId="186" fillId="0" borderId="17" xfId="6" applyNumberFormat="1" applyFont="1" applyBorder="1" applyAlignment="1">
      <alignment horizontal="center"/>
    </xf>
    <xf numFmtId="2" fontId="186" fillId="0" borderId="17" xfId="6" applyNumberFormat="1" applyFont="1" applyBorder="1" applyAlignment="1">
      <alignment horizontal="center"/>
    </xf>
    <xf numFmtId="169" fontId="189" fillId="0" borderId="17" xfId="6" applyNumberFormat="1" applyFont="1" applyBorder="1" applyAlignment="1">
      <alignment horizontal="center"/>
    </xf>
    <xf numFmtId="1" fontId="2" fillId="0" borderId="17" xfId="6" applyNumberFormat="1" applyBorder="1" applyAlignment="1">
      <alignment horizontal="center"/>
    </xf>
    <xf numFmtId="169" fontId="2" fillId="0" borderId="17" xfId="6" applyNumberFormat="1" applyBorder="1" applyAlignment="1">
      <alignment horizontal="center"/>
    </xf>
    <xf numFmtId="2" fontId="2" fillId="0" borderId="17" xfId="6" applyNumberFormat="1" applyBorder="1" applyAlignment="1">
      <alignment horizontal="center"/>
    </xf>
    <xf numFmtId="169" fontId="62" fillId="0" borderId="17" xfId="6" applyNumberFormat="1" applyFont="1" applyBorder="1" applyAlignment="1">
      <alignment horizontal="center"/>
    </xf>
    <xf numFmtId="0" fontId="187" fillId="0" borderId="17" xfId="6" applyFont="1" applyBorder="1" applyAlignment="1">
      <alignment horizontal="center"/>
    </xf>
    <xf numFmtId="2" fontId="187" fillId="0" borderId="17" xfId="6" applyNumberFormat="1" applyFont="1" applyBorder="1" applyAlignment="1">
      <alignment horizontal="center"/>
    </xf>
    <xf numFmtId="169" fontId="187" fillId="0" borderId="17" xfId="6" applyNumberFormat="1" applyFont="1" applyBorder="1" applyAlignment="1">
      <alignment horizontal="center"/>
    </xf>
    <xf numFmtId="0" fontId="62" fillId="0" borderId="14" xfId="6" applyFont="1" applyBorder="1" applyAlignment="1">
      <alignment horizontal="center"/>
    </xf>
    <xf numFmtId="0" fontId="128" fillId="0" borderId="14" xfId="6" applyFont="1" applyBorder="1" applyAlignment="1">
      <alignment horizontal="center" vertical="center" wrapText="1"/>
    </xf>
    <xf numFmtId="0" fontId="128" fillId="0" borderId="18" xfId="6" applyFont="1" applyBorder="1" applyAlignment="1">
      <alignment horizontal="center"/>
    </xf>
    <xf numFmtId="0" fontId="62" fillId="0" borderId="15" xfId="6" applyFont="1" applyBorder="1" applyAlignment="1">
      <alignment horizontal="center" vertical="center" wrapText="1"/>
    </xf>
    <xf numFmtId="0" fontId="62" fillId="0" borderId="47" xfId="6" applyFont="1" applyBorder="1" applyAlignment="1">
      <alignment horizontal="center"/>
    </xf>
    <xf numFmtId="165" fontId="150" fillId="18" borderId="138" xfId="6" applyNumberFormat="1" applyFont="1" applyFill="1" applyBorder="1" applyAlignment="1" applyProtection="1">
      <alignment horizontal="center" vertical="center"/>
      <protection locked="0"/>
    </xf>
    <xf numFmtId="0" fontId="2" fillId="6" borderId="21" xfId="6" applyFill="1" applyBorder="1" applyAlignment="1" applyProtection="1">
      <alignment horizontal="center"/>
      <protection locked="0"/>
    </xf>
    <xf numFmtId="169" fontId="180" fillId="0" borderId="21" xfId="6" applyNumberFormat="1" applyFont="1" applyBorder="1" applyAlignment="1">
      <alignment horizontal="center"/>
    </xf>
    <xf numFmtId="170" fontId="2" fillId="0" borderId="0" xfId="6" applyNumberFormat="1" applyAlignment="1">
      <alignment horizontal="center"/>
    </xf>
    <xf numFmtId="0" fontId="57" fillId="0" borderId="0" xfId="6" applyFont="1"/>
    <xf numFmtId="0" fontId="57" fillId="0" borderId="0" xfId="6" quotePrefix="1" applyFont="1"/>
    <xf numFmtId="169" fontId="2" fillId="0" borderId="14" xfId="6" applyNumberFormat="1" applyBorder="1" applyAlignment="1">
      <alignment horizontal="center"/>
    </xf>
    <xf numFmtId="0" fontId="2" fillId="18" borderId="96" xfId="6" applyFill="1" applyBorder="1" applyAlignment="1">
      <alignment horizontal="center"/>
    </xf>
    <xf numFmtId="169" fontId="2" fillId="0" borderId="96" xfId="6" applyNumberFormat="1" applyBorder="1" applyAlignment="1">
      <alignment horizontal="center"/>
    </xf>
    <xf numFmtId="168" fontId="2" fillId="0" borderId="96" xfId="6" applyNumberFormat="1" applyBorder="1" applyAlignment="1">
      <alignment horizontal="center"/>
    </xf>
    <xf numFmtId="0" fontId="2" fillId="18" borderId="19" xfId="6" applyFill="1" applyBorder="1" applyAlignment="1">
      <alignment horizontal="center"/>
    </xf>
    <xf numFmtId="169" fontId="2" fillId="0" borderId="19" xfId="6" applyNumberFormat="1" applyBorder="1" applyAlignment="1">
      <alignment horizontal="center"/>
    </xf>
    <xf numFmtId="168" fontId="2" fillId="0" borderId="19" xfId="6" applyNumberFormat="1" applyBorder="1" applyAlignment="1">
      <alignment horizontal="center"/>
    </xf>
    <xf numFmtId="169" fontId="2" fillId="0" borderId="0" xfId="6" applyNumberFormat="1" applyAlignment="1">
      <alignment horizontal="center"/>
    </xf>
    <xf numFmtId="168" fontId="2" fillId="0" borderId="9" xfId="6" applyNumberFormat="1" applyBorder="1" applyAlignment="1">
      <alignment horizontal="center"/>
    </xf>
    <xf numFmtId="168" fontId="2" fillId="0" borderId="0" xfId="6" applyNumberFormat="1" applyAlignment="1">
      <alignment horizontal="center"/>
    </xf>
    <xf numFmtId="0" fontId="2" fillId="6" borderId="32" xfId="6" applyFill="1" applyBorder="1" applyAlignment="1" applyProtection="1">
      <alignment horizontal="center"/>
      <protection locked="0"/>
    </xf>
    <xf numFmtId="0" fontId="2" fillId="0" borderId="7" xfId="6" applyBorder="1" applyAlignment="1">
      <alignment horizontal="right"/>
    </xf>
    <xf numFmtId="0" fontId="191" fillId="0" borderId="14" xfId="6" applyFont="1" applyBorder="1" applyAlignment="1">
      <alignment horizontal="center"/>
    </xf>
    <xf numFmtId="0" fontId="2" fillId="6" borderId="21" xfId="6" applyFill="1" applyBorder="1" applyAlignment="1" applyProtection="1">
      <alignment horizontal="center" vertical="center"/>
      <protection locked="0"/>
    </xf>
    <xf numFmtId="0" fontId="2" fillId="6" borderId="14" xfId="6" applyFill="1" applyBorder="1" applyAlignment="1" applyProtection="1">
      <alignment horizontal="center" vertical="center"/>
      <protection locked="0"/>
    </xf>
    <xf numFmtId="0" fontId="2" fillId="6" borderId="18" xfId="6" applyFill="1" applyBorder="1" applyAlignment="1" applyProtection="1">
      <alignment horizontal="center"/>
      <protection locked="0"/>
    </xf>
    <xf numFmtId="165" fontId="2" fillId="0" borderId="0" xfId="6" applyNumberFormat="1" applyAlignment="1">
      <alignment horizontal="center" vertical="center"/>
    </xf>
    <xf numFmtId="169" fontId="2" fillId="0" borderId="0" xfId="6" applyNumberFormat="1"/>
    <xf numFmtId="168" fontId="2" fillId="0" borderId="178" xfId="6" applyNumberFormat="1" applyBorder="1" applyAlignment="1">
      <alignment horizontal="center" vertical="center"/>
    </xf>
    <xf numFmtId="0" fontId="2" fillId="0" borderId="0" xfId="6" applyAlignment="1">
      <alignment horizontal="right" vertical="center"/>
    </xf>
    <xf numFmtId="169" fontId="176" fillId="0" borderId="14" xfId="6" applyNumberFormat="1" applyFont="1" applyBorder="1" applyAlignment="1">
      <alignment horizontal="center"/>
    </xf>
    <xf numFmtId="168" fontId="2" fillId="0" borderId="19" xfId="6" applyNumberFormat="1" applyBorder="1" applyAlignment="1">
      <alignment horizontal="center" vertical="center"/>
    </xf>
    <xf numFmtId="0" fontId="2" fillId="0" borderId="25" xfId="6" applyBorder="1"/>
    <xf numFmtId="0" fontId="58" fillId="23" borderId="6" xfId="6" applyFont="1" applyFill="1" applyBorder="1" applyAlignment="1">
      <alignment horizontal="center"/>
    </xf>
    <xf numFmtId="0" fontId="141" fillId="0" borderId="181" xfId="6" applyFont="1" applyBorder="1"/>
    <xf numFmtId="0" fontId="141" fillId="0" borderId="1" xfId="6" applyFont="1" applyBorder="1"/>
    <xf numFmtId="0" fontId="2" fillId="0" borderId="182" xfId="6" applyBorder="1" applyAlignment="1">
      <alignment horizontal="center" vertical="center"/>
    </xf>
    <xf numFmtId="0" fontId="58" fillId="23" borderId="5" xfId="6" applyFont="1" applyFill="1" applyBorder="1" applyAlignment="1">
      <alignment horizontal="center" vertical="center"/>
    </xf>
    <xf numFmtId="0" fontId="193" fillId="0" borderId="1" xfId="6" applyFont="1" applyBorder="1" applyAlignment="1">
      <alignment horizontal="center" vertical="center"/>
    </xf>
    <xf numFmtId="0" fontId="180" fillId="0" borderId="2" xfId="6" applyFont="1" applyBorder="1" applyAlignment="1">
      <alignment vertical="center"/>
    </xf>
    <xf numFmtId="0" fontId="2" fillId="0" borderId="184" xfId="6" applyBorder="1" applyAlignment="1">
      <alignment horizontal="center"/>
    </xf>
    <xf numFmtId="0" fontId="58" fillId="23" borderId="2" xfId="6" applyFont="1" applyFill="1" applyBorder="1" applyAlignment="1">
      <alignment horizontal="center" vertical="center"/>
    </xf>
    <xf numFmtId="0" fontId="2" fillId="0" borderId="187" xfId="6" applyBorder="1" applyAlignment="1">
      <alignment horizontal="center"/>
    </xf>
    <xf numFmtId="0" fontId="185" fillId="0" borderId="14" xfId="6" applyFont="1" applyBorder="1" applyAlignment="1">
      <alignment horizontal="center" vertical="center"/>
    </xf>
    <xf numFmtId="0" fontId="62" fillId="0" borderId="14" xfId="6" applyFont="1" applyBorder="1" applyAlignment="1">
      <alignment horizontal="center" vertical="center"/>
    </xf>
    <xf numFmtId="0" fontId="186" fillId="0" borderId="14" xfId="6" applyFont="1" applyBorder="1" applyAlignment="1">
      <alignment horizontal="center" vertical="center"/>
    </xf>
    <xf numFmtId="0" fontId="2" fillId="0" borderId="7" xfId="6" applyBorder="1" applyAlignment="1">
      <alignment horizontal="center" vertical="center"/>
    </xf>
    <xf numFmtId="0" fontId="2" fillId="0" borderId="188" xfId="6" applyBorder="1" applyAlignment="1">
      <alignment horizontal="center" vertical="center"/>
    </xf>
    <xf numFmtId="0" fontId="2" fillId="0" borderId="114" xfId="6" applyBorder="1" applyAlignment="1">
      <alignment horizontal="center" vertical="center"/>
    </xf>
    <xf numFmtId="0" fontId="2" fillId="0" borderId="11" xfId="6" applyBorder="1" applyAlignment="1">
      <alignment horizontal="center" vertical="center"/>
    </xf>
    <xf numFmtId="0" fontId="2" fillId="0" borderId="108" xfId="6" applyBorder="1" applyAlignment="1">
      <alignment horizontal="center" vertical="center"/>
    </xf>
    <xf numFmtId="0" fontId="58" fillId="0" borderId="2" xfId="6" applyFont="1" applyBorder="1" applyAlignment="1">
      <alignment horizontal="center" vertical="center"/>
    </xf>
    <xf numFmtId="0" fontId="2" fillId="0" borderId="23" xfId="6" applyBorder="1" applyAlignment="1">
      <alignment horizontal="center" vertical="center"/>
    </xf>
    <xf numFmtId="0" fontId="2" fillId="0" borderId="189" xfId="6" applyBorder="1" applyAlignment="1">
      <alignment horizontal="center" vertical="center"/>
    </xf>
    <xf numFmtId="0" fontId="187" fillId="0" borderId="14" xfId="6" applyFont="1" applyBorder="1" applyAlignment="1">
      <alignment horizontal="center" vertical="center"/>
    </xf>
    <xf numFmtId="0" fontId="2" fillId="0" borderId="11" xfId="6" applyBorder="1" applyAlignment="1">
      <alignment horizontal="center"/>
    </xf>
    <xf numFmtId="0" fontId="2" fillId="0" borderId="190" xfId="6" applyBorder="1" applyAlignment="1">
      <alignment horizontal="center" vertical="center"/>
    </xf>
    <xf numFmtId="165" fontId="58" fillId="6" borderId="114" xfId="6" applyNumberFormat="1" applyFont="1" applyFill="1" applyBorder="1" applyAlignment="1" applyProtection="1">
      <alignment horizontal="center" vertical="center"/>
      <protection locked="0"/>
    </xf>
    <xf numFmtId="165" fontId="58" fillId="6" borderId="18" xfId="6" applyNumberFormat="1" applyFont="1" applyFill="1" applyBorder="1" applyAlignment="1" applyProtection="1">
      <alignment horizontal="center" vertical="center"/>
      <protection locked="0"/>
    </xf>
    <xf numFmtId="0" fontId="58" fillId="6" borderId="22" xfId="6" applyFont="1" applyFill="1" applyBorder="1" applyAlignment="1" applyProtection="1">
      <alignment horizontal="center" vertical="center"/>
      <protection locked="0"/>
    </xf>
    <xf numFmtId="0" fontId="58" fillId="6" borderId="18" xfId="6" applyFont="1" applyFill="1" applyBorder="1" applyAlignment="1" applyProtection="1">
      <alignment horizontal="center" vertical="center"/>
      <protection locked="0"/>
    </xf>
    <xf numFmtId="1" fontId="58" fillId="6" borderId="11" xfId="6" applyNumberFormat="1" applyFont="1" applyFill="1" applyBorder="1" applyAlignment="1" applyProtection="1">
      <alignment horizontal="center" vertical="center"/>
      <protection locked="0"/>
    </xf>
    <xf numFmtId="1" fontId="58" fillId="6" borderId="19" xfId="6" applyNumberFormat="1" applyFont="1" applyFill="1" applyBorder="1" applyAlignment="1" applyProtection="1">
      <alignment horizontal="center" vertical="center"/>
      <protection locked="0"/>
    </xf>
    <xf numFmtId="1" fontId="58" fillId="6" borderId="114" xfId="6" applyNumberFormat="1" applyFont="1" applyFill="1" applyBorder="1" applyAlignment="1" applyProtection="1">
      <alignment horizontal="center" vertical="center"/>
      <protection locked="0"/>
    </xf>
    <xf numFmtId="2" fontId="58" fillId="6" borderId="108" xfId="6" applyNumberFormat="1" applyFont="1" applyFill="1" applyBorder="1" applyAlignment="1" applyProtection="1">
      <alignment horizontal="center" vertical="center"/>
      <protection locked="0"/>
    </xf>
    <xf numFmtId="169" fontId="58" fillId="6" borderId="180" xfId="6" applyNumberFormat="1" applyFont="1" applyFill="1" applyBorder="1" applyAlignment="1" applyProtection="1">
      <alignment horizontal="center" vertical="center"/>
      <protection locked="0"/>
    </xf>
    <xf numFmtId="169" fontId="180" fillId="0" borderId="21" xfId="6" applyNumberFormat="1" applyFont="1" applyBorder="1" applyAlignment="1">
      <alignment horizontal="center" vertical="center"/>
    </xf>
    <xf numFmtId="169" fontId="62" fillId="0" borderId="191" xfId="6" applyNumberFormat="1" applyFont="1" applyBorder="1" applyAlignment="1">
      <alignment horizontal="center" vertical="center"/>
    </xf>
    <xf numFmtId="168" fontId="2" fillId="0" borderId="192" xfId="6" applyNumberFormat="1" applyBorder="1" applyAlignment="1">
      <alignment horizontal="center"/>
    </xf>
    <xf numFmtId="0" fontId="89" fillId="0" borderId="0" xfId="6" applyFont="1" applyAlignment="1">
      <alignment vertical="center"/>
    </xf>
    <xf numFmtId="2" fontId="185" fillId="0" borderId="146" xfId="6" applyNumberFormat="1" applyFont="1" applyBorder="1" applyAlignment="1">
      <alignment horizontal="center" vertical="center"/>
    </xf>
    <xf numFmtId="2" fontId="190" fillId="0" borderId="27" xfId="6" applyNumberFormat="1" applyFont="1" applyBorder="1" applyAlignment="1">
      <alignment horizontal="center" vertical="center"/>
    </xf>
    <xf numFmtId="2" fontId="62" fillId="0" borderId="146" xfId="6" applyNumberFormat="1" applyFont="1" applyBorder="1" applyAlignment="1">
      <alignment horizontal="center" vertical="center"/>
    </xf>
    <xf numFmtId="2" fontId="62" fillId="0" borderId="27" xfId="6" applyNumberFormat="1" applyFont="1" applyBorder="1" applyAlignment="1">
      <alignment horizontal="center" vertical="center"/>
    </xf>
    <xf numFmtId="1" fontId="186" fillId="0" borderId="146" xfId="6" applyNumberFormat="1" applyFont="1" applyBorder="1" applyAlignment="1">
      <alignment horizontal="center" vertical="center"/>
    </xf>
    <xf numFmtId="1" fontId="186" fillId="0" borderId="17" xfId="6" applyNumberFormat="1" applyFont="1" applyBorder="1" applyAlignment="1">
      <alignment horizontal="center" vertical="center"/>
    </xf>
    <xf numFmtId="169" fontId="186" fillId="0" borderId="17" xfId="6" applyNumberFormat="1" applyFont="1" applyBorder="1" applyAlignment="1">
      <alignment horizontal="center" vertical="center"/>
    </xf>
    <xf numFmtId="2" fontId="186" fillId="0" borderId="17" xfId="6" applyNumberFormat="1" applyFont="1" applyBorder="1" applyAlignment="1">
      <alignment horizontal="center" vertical="center"/>
    </xf>
    <xf numFmtId="169" fontId="189" fillId="0" borderId="17" xfId="6" applyNumberFormat="1" applyFont="1" applyBorder="1" applyAlignment="1">
      <alignment horizontal="center" vertical="center"/>
    </xf>
    <xf numFmtId="1" fontId="2" fillId="0" borderId="146" xfId="6" applyNumberFormat="1" applyBorder="1" applyAlignment="1">
      <alignment horizontal="center" vertical="center"/>
    </xf>
    <xf numFmtId="169" fontId="2" fillId="0" borderId="17" xfId="6" applyNumberFormat="1" applyBorder="1" applyAlignment="1">
      <alignment horizontal="center" vertical="center"/>
    </xf>
    <xf numFmtId="2" fontId="2" fillId="0" borderId="17" xfId="6" applyNumberFormat="1" applyBorder="1" applyAlignment="1">
      <alignment horizontal="center" vertical="center"/>
    </xf>
    <xf numFmtId="169" fontId="62" fillId="0" borderId="17" xfId="6" applyNumberFormat="1" applyFont="1" applyBorder="1" applyAlignment="1">
      <alignment horizontal="center" vertical="center"/>
    </xf>
    <xf numFmtId="169" fontId="189" fillId="0" borderId="27" xfId="6" applyNumberFormat="1" applyFont="1" applyBorder="1" applyAlignment="1">
      <alignment horizontal="center" vertical="center"/>
    </xf>
    <xf numFmtId="0" fontId="187" fillId="0" borderId="146" xfId="6" applyFont="1" applyBorder="1" applyAlignment="1">
      <alignment horizontal="center" vertical="center"/>
    </xf>
    <xf numFmtId="2" fontId="187" fillId="0" borderId="17" xfId="6" applyNumberFormat="1" applyFont="1" applyBorder="1" applyAlignment="1">
      <alignment horizontal="center" vertical="center"/>
    </xf>
    <xf numFmtId="169" fontId="187" fillId="0" borderId="17" xfId="6" applyNumberFormat="1" applyFont="1" applyBorder="1" applyAlignment="1">
      <alignment horizontal="center" vertical="center"/>
    </xf>
    <xf numFmtId="169" fontId="189" fillId="0" borderId="193" xfId="6" applyNumberFormat="1" applyFont="1" applyBorder="1" applyAlignment="1">
      <alignment horizontal="center" vertical="center"/>
    </xf>
    <xf numFmtId="169" fontId="2" fillId="0" borderId="194" xfId="6" applyNumberFormat="1" applyBorder="1" applyAlignment="1">
      <alignment horizontal="center" vertical="center"/>
    </xf>
    <xf numFmtId="2" fontId="2" fillId="0" borderId="194" xfId="6" applyNumberFormat="1" applyBorder="1" applyAlignment="1">
      <alignment horizontal="center" vertical="center"/>
    </xf>
    <xf numFmtId="169" fontId="62" fillId="0" borderId="194" xfId="6" applyNumberFormat="1" applyFont="1" applyBorder="1" applyAlignment="1">
      <alignment horizontal="center" vertical="center"/>
    </xf>
    <xf numFmtId="169" fontId="176" fillId="0" borderId="195" xfId="6" applyNumberFormat="1" applyFont="1" applyBorder="1" applyAlignment="1">
      <alignment horizontal="center" vertical="center"/>
    </xf>
    <xf numFmtId="169" fontId="2" fillId="0" borderId="170" xfId="6" applyNumberFormat="1" applyBorder="1" applyAlignment="1">
      <alignment horizontal="center" vertical="center"/>
    </xf>
    <xf numFmtId="169" fontId="58" fillId="6" borderId="2" xfId="6" applyNumberFormat="1" applyFont="1" applyFill="1" applyBorder="1" applyAlignment="1" applyProtection="1">
      <alignment horizontal="center" vertical="center"/>
      <protection locked="0"/>
    </xf>
    <xf numFmtId="169" fontId="62" fillId="0" borderId="196" xfId="6" applyNumberFormat="1" applyFont="1" applyBorder="1" applyAlignment="1">
      <alignment horizontal="center" vertical="center"/>
    </xf>
    <xf numFmtId="168" fontId="2" fillId="0" borderId="197" xfId="6" applyNumberFormat="1" applyBorder="1" applyAlignment="1">
      <alignment horizontal="center"/>
    </xf>
    <xf numFmtId="2" fontId="185" fillId="0" borderId="148" xfId="6" applyNumberFormat="1" applyFont="1" applyBorder="1" applyAlignment="1">
      <alignment horizontal="center" vertical="center"/>
    </xf>
    <xf numFmtId="2" fontId="62" fillId="0" borderId="148" xfId="6" applyNumberFormat="1" applyFont="1" applyBorder="1" applyAlignment="1">
      <alignment horizontal="center" vertical="center"/>
    </xf>
    <xf numFmtId="1" fontId="186" fillId="0" borderId="148" xfId="6" applyNumberFormat="1" applyFont="1" applyBorder="1" applyAlignment="1">
      <alignment horizontal="center" vertical="center"/>
    </xf>
    <xf numFmtId="1" fontId="2" fillId="0" borderId="148" xfId="6" applyNumberFormat="1" applyBorder="1" applyAlignment="1">
      <alignment horizontal="center" vertical="center"/>
    </xf>
    <xf numFmtId="0" fontId="187" fillId="0" borderId="198" xfId="6" applyFont="1" applyBorder="1" applyAlignment="1">
      <alignment horizontal="center" vertical="center"/>
    </xf>
    <xf numFmtId="169" fontId="189" fillId="0" borderId="199" xfId="6" applyNumberFormat="1" applyFont="1" applyBorder="1" applyAlignment="1">
      <alignment horizontal="center" vertical="center"/>
    </xf>
    <xf numFmtId="2" fontId="185" fillId="0" borderId="198" xfId="6" applyNumberFormat="1" applyFont="1" applyBorder="1" applyAlignment="1">
      <alignment horizontal="center" vertical="center"/>
    </xf>
    <xf numFmtId="2" fontId="62" fillId="0" borderId="198" xfId="6" applyNumberFormat="1" applyFont="1" applyBorder="1" applyAlignment="1">
      <alignment horizontal="center" vertical="center"/>
    </xf>
    <xf numFmtId="1" fontId="186" fillId="0" borderId="198" xfId="6" applyNumberFormat="1" applyFont="1" applyBorder="1" applyAlignment="1">
      <alignment horizontal="center" vertical="center"/>
    </xf>
    <xf numFmtId="0" fontId="0" fillId="24" borderId="0" xfId="0" applyFill="1"/>
    <xf numFmtId="0" fontId="0" fillId="24" borderId="0" xfId="0" applyFill="1" applyAlignment="1">
      <alignment wrapText="1"/>
    </xf>
    <xf numFmtId="0" fontId="202" fillId="24" borderId="0" xfId="0" applyFont="1" applyFill="1" applyAlignment="1">
      <alignment vertical="center" wrapText="1"/>
    </xf>
    <xf numFmtId="0" fontId="202" fillId="24" borderId="0" xfId="0" applyFont="1" applyFill="1" applyAlignment="1">
      <alignment horizontal="right" vertical="center" wrapText="1"/>
    </xf>
    <xf numFmtId="0" fontId="200" fillId="0" borderId="0" xfId="7" applyNumberFormat="1" applyFont="1" applyAlignment="1">
      <alignment vertical="center"/>
    </xf>
    <xf numFmtId="1" fontId="200" fillId="0" borderId="0" xfId="7" applyNumberFormat="1" applyFont="1" applyBorder="1" applyAlignment="1">
      <alignment vertical="center"/>
    </xf>
    <xf numFmtId="1" fontId="213" fillId="0" borderId="0" xfId="7" applyNumberFormat="1" applyFont="1" applyBorder="1" applyAlignment="1">
      <alignment horizontal="left" vertical="center"/>
    </xf>
    <xf numFmtId="1" fontId="200" fillId="0" borderId="0" xfId="7" applyNumberFormat="1" applyFont="1" applyBorder="1" applyAlignment="1">
      <alignment horizontal="center" vertical="center"/>
    </xf>
    <xf numFmtId="0" fontId="200" fillId="0" borderId="0" xfId="7" applyNumberFormat="1" applyFont="1" applyBorder="1" applyAlignment="1">
      <alignment vertical="center"/>
    </xf>
    <xf numFmtId="0" fontId="200" fillId="0" borderId="0" xfId="7" applyFont="1" applyBorder="1" applyAlignment="1">
      <alignment vertical="center"/>
    </xf>
    <xf numFmtId="0" fontId="212" fillId="0" borderId="0" xfId="7" applyNumberFormat="1" applyFont="1" applyBorder="1" applyAlignment="1">
      <alignment vertical="center"/>
    </xf>
    <xf numFmtId="0" fontId="211" fillId="0" borderId="0" xfId="7" applyBorder="1" applyAlignment="1" applyProtection="1">
      <alignment vertical="center"/>
      <protection hidden="1"/>
    </xf>
    <xf numFmtId="171" fontId="215" fillId="0" borderId="0" xfId="7" applyNumberFormat="1" applyFont="1" applyBorder="1" applyAlignment="1">
      <alignment horizontal="right" vertical="center"/>
    </xf>
    <xf numFmtId="1" fontId="201" fillId="0" borderId="0" xfId="7" applyNumberFormat="1" applyFont="1" applyBorder="1" applyAlignment="1">
      <alignment horizontal="center" vertical="center" wrapText="1"/>
    </xf>
    <xf numFmtId="1" fontId="216" fillId="0" borderId="0" xfId="7" applyNumberFormat="1" applyFont="1" applyBorder="1" applyAlignment="1">
      <alignment horizontal="center" vertical="center" wrapText="1"/>
    </xf>
    <xf numFmtId="1" fontId="215" fillId="0" borderId="0" xfId="7" applyNumberFormat="1" applyFont="1" applyBorder="1" applyAlignment="1">
      <alignment vertical="center"/>
    </xf>
    <xf numFmtId="1" fontId="200" fillId="0" borderId="200" xfId="7" applyNumberFormat="1" applyFont="1" applyBorder="1" applyAlignment="1">
      <alignment vertical="center"/>
    </xf>
    <xf numFmtId="1" fontId="200" fillId="0" borderId="201" xfId="7" applyNumberFormat="1" applyFont="1" applyBorder="1" applyAlignment="1">
      <alignment vertical="center"/>
    </xf>
    <xf numFmtId="1" fontId="216" fillId="0" borderId="201" xfId="7" applyNumberFormat="1" applyFont="1" applyBorder="1" applyAlignment="1">
      <alignment horizontal="center" vertical="center" wrapText="1"/>
    </xf>
    <xf numFmtId="0" fontId="217" fillId="0" borderId="201" xfId="7" applyNumberFormat="1" applyFont="1" applyBorder="1" applyAlignment="1">
      <alignment vertical="center"/>
    </xf>
    <xf numFmtId="1" fontId="200" fillId="0" borderId="202" xfId="7" applyNumberFormat="1" applyFont="1" applyBorder="1" applyAlignment="1">
      <alignment vertical="center"/>
    </xf>
    <xf numFmtId="0" fontId="217" fillId="0" borderId="203" xfId="7" applyNumberFormat="1" applyFont="1" applyBorder="1" applyAlignment="1">
      <alignment horizontal="right" vertical="center" wrapText="1"/>
    </xf>
    <xf numFmtId="0" fontId="219" fillId="0" borderId="0" xfId="7" applyFont="1" applyBorder="1" applyAlignment="1">
      <alignment vertical="center"/>
    </xf>
    <xf numFmtId="1" fontId="220" fillId="0" borderId="205" xfId="7" applyNumberFormat="1" applyFont="1" applyBorder="1" applyAlignment="1">
      <alignment horizontal="center" vertical="center"/>
    </xf>
    <xf numFmtId="1" fontId="217" fillId="0" borderId="0" xfId="7" applyNumberFormat="1" applyFont="1" applyBorder="1" applyAlignment="1">
      <alignment vertical="center"/>
    </xf>
    <xf numFmtId="0" fontId="222" fillId="0" borderId="207" xfId="7" applyFont="1" applyFill="1" applyBorder="1" applyAlignment="1">
      <alignment horizontal="center" vertical="center" wrapText="1"/>
    </xf>
    <xf numFmtId="0" fontId="222" fillId="0" borderId="0" xfId="7" applyFont="1" applyFill="1" applyBorder="1" applyAlignment="1">
      <alignment horizontal="center" vertical="center" wrapText="1"/>
    </xf>
    <xf numFmtId="1" fontId="200" fillId="0" borderId="0" xfId="7" applyNumberFormat="1" applyFont="1" applyBorder="1" applyAlignment="1">
      <alignment horizontal="right" vertical="center" wrapText="1"/>
    </xf>
    <xf numFmtId="0" fontId="223" fillId="0" borderId="0" xfId="7" applyNumberFormat="1" applyFont="1" applyFill="1" applyBorder="1" applyAlignment="1">
      <alignment horizontal="left" vertical="center" wrapText="1"/>
    </xf>
    <xf numFmtId="0" fontId="224" fillId="0" borderId="0" xfId="7" applyFont="1" applyFill="1" applyBorder="1" applyAlignment="1">
      <alignment vertical="center" wrapText="1"/>
    </xf>
    <xf numFmtId="0" fontId="225" fillId="0" borderId="0" xfId="7" applyFont="1" applyFill="1" applyBorder="1" applyAlignment="1">
      <alignment vertical="center" wrapText="1"/>
    </xf>
    <xf numFmtId="0" fontId="217" fillId="0" borderId="0" xfId="7" applyNumberFormat="1" applyFont="1" applyBorder="1" applyAlignment="1">
      <alignment vertical="center"/>
    </xf>
    <xf numFmtId="0" fontId="217" fillId="0" borderId="223" xfId="7" applyNumberFormat="1" applyFont="1" applyBorder="1" applyAlignment="1">
      <alignment horizontal="right" vertical="center" wrapText="1"/>
    </xf>
    <xf numFmtId="1" fontId="200" fillId="0" borderId="204" xfId="7" applyNumberFormat="1" applyFont="1" applyBorder="1" applyAlignment="1">
      <alignment horizontal="right" vertical="center" wrapText="1"/>
    </xf>
    <xf numFmtId="0" fontId="220" fillId="0" borderId="204" xfId="7" applyNumberFormat="1" applyFont="1" applyFill="1" applyBorder="1" applyAlignment="1">
      <alignment horizontal="left" vertical="center" wrapText="1"/>
    </xf>
    <xf numFmtId="0" fontId="200" fillId="0" borderId="204" xfId="7" applyFont="1" applyFill="1" applyBorder="1" applyAlignment="1">
      <alignment vertical="center" wrapText="1"/>
    </xf>
    <xf numFmtId="0" fontId="226" fillId="0" borderId="204" xfId="7" applyFont="1" applyFill="1" applyBorder="1" applyAlignment="1">
      <alignment vertical="center" wrapText="1"/>
    </xf>
    <xf numFmtId="0" fontId="200" fillId="0" borderId="204" xfId="7" applyFont="1" applyBorder="1" applyAlignment="1">
      <alignment vertical="center" wrapText="1"/>
    </xf>
    <xf numFmtId="1" fontId="200" fillId="0" borderId="204" xfId="7" applyNumberFormat="1" applyFont="1" applyBorder="1" applyAlignment="1">
      <alignment vertical="center"/>
    </xf>
    <xf numFmtId="0" fontId="217" fillId="0" borderId="204" xfId="7" applyNumberFormat="1" applyFont="1" applyBorder="1" applyAlignment="1">
      <alignment vertical="center"/>
    </xf>
    <xf numFmtId="1" fontId="217" fillId="0" borderId="204" xfId="7" applyNumberFormat="1" applyFont="1" applyBorder="1" applyAlignment="1">
      <alignment horizontal="center" vertical="center"/>
    </xf>
    <xf numFmtId="0" fontId="220" fillId="0" borderId="204" xfId="7" applyNumberFormat="1" applyFont="1" applyBorder="1" applyAlignment="1" applyProtection="1">
      <alignment horizontal="center" vertical="center"/>
      <protection locked="0"/>
    </xf>
    <xf numFmtId="0" fontId="200" fillId="0" borderId="204" xfId="7" applyNumberFormat="1" applyFont="1" applyBorder="1" applyAlignment="1" applyProtection="1">
      <alignment vertical="center"/>
      <protection locked="0"/>
    </xf>
    <xf numFmtId="1" fontId="220" fillId="0" borderId="209" xfId="7" applyNumberFormat="1" applyFont="1" applyBorder="1" applyAlignment="1">
      <alignment horizontal="center" vertical="center"/>
    </xf>
    <xf numFmtId="0" fontId="220" fillId="0" borderId="0" xfId="7" applyNumberFormat="1" applyFont="1" applyFill="1" applyBorder="1" applyAlignment="1">
      <alignment horizontal="left" vertical="center" wrapText="1"/>
    </xf>
    <xf numFmtId="0" fontId="200" fillId="0" borderId="0" xfId="7" applyFont="1" applyFill="1" applyBorder="1" applyAlignment="1">
      <alignment vertical="center" wrapText="1"/>
    </xf>
    <xf numFmtId="0" fontId="226" fillId="0" borderId="0" xfId="7" applyFont="1" applyFill="1" applyBorder="1" applyAlignment="1">
      <alignment vertical="center" wrapText="1"/>
    </xf>
    <xf numFmtId="0" fontId="200" fillId="0" borderId="0" xfId="7" applyFont="1" applyBorder="1" applyAlignment="1">
      <alignment vertical="center" wrapText="1"/>
    </xf>
    <xf numFmtId="1" fontId="217" fillId="0" borderId="0" xfId="7" applyNumberFormat="1" applyFont="1" applyBorder="1" applyAlignment="1">
      <alignment horizontal="center" vertical="center"/>
    </xf>
    <xf numFmtId="0" fontId="220" fillId="0" borderId="0" xfId="7" applyNumberFormat="1" applyFont="1" applyBorder="1" applyAlignment="1" applyProtection="1">
      <alignment horizontal="center" vertical="center"/>
      <protection locked="0"/>
    </xf>
    <xf numFmtId="0" fontId="200" fillId="0" borderId="0" xfId="7" applyNumberFormat="1" applyFont="1" applyBorder="1" applyAlignment="1" applyProtection="1">
      <alignment vertical="center"/>
      <protection locked="0"/>
    </xf>
    <xf numFmtId="0" fontId="217" fillId="0" borderId="0" xfId="7" applyNumberFormat="1" applyFont="1" applyBorder="1" applyAlignment="1">
      <alignment horizontal="center" vertical="center"/>
    </xf>
    <xf numFmtId="0" fontId="217" fillId="0" borderId="0" xfId="7" applyNumberFormat="1" applyFont="1" applyBorder="1" applyAlignment="1" applyProtection="1">
      <alignment horizontal="center" vertical="center"/>
      <protection locked="0"/>
    </xf>
    <xf numFmtId="0" fontId="211" fillId="0" borderId="0" xfId="7" applyAlignment="1">
      <alignment vertical="center"/>
    </xf>
    <xf numFmtId="1" fontId="217" fillId="0" borderId="205" xfId="7" applyNumberFormat="1" applyFont="1" applyBorder="1" applyAlignment="1">
      <alignment vertical="center"/>
    </xf>
    <xf numFmtId="1" fontId="200" fillId="0" borderId="203" xfId="7" applyNumberFormat="1" applyFont="1" applyBorder="1" applyAlignment="1">
      <alignment vertical="center"/>
    </xf>
    <xf numFmtId="1" fontId="227" fillId="0" borderId="0" xfId="7" applyNumberFormat="1" applyFont="1" applyBorder="1" applyAlignment="1">
      <alignment vertical="center"/>
    </xf>
    <xf numFmtId="0" fontId="227" fillId="0" borderId="0" xfId="7" applyNumberFormat="1" applyFont="1" applyBorder="1" applyAlignment="1">
      <alignment vertical="center"/>
    </xf>
    <xf numFmtId="1" fontId="227" fillId="0" borderId="0" xfId="7" applyNumberFormat="1" applyFont="1" applyBorder="1" applyAlignment="1">
      <alignment horizontal="right" vertical="center"/>
    </xf>
    <xf numFmtId="1" fontId="200" fillId="0" borderId="0" xfId="7" applyNumberFormat="1" applyFont="1" applyBorder="1" applyAlignment="1">
      <alignment vertical="center" wrapText="1"/>
    </xf>
    <xf numFmtId="1" fontId="222" fillId="0" borderId="0" xfId="7" applyNumberFormat="1" applyFont="1" applyBorder="1" applyAlignment="1">
      <alignment vertical="center"/>
    </xf>
    <xf numFmtId="0" fontId="217" fillId="0" borderId="205" xfId="7" applyNumberFormat="1" applyFont="1" applyBorder="1" applyAlignment="1">
      <alignment vertical="center"/>
    </xf>
    <xf numFmtId="1" fontId="200" fillId="0" borderId="205" xfId="7" applyNumberFormat="1" applyFont="1" applyBorder="1" applyAlignment="1">
      <alignment vertical="center"/>
    </xf>
    <xf numFmtId="1" fontId="229" fillId="0" borderId="0" xfId="7" applyNumberFormat="1" applyFont="1" applyBorder="1" applyAlignment="1">
      <alignment horizontal="left" vertical="center"/>
    </xf>
    <xf numFmtId="0" fontId="219" fillId="0" borderId="0" xfId="7" applyFont="1" applyBorder="1" applyAlignment="1">
      <alignment horizontal="left" vertical="center" wrapText="1"/>
    </xf>
    <xf numFmtId="1" fontId="217" fillId="0" borderId="0" xfId="7" applyNumberFormat="1" applyFont="1" applyBorder="1" applyAlignment="1" applyProtection="1">
      <alignment horizontal="center" vertical="center"/>
    </xf>
    <xf numFmtId="1" fontId="217" fillId="0" borderId="0" xfId="7" applyNumberFormat="1" applyFont="1" applyBorder="1" applyAlignment="1">
      <alignment horizontal="left" vertical="center"/>
    </xf>
    <xf numFmtId="1" fontId="217" fillId="0" borderId="0" xfId="7" applyNumberFormat="1" applyFont="1" applyBorder="1" applyAlignment="1" applyProtection="1">
      <alignment vertical="center"/>
    </xf>
    <xf numFmtId="0" fontId="217" fillId="0" borderId="0" xfId="7" applyNumberFormat="1" applyFont="1" applyBorder="1" applyAlignment="1" applyProtection="1">
      <alignment horizontal="center" vertical="center"/>
    </xf>
    <xf numFmtId="0" fontId="220" fillId="0" borderId="0" xfId="7" applyNumberFormat="1" applyFont="1" applyBorder="1" applyAlignment="1" applyProtection="1">
      <alignment horizontal="center" vertical="center"/>
    </xf>
    <xf numFmtId="0" fontId="200" fillId="0" borderId="0" xfId="7" applyNumberFormat="1" applyFont="1" applyBorder="1" applyAlignment="1" applyProtection="1">
      <alignment horizontal="center" vertical="center"/>
    </xf>
    <xf numFmtId="1" fontId="200" fillId="0" borderId="0" xfId="7" applyNumberFormat="1" applyFont="1" applyBorder="1" applyAlignment="1" applyProtection="1">
      <alignment horizontal="center" vertical="center"/>
    </xf>
    <xf numFmtId="1" fontId="200" fillId="0" borderId="203" xfId="7" applyNumberFormat="1" applyFont="1" applyBorder="1" applyAlignment="1" applyProtection="1">
      <alignment vertical="center"/>
    </xf>
    <xf numFmtId="1" fontId="200" fillId="0" borderId="0" xfId="7" applyNumberFormat="1" applyFont="1" applyBorder="1" applyAlignment="1" applyProtection="1">
      <alignment vertical="center"/>
    </xf>
    <xf numFmtId="0" fontId="200" fillId="0" borderId="224" xfId="7" applyNumberFormat="1" applyFont="1" applyBorder="1" applyAlignment="1" applyProtection="1">
      <alignment horizontal="center" vertical="center"/>
    </xf>
    <xf numFmtId="0" fontId="231" fillId="0" borderId="0" xfId="7" applyNumberFormat="1" applyFont="1" applyBorder="1" applyAlignment="1" applyProtection="1">
      <alignment horizontal="center" vertical="center"/>
      <protection locked="0"/>
    </xf>
    <xf numFmtId="0" fontId="229" fillId="0" borderId="0" xfId="7" applyNumberFormat="1" applyFont="1" applyBorder="1" applyAlignment="1" applyProtection="1">
      <alignment horizontal="center" vertical="center"/>
      <protection locked="0"/>
    </xf>
    <xf numFmtId="0" fontId="211" fillId="0" borderId="0" xfId="7" applyBorder="1" applyAlignment="1">
      <alignment vertical="center"/>
    </xf>
    <xf numFmtId="1" fontId="200" fillId="0" borderId="208" xfId="7" applyNumberFormat="1" applyFont="1" applyBorder="1" applyAlignment="1">
      <alignment vertical="center"/>
    </xf>
    <xf numFmtId="0" fontId="211" fillId="0" borderId="204" xfId="7" applyBorder="1" applyAlignment="1">
      <alignment vertical="center"/>
    </xf>
    <xf numFmtId="1" fontId="200" fillId="0" borderId="209" xfId="7" applyNumberFormat="1" applyFont="1" applyBorder="1" applyAlignment="1">
      <alignment vertical="center"/>
    </xf>
    <xf numFmtId="1" fontId="217" fillId="0" borderId="0" xfId="7" applyNumberFormat="1" applyFont="1" applyBorder="1" applyAlignment="1">
      <alignment horizontal="left"/>
    </xf>
    <xf numFmtId="0" fontId="200" fillId="0" borderId="0" xfId="7" applyNumberFormat="1" applyFont="1" applyBorder="1" applyAlignment="1" applyProtection="1">
      <alignment vertical="center"/>
    </xf>
    <xf numFmtId="1" fontId="200" fillId="0" borderId="0" xfId="7" applyNumberFormat="1" applyFont="1" applyBorder="1" applyAlignment="1">
      <alignment horizontal="left" vertical="center"/>
    </xf>
    <xf numFmtId="1" fontId="200" fillId="0" borderId="205" xfId="7" applyNumberFormat="1" applyFont="1" applyBorder="1" applyAlignment="1" applyProtection="1">
      <alignment vertical="center"/>
    </xf>
    <xf numFmtId="1" fontId="200" fillId="0" borderId="210" xfId="7" applyNumberFormat="1" applyFont="1" applyBorder="1" applyAlignment="1" applyProtection="1">
      <alignment vertical="center"/>
    </xf>
    <xf numFmtId="1" fontId="200" fillId="0" borderId="211" xfId="7" applyNumberFormat="1" applyFont="1" applyBorder="1" applyAlignment="1" applyProtection="1">
      <alignment vertical="center"/>
    </xf>
    <xf numFmtId="1" fontId="200" fillId="0" borderId="211" xfId="7" applyNumberFormat="1" applyFont="1" applyBorder="1" applyAlignment="1" applyProtection="1">
      <alignment horizontal="center" vertical="center"/>
    </xf>
    <xf numFmtId="1" fontId="229" fillId="0" borderId="211" xfId="7" applyNumberFormat="1" applyFont="1" applyBorder="1" applyAlignment="1" applyProtection="1">
      <alignment horizontal="left" vertical="center"/>
    </xf>
    <xf numFmtId="1" fontId="200" fillId="0" borderId="212" xfId="7" applyNumberFormat="1" applyFont="1" applyBorder="1" applyAlignment="1" applyProtection="1">
      <alignment vertical="center"/>
    </xf>
    <xf numFmtId="0" fontId="202" fillId="24" borderId="247" xfId="0" applyFont="1" applyFill="1" applyBorder="1" applyAlignment="1">
      <alignment horizontal="left" vertical="center" wrapText="1"/>
    </xf>
    <xf numFmtId="0" fontId="202" fillId="24" borderId="0" xfId="0" applyFont="1" applyFill="1" applyAlignment="1">
      <alignment horizontal="left" vertical="center" wrapText="1"/>
    </xf>
    <xf numFmtId="14" fontId="202" fillId="24" borderId="0" xfId="0" applyNumberFormat="1" applyFont="1" applyFill="1" applyAlignment="1" applyProtection="1">
      <alignment vertical="center" wrapText="1"/>
      <protection locked="0"/>
    </xf>
    <xf numFmtId="14" fontId="226" fillId="24" borderId="0" xfId="0" applyNumberFormat="1" applyFont="1" applyFill="1" applyAlignment="1">
      <alignment vertical="center" wrapText="1"/>
    </xf>
    <xf numFmtId="0" fontId="205" fillId="24" borderId="0" xfId="0" applyFont="1" applyFill="1" applyAlignment="1">
      <alignment horizontal="center" vertical="center" wrapText="1"/>
    </xf>
    <xf numFmtId="14" fontId="226" fillId="24" borderId="233" xfId="0" applyNumberFormat="1" applyFont="1" applyFill="1" applyBorder="1" applyAlignment="1">
      <alignment horizontal="left" vertical="center" wrapText="1"/>
    </xf>
    <xf numFmtId="0" fontId="226" fillId="24" borderId="0" xfId="0" applyFont="1" applyFill="1" applyAlignment="1">
      <alignment horizontal="right" vertical="center" wrapText="1"/>
    </xf>
    <xf numFmtId="0" fontId="202" fillId="24" borderId="229" xfId="0" applyFont="1" applyFill="1" applyBorder="1" applyAlignment="1" applyProtection="1">
      <alignment vertical="center" wrapText="1"/>
      <protection hidden="1"/>
    </xf>
    <xf numFmtId="0" fontId="226" fillId="24" borderId="0" xfId="0" applyFont="1" applyFill="1" applyAlignment="1" applyProtection="1">
      <alignment vertical="center" wrapText="1"/>
      <protection locked="0"/>
    </xf>
    <xf numFmtId="0" fontId="205" fillId="24" borderId="225" xfId="0" applyFont="1" applyFill="1" applyBorder="1" applyAlignment="1">
      <alignment vertical="center" wrapText="1"/>
    </xf>
    <xf numFmtId="0" fontId="202" fillId="24" borderId="225" xfId="0" applyFont="1" applyFill="1" applyBorder="1" applyAlignment="1">
      <alignment horizontal="right" vertical="center" wrapText="1"/>
    </xf>
    <xf numFmtId="0" fontId="202" fillId="24" borderId="225" xfId="0" applyFont="1" applyFill="1" applyBorder="1" applyAlignment="1" applyProtection="1">
      <alignment vertical="center" wrapText="1"/>
      <protection hidden="1"/>
    </xf>
    <xf numFmtId="0" fontId="0" fillId="24" borderId="0" xfId="0" applyFill="1" applyProtection="1">
      <protection locked="0"/>
    </xf>
    <xf numFmtId="0" fontId="202" fillId="24" borderId="225" xfId="0" applyFont="1" applyFill="1" applyBorder="1" applyAlignment="1">
      <alignment vertical="center" wrapText="1"/>
    </xf>
    <xf numFmtId="0" fontId="202" fillId="24" borderId="229" xfId="0" applyFont="1" applyFill="1" applyBorder="1" applyAlignment="1">
      <alignment vertical="center" wrapText="1"/>
    </xf>
    <xf numFmtId="0" fontId="226" fillId="24" borderId="0" xfId="0" applyFont="1" applyFill="1" applyAlignment="1">
      <alignment vertical="center" wrapText="1"/>
    </xf>
    <xf numFmtId="0" fontId="210" fillId="24" borderId="0" xfId="0" applyFont="1" applyFill="1" applyAlignment="1">
      <alignment vertical="center" wrapText="1"/>
    </xf>
    <xf numFmtId="0" fontId="0" fillId="25" borderId="0" xfId="0" applyFill="1"/>
    <xf numFmtId="0" fontId="0" fillId="25" borderId="269" xfId="0" applyFill="1" applyBorder="1"/>
    <xf numFmtId="0" fontId="0" fillId="25" borderId="203" xfId="0" applyFill="1" applyBorder="1"/>
    <xf numFmtId="0" fontId="242" fillId="24" borderId="0" xfId="0" applyFont="1" applyFill="1" applyAlignment="1" applyProtection="1">
      <alignment horizontal="left" vertical="center" wrapText="1"/>
      <protection locked="0"/>
    </xf>
    <xf numFmtId="0" fontId="0" fillId="24" borderId="0" xfId="0" applyFill="1" applyAlignment="1" applyProtection="1">
      <alignment horizontal="left" vertical="center" wrapText="1"/>
      <protection locked="0"/>
    </xf>
    <xf numFmtId="0" fontId="226" fillId="24" borderId="0" xfId="0" applyFont="1" applyFill="1" applyAlignment="1">
      <alignment horizontal="right" vertical="center" shrinkToFit="1"/>
    </xf>
    <xf numFmtId="0" fontId="0" fillId="25" borderId="0" xfId="0" applyFill="1" applyAlignment="1" applyProtection="1">
      <alignment horizontal="center" vertical="center" wrapText="1"/>
      <protection locked="0"/>
    </xf>
    <xf numFmtId="14" fontId="226" fillId="24" borderId="0" xfId="0" applyNumberFormat="1" applyFont="1" applyFill="1" applyAlignment="1" applyProtection="1">
      <alignment horizontal="center" vertical="center" wrapText="1"/>
      <protection locked="0"/>
    </xf>
    <xf numFmtId="0" fontId="226" fillId="24" borderId="0" xfId="0" applyFont="1" applyFill="1" applyAlignment="1" applyProtection="1">
      <alignment horizontal="center" vertical="center" wrapText="1"/>
      <protection locked="0"/>
    </xf>
    <xf numFmtId="0" fontId="0" fillId="25" borderId="210" xfId="0" applyFill="1" applyBorder="1"/>
    <xf numFmtId="0" fontId="0" fillId="25" borderId="270" xfId="0" applyFill="1" applyBorder="1"/>
    <xf numFmtId="0" fontId="202" fillId="24" borderId="252" xfId="0" applyFont="1" applyFill="1" applyBorder="1" applyAlignment="1">
      <alignment vertical="center" wrapText="1"/>
    </xf>
    <xf numFmtId="0" fontId="202" fillId="24" borderId="271" xfId="0" applyFont="1" applyFill="1" applyBorder="1" applyAlignment="1">
      <alignment vertical="center" wrapText="1"/>
    </xf>
    <xf numFmtId="0" fontId="247" fillId="25" borderId="0" xfId="0" applyFont="1" applyFill="1"/>
    <xf numFmtId="0" fontId="0" fillId="25" borderId="205" xfId="0" applyFill="1" applyBorder="1"/>
    <xf numFmtId="0" fontId="247" fillId="25" borderId="0" xfId="0" applyFont="1" applyFill="1" applyAlignment="1">
      <alignment vertical="center"/>
    </xf>
    <xf numFmtId="0" fontId="247" fillId="25" borderId="0" xfId="0" applyFont="1" applyFill="1" applyAlignment="1">
      <alignment horizontal="right"/>
    </xf>
    <xf numFmtId="0" fontId="226" fillId="24" borderId="205" xfId="0" applyFont="1" applyFill="1" applyBorder="1" applyAlignment="1" applyProtection="1">
      <alignment vertical="center" wrapText="1"/>
      <protection locked="0"/>
    </xf>
    <xf numFmtId="0" fontId="202" fillId="24" borderId="272" xfId="0" applyFont="1" applyFill="1" applyBorder="1" applyAlignment="1" applyProtection="1">
      <alignment vertical="center" wrapText="1"/>
      <protection hidden="1"/>
    </xf>
    <xf numFmtId="0" fontId="0" fillId="25" borderId="273" xfId="0" applyFill="1" applyBorder="1"/>
    <xf numFmtId="0" fontId="0" fillId="25" borderId="274" xfId="0" applyFill="1" applyBorder="1"/>
    <xf numFmtId="0" fontId="0" fillId="25" borderId="275" xfId="0" applyFill="1" applyBorder="1"/>
    <xf numFmtId="0" fontId="247" fillId="25" borderId="1" xfId="0" applyFont="1" applyFill="1" applyBorder="1" applyAlignment="1">
      <alignment horizontal="center" vertical="center" wrapText="1"/>
    </xf>
    <xf numFmtId="0" fontId="247" fillId="25" borderId="0" xfId="0" applyFont="1" applyFill="1" applyAlignment="1">
      <alignment wrapText="1"/>
    </xf>
    <xf numFmtId="0" fontId="0" fillId="25" borderId="276" xfId="0" applyFill="1" applyBorder="1"/>
    <xf numFmtId="0" fontId="0" fillId="25" borderId="0" xfId="0" applyFill="1" applyAlignment="1">
      <alignment vertical="center"/>
    </xf>
    <xf numFmtId="0" fontId="247" fillId="25" borderId="0" xfId="0" applyFont="1" applyFill="1" applyAlignment="1">
      <alignment horizontal="center" vertical="center" wrapText="1"/>
    </xf>
    <xf numFmtId="0" fontId="247" fillId="25" borderId="277" xfId="0" applyFont="1" applyFill="1" applyBorder="1" applyAlignment="1">
      <alignment vertical="center" wrapText="1"/>
    </xf>
    <xf numFmtId="0" fontId="247" fillId="25" borderId="0" xfId="0" applyFont="1" applyFill="1" applyAlignment="1">
      <alignment horizontal="right" wrapText="1"/>
    </xf>
    <xf numFmtId="0" fontId="226" fillId="24" borderId="3" xfId="0" applyFont="1" applyFill="1" applyBorder="1" applyAlignment="1" applyProtection="1">
      <alignment horizontal="center" vertical="center" wrapText="1"/>
      <protection locked="0"/>
    </xf>
    <xf numFmtId="0" fontId="248" fillId="25" borderId="0" xfId="0" applyFont="1" applyFill="1" applyAlignment="1">
      <alignment horizontal="right" wrapText="1"/>
    </xf>
    <xf numFmtId="0" fontId="249" fillId="25" borderId="0" xfId="0" applyFont="1" applyFill="1" applyAlignment="1">
      <alignment horizontal="right" wrapText="1"/>
    </xf>
    <xf numFmtId="2" fontId="226" fillId="24" borderId="279" xfId="0" applyNumberFormat="1" applyFont="1" applyFill="1" applyBorder="1" applyAlignment="1" applyProtection="1">
      <alignment vertical="center" wrapText="1"/>
      <protection locked="0"/>
    </xf>
    <xf numFmtId="2" fontId="226" fillId="24" borderId="205" xfId="0" applyNumberFormat="1" applyFont="1" applyFill="1" applyBorder="1" applyAlignment="1" applyProtection="1">
      <alignment vertical="center" wrapText="1"/>
      <protection locked="0"/>
    </xf>
    <xf numFmtId="0" fontId="247" fillId="25" borderId="211" xfId="0" applyFont="1" applyFill="1" applyBorder="1" applyAlignment="1">
      <alignment horizontal="right" wrapText="1"/>
    </xf>
    <xf numFmtId="0" fontId="0" fillId="25" borderId="211" xfId="0" applyFill="1" applyBorder="1"/>
    <xf numFmtId="0" fontId="0" fillId="25" borderId="280" xfId="0" applyFill="1" applyBorder="1"/>
    <xf numFmtId="0" fontId="0" fillId="25" borderId="212" xfId="0" applyFill="1" applyBorder="1"/>
    <xf numFmtId="0" fontId="247" fillId="25" borderId="201" xfId="0" applyFont="1" applyFill="1" applyBorder="1" applyAlignment="1">
      <alignment horizontal="right" wrapText="1"/>
    </xf>
    <xf numFmtId="0" fontId="0" fillId="25" borderId="201" xfId="0" applyFill="1" applyBorder="1"/>
    <xf numFmtId="0" fontId="249" fillId="25" borderId="0" xfId="0" applyFont="1" applyFill="1" applyAlignment="1">
      <alignment horizontal="right"/>
    </xf>
    <xf numFmtId="2" fontId="226" fillId="24" borderId="0" xfId="0" applyNumberFormat="1" applyFont="1" applyFill="1" applyAlignment="1">
      <alignment vertical="center" wrapText="1"/>
    </xf>
    <xf numFmtId="164" fontId="226" fillId="24" borderId="0" xfId="0" applyNumberFormat="1" applyFont="1" applyFill="1" applyAlignment="1" applyProtection="1">
      <alignment horizontal="center" vertical="center" wrapText="1"/>
      <protection locked="0"/>
    </xf>
    <xf numFmtId="0" fontId="248" fillId="25" borderId="0" xfId="0" applyFont="1" applyFill="1" applyAlignment="1">
      <alignment vertical="center" wrapText="1"/>
    </xf>
    <xf numFmtId="0" fontId="0" fillId="25" borderId="283" xfId="0" applyFill="1" applyBorder="1"/>
    <xf numFmtId="0" fontId="247" fillId="25" borderId="284" xfId="0" applyFont="1" applyFill="1" applyBorder="1" applyAlignment="1">
      <alignment horizontal="right" wrapText="1"/>
    </xf>
    <xf numFmtId="0" fontId="0" fillId="25" borderId="284" xfId="0" applyFill="1" applyBorder="1"/>
    <xf numFmtId="0" fontId="0" fillId="25" borderId="285" xfId="0" applyFill="1" applyBorder="1"/>
    <xf numFmtId="0" fontId="247" fillId="0" borderId="0" xfId="0" applyFont="1" applyAlignment="1">
      <alignment horizontal="right" wrapText="1"/>
    </xf>
    <xf numFmtId="0" fontId="203" fillId="24" borderId="0" xfId="0" applyFont="1" applyFill="1" applyAlignment="1">
      <alignment horizontal="center" wrapText="1"/>
    </xf>
    <xf numFmtId="2" fontId="226" fillId="26" borderId="254" xfId="0" applyNumberFormat="1" applyFont="1" applyFill="1" applyBorder="1" applyAlignment="1" applyProtection="1">
      <alignment horizontal="center" vertical="center" wrapText="1"/>
      <protection locked="0"/>
    </xf>
    <xf numFmtId="18" fontId="226" fillId="26" borderId="253" xfId="0" applyNumberFormat="1" applyFont="1" applyFill="1" applyBorder="1" applyAlignment="1" applyProtection="1">
      <alignment horizontal="center" vertical="center" wrapText="1"/>
      <protection locked="0"/>
    </xf>
    <xf numFmtId="2" fontId="226" fillId="26" borderId="231" xfId="0" applyNumberFormat="1" applyFont="1" applyFill="1" applyBorder="1" applyAlignment="1" applyProtection="1">
      <alignment horizontal="center" vertical="center" wrapText="1"/>
      <protection locked="0"/>
    </xf>
    <xf numFmtId="2" fontId="236" fillId="24" borderId="214" xfId="0" applyNumberFormat="1" applyFont="1" applyFill="1" applyBorder="1" applyAlignment="1">
      <alignment horizontal="center" vertical="center" wrapText="1"/>
    </xf>
    <xf numFmtId="0" fontId="243" fillId="24" borderId="233" xfId="0" applyFont="1" applyFill="1" applyBorder="1" applyAlignment="1">
      <alignment horizontal="left" vertical="center" wrapText="1"/>
    </xf>
    <xf numFmtId="0" fontId="243" fillId="24" borderId="0" xfId="0" applyFont="1" applyFill="1" applyAlignment="1">
      <alignment horizontal="left" vertical="center" wrapText="1"/>
    </xf>
    <xf numFmtId="0" fontId="36" fillId="24" borderId="5" xfId="0" applyFont="1" applyFill="1" applyBorder="1" applyAlignment="1" applyProtection="1">
      <alignment vertical="center"/>
      <protection locked="0"/>
    </xf>
    <xf numFmtId="0" fontId="113" fillId="24" borderId="5" xfId="0" applyFont="1" applyFill="1" applyBorder="1" applyAlignment="1">
      <alignment vertical="center"/>
    </xf>
    <xf numFmtId="0" fontId="21" fillId="24" borderId="7" xfId="1" applyFill="1" applyBorder="1"/>
    <xf numFmtId="0" fontId="21" fillId="24" borderId="9" xfId="1" applyFill="1" applyBorder="1"/>
    <xf numFmtId="0" fontId="222" fillId="2" borderId="204" xfId="7" applyFont="1" applyFill="1" applyBorder="1" applyAlignment="1" applyProtection="1">
      <alignment horizontal="center" vertical="center" wrapText="1"/>
      <protection locked="0"/>
    </xf>
    <xf numFmtId="0" fontId="200" fillId="2" borderId="206" xfId="7" applyNumberFormat="1" applyFont="1" applyFill="1" applyBorder="1" applyAlignment="1" applyProtection="1">
      <alignment horizontal="center" vertical="center"/>
      <protection locked="0"/>
    </xf>
    <xf numFmtId="0" fontId="0" fillId="24" borderId="0" xfId="0" applyFill="1" applyAlignment="1">
      <alignment vertical="center"/>
    </xf>
    <xf numFmtId="0" fontId="243" fillId="24" borderId="0" xfId="0" applyFont="1" applyFill="1" applyAlignment="1">
      <alignment horizontal="center" vertical="center" wrapText="1"/>
    </xf>
    <xf numFmtId="0" fontId="202" fillId="24" borderId="0" xfId="0" applyFont="1" applyFill="1" applyAlignment="1">
      <alignment horizontal="center" vertical="center" wrapText="1"/>
    </xf>
    <xf numFmtId="0" fontId="202" fillId="24" borderId="0" xfId="0" applyFont="1" applyFill="1" applyAlignment="1">
      <alignment horizontal="right" wrapText="1"/>
    </xf>
    <xf numFmtId="0" fontId="204" fillId="24" borderId="0" xfId="0" applyFont="1" applyFill="1" applyAlignment="1">
      <alignment horizontal="center" vertical="center" wrapText="1"/>
    </xf>
    <xf numFmtId="0" fontId="0" fillId="24" borderId="0" xfId="0" applyFill="1" applyAlignment="1">
      <alignment horizontal="left" vertical="center"/>
    </xf>
    <xf numFmtId="0" fontId="0" fillId="24" borderId="225" xfId="0" applyFill="1" applyBorder="1" applyAlignment="1">
      <alignment horizontal="left" vertical="center"/>
    </xf>
    <xf numFmtId="0" fontId="202" fillId="24" borderId="225" xfId="0" applyFont="1" applyFill="1" applyBorder="1" applyAlignment="1">
      <alignment horizontal="left" vertical="center" wrapText="1"/>
    </xf>
    <xf numFmtId="0" fontId="234" fillId="24" borderId="0" xfId="0" applyFont="1" applyFill="1" applyAlignment="1">
      <alignment horizontal="center" vertical="center" wrapText="1"/>
    </xf>
    <xf numFmtId="0" fontId="226" fillId="24" borderId="0" xfId="0" applyFont="1" applyFill="1" applyAlignment="1">
      <alignment horizontal="center" vertical="center" wrapText="1"/>
    </xf>
    <xf numFmtId="0" fontId="226" fillId="24" borderId="0" xfId="0" applyFont="1" applyFill="1" applyAlignment="1">
      <alignment horizontal="left" vertical="center"/>
    </xf>
    <xf numFmtId="0" fontId="206" fillId="24" borderId="0" xfId="0" applyFont="1" applyFill="1" applyAlignment="1">
      <alignment horizontal="center" vertical="center" wrapText="1"/>
    </xf>
    <xf numFmtId="0" fontId="207" fillId="24" borderId="0" xfId="0" applyFont="1" applyFill="1" applyAlignment="1">
      <alignment horizontal="center" vertical="center" wrapText="1"/>
    </xf>
    <xf numFmtId="0" fontId="237" fillId="24" borderId="232" xfId="0" applyFont="1" applyFill="1" applyBorder="1" applyAlignment="1">
      <alignment horizontal="center" vertical="center" wrapText="1"/>
    </xf>
    <xf numFmtId="0" fontId="206" fillId="24" borderId="0" xfId="0" applyFont="1" applyFill="1" applyAlignment="1">
      <alignment vertical="center"/>
    </xf>
    <xf numFmtId="0" fontId="203" fillId="24" borderId="229" xfId="0" applyFont="1" applyFill="1" applyBorder="1" applyAlignment="1">
      <alignment horizontal="left" vertical="center" wrapText="1"/>
    </xf>
    <xf numFmtId="0" fontId="207" fillId="24" borderId="228" xfId="0" applyFont="1" applyFill="1" applyBorder="1" applyAlignment="1">
      <alignment horizontal="left" vertical="center"/>
    </xf>
    <xf numFmtId="0" fontId="237" fillId="24" borderId="0" xfId="0" applyFont="1" applyFill="1" applyAlignment="1">
      <alignment horizontal="left" vertical="center" wrapText="1"/>
    </xf>
    <xf numFmtId="14" fontId="226" fillId="24" borderId="0" xfId="0" applyNumberFormat="1" applyFont="1" applyFill="1" applyAlignment="1">
      <alignment horizontal="left" vertical="center" wrapText="1"/>
    </xf>
    <xf numFmtId="0" fontId="208" fillId="24" borderId="0" xfId="0" applyFont="1" applyFill="1" applyAlignment="1">
      <alignment horizontal="left" vertical="center" wrapText="1"/>
    </xf>
    <xf numFmtId="0" fontId="226" fillId="24" borderId="229" xfId="0" applyFont="1" applyFill="1" applyBorder="1" applyAlignment="1">
      <alignment horizontal="left" vertical="center" wrapText="1"/>
    </xf>
    <xf numFmtId="18" fontId="202" fillId="24" borderId="0" xfId="0" applyNumberFormat="1" applyFont="1" applyFill="1" applyAlignment="1">
      <alignment horizontal="center" vertical="center" wrapText="1"/>
    </xf>
    <xf numFmtId="0" fontId="202" fillId="0" borderId="0" xfId="0" applyFont="1" applyAlignment="1">
      <alignment horizontal="left" vertical="center" wrapText="1"/>
    </xf>
    <xf numFmtId="49" fontId="240" fillId="24" borderId="0" xfId="0" applyNumberFormat="1" applyFont="1" applyFill="1" applyAlignment="1">
      <alignment horizontal="right" vertical="top" wrapText="1"/>
    </xf>
    <xf numFmtId="49" fontId="237" fillId="24" borderId="0" xfId="0" applyNumberFormat="1" applyFont="1" applyFill="1" applyAlignment="1">
      <alignment horizontal="right" vertical="center" wrapText="1"/>
    </xf>
    <xf numFmtId="49" fontId="240" fillId="24" borderId="0" xfId="0" applyNumberFormat="1" applyFont="1" applyFill="1" applyAlignment="1">
      <alignment horizontal="right" wrapText="1"/>
    </xf>
    <xf numFmtId="49" fontId="240" fillId="24" borderId="0" xfId="0" applyNumberFormat="1" applyFont="1" applyFill="1" applyAlignment="1">
      <alignment horizontal="right" vertical="center" wrapText="1"/>
    </xf>
    <xf numFmtId="49" fontId="240" fillId="24" borderId="0" xfId="0" applyNumberFormat="1" applyFont="1" applyFill="1" applyAlignment="1">
      <alignment horizontal="left" vertical="center" wrapText="1"/>
    </xf>
    <xf numFmtId="49" fontId="237" fillId="24" borderId="0" xfId="0" applyNumberFormat="1" applyFont="1" applyFill="1" applyAlignment="1">
      <alignment horizontal="left" vertical="center" wrapText="1"/>
    </xf>
    <xf numFmtId="0" fontId="237" fillId="24" borderId="236" xfId="0" applyFont="1" applyFill="1" applyBorder="1" applyAlignment="1">
      <alignment horizontal="center" vertical="center" wrapText="1"/>
    </xf>
    <xf numFmtId="0" fontId="237" fillId="24" borderId="216" xfId="0" applyFont="1" applyFill="1" applyBorder="1" applyAlignment="1">
      <alignment horizontal="center" vertical="center" wrapText="1"/>
    </xf>
    <xf numFmtId="0" fontId="237" fillId="24" borderId="228" xfId="0" applyFont="1" applyFill="1" applyBorder="1" applyAlignment="1">
      <alignment horizontal="center" vertical="center" wrapText="1"/>
    </xf>
    <xf numFmtId="0" fontId="237" fillId="24" borderId="245" xfId="0" applyFont="1" applyFill="1" applyBorder="1" applyAlignment="1">
      <alignment horizontal="center" vertical="center" wrapText="1"/>
    </xf>
    <xf numFmtId="0" fontId="0" fillId="0" borderId="247" xfId="0" applyBorder="1" applyAlignment="1">
      <alignment horizontal="left" vertical="center" wrapText="1"/>
    </xf>
    <xf numFmtId="14" fontId="243" fillId="24" borderId="0" xfId="0" applyNumberFormat="1" applyFont="1" applyFill="1" applyAlignment="1">
      <alignment horizontal="center" vertical="center" wrapText="1"/>
    </xf>
    <xf numFmtId="0" fontId="202" fillId="24" borderId="251" xfId="0" applyFont="1" applyFill="1" applyBorder="1" applyAlignment="1">
      <alignment horizontal="left" vertical="center" wrapText="1"/>
    </xf>
    <xf numFmtId="0" fontId="243" fillId="24" borderId="225" xfId="0" applyFont="1" applyFill="1" applyBorder="1" applyAlignment="1">
      <alignment horizontal="left" vertical="center" wrapText="1"/>
    </xf>
    <xf numFmtId="0" fontId="202" fillId="24" borderId="252" xfId="0" applyFont="1" applyFill="1" applyBorder="1" applyAlignment="1">
      <alignment horizontal="left" vertical="center" wrapText="1"/>
    </xf>
    <xf numFmtId="0" fontId="0" fillId="0" borderId="0" xfId="0" applyAlignment="1">
      <alignment horizontal="left" vertical="center"/>
    </xf>
    <xf numFmtId="0" fontId="238" fillId="27" borderId="0" xfId="0" applyFont="1" applyFill="1" applyAlignment="1">
      <alignment horizontal="left" vertical="center" wrapText="1"/>
    </xf>
    <xf numFmtId="0" fontId="211" fillId="0" borderId="0" xfId="7" applyAlignment="1" applyProtection="1">
      <alignment vertical="center"/>
    </xf>
    <xf numFmtId="0" fontId="228" fillId="0" borderId="0" xfId="7" applyFont="1" applyBorder="1" applyAlignment="1" applyProtection="1">
      <alignment horizontal="center" vertical="center" wrapText="1"/>
    </xf>
    <xf numFmtId="0" fontId="228" fillId="0" borderId="0" xfId="7" applyFont="1" applyBorder="1" applyAlignment="1" applyProtection="1">
      <alignment vertical="center" wrapText="1"/>
    </xf>
    <xf numFmtId="0" fontId="217" fillId="0" borderId="0" xfId="7" applyNumberFormat="1" applyFont="1" applyBorder="1" applyAlignment="1" applyProtection="1">
      <alignment vertical="center"/>
    </xf>
    <xf numFmtId="0" fontId="211" fillId="0" borderId="0" xfId="7" applyBorder="1" applyAlignment="1" applyProtection="1">
      <alignment horizontal="center" vertical="center"/>
    </xf>
    <xf numFmtId="0" fontId="217" fillId="2" borderId="204" xfId="7" applyNumberFormat="1" applyFont="1" applyFill="1" applyBorder="1" applyAlignment="1" applyProtection="1">
      <alignment horizontal="center" vertical="center"/>
      <protection locked="0"/>
    </xf>
    <xf numFmtId="0" fontId="217" fillId="2" borderId="206" xfId="7" applyNumberFormat="1" applyFont="1" applyFill="1" applyBorder="1" applyAlignment="1" applyProtection="1">
      <alignment horizontal="center" vertical="center"/>
      <protection locked="0"/>
    </xf>
    <xf numFmtId="1" fontId="200" fillId="0" borderId="0" xfId="7" applyNumberFormat="1" applyFont="1" applyBorder="1" applyAlignment="1" applyProtection="1">
      <alignment horizontal="left" vertical="center"/>
    </xf>
    <xf numFmtId="0" fontId="0" fillId="24" borderId="0" xfId="0" applyFill="1" applyAlignment="1">
      <alignment horizontal="center"/>
    </xf>
    <xf numFmtId="0" fontId="0" fillId="24" borderId="285" xfId="0" applyFill="1" applyBorder="1"/>
    <xf numFmtId="0" fontId="0" fillId="24" borderId="284" xfId="0" applyFill="1" applyBorder="1"/>
    <xf numFmtId="0" fontId="0" fillId="24" borderId="283" xfId="0" applyFill="1" applyBorder="1"/>
    <xf numFmtId="0" fontId="0" fillId="24" borderId="205" xfId="0" applyFill="1" applyBorder="1"/>
    <xf numFmtId="0" fontId="0" fillId="24" borderId="3" xfId="0" applyFill="1" applyBorder="1" applyProtection="1">
      <protection locked="0"/>
    </xf>
    <xf numFmtId="0" fontId="0" fillId="24" borderId="3" xfId="0" applyFill="1" applyBorder="1" applyAlignment="1" applyProtection="1">
      <alignment horizontal="center"/>
      <protection locked="0"/>
    </xf>
    <xf numFmtId="0" fontId="0" fillId="24" borderId="203" xfId="0" applyFill="1" applyBorder="1"/>
    <xf numFmtId="0" fontId="251" fillId="24" borderId="0" xfId="0" applyFont="1" applyFill="1"/>
    <xf numFmtId="0" fontId="252" fillId="24" borderId="0" xfId="0" applyFont="1" applyFill="1" applyAlignment="1">
      <alignment horizontal="left" vertical="center"/>
    </xf>
    <xf numFmtId="0" fontId="0" fillId="24" borderId="1" xfId="0" applyFill="1" applyBorder="1"/>
    <xf numFmtId="0" fontId="0" fillId="24" borderId="7" xfId="0" applyFill="1" applyBorder="1"/>
    <xf numFmtId="0" fontId="0" fillId="24" borderId="3" xfId="0" applyFill="1" applyBorder="1"/>
    <xf numFmtId="0" fontId="251" fillId="24" borderId="0" xfId="0" applyFont="1" applyFill="1" applyAlignment="1">
      <alignment horizontal="center"/>
    </xf>
    <xf numFmtId="0" fontId="0" fillId="24" borderId="205" xfId="0" applyFill="1" applyBorder="1" applyProtection="1">
      <protection locked="0"/>
    </xf>
    <xf numFmtId="0" fontId="251" fillId="24" borderId="205" xfId="0" applyFont="1" applyFill="1" applyBorder="1"/>
    <xf numFmtId="0" fontId="0" fillId="24" borderId="9" xfId="0" applyFill="1" applyBorder="1"/>
    <xf numFmtId="0" fontId="31" fillId="24" borderId="0" xfId="0" applyFont="1" applyFill="1"/>
    <xf numFmtId="0" fontId="252" fillId="24" borderId="0" xfId="0" applyFont="1" applyFill="1" applyAlignment="1">
      <alignment horizontal="center"/>
    </xf>
    <xf numFmtId="0" fontId="199" fillId="24" borderId="0" xfId="0" applyFont="1" applyFill="1"/>
    <xf numFmtId="0" fontId="199" fillId="24" borderId="0" xfId="0" applyFont="1" applyFill="1" applyAlignment="1">
      <alignment horizontal="right"/>
    </xf>
    <xf numFmtId="0" fontId="48" fillId="24" borderId="0" xfId="0" applyFont="1" applyFill="1" applyAlignment="1">
      <alignment horizontal="right"/>
    </xf>
    <xf numFmtId="0" fontId="0" fillId="24" borderId="209" xfId="0" applyFill="1" applyBorder="1"/>
    <xf numFmtId="0" fontId="31" fillId="24" borderId="204" xfId="0" applyFont="1" applyFill="1" applyBorder="1" applyAlignment="1">
      <alignment horizontal="center"/>
    </xf>
    <xf numFmtId="0" fontId="31" fillId="24" borderId="204" xfId="0" applyFont="1" applyFill="1" applyBorder="1" applyAlignment="1">
      <alignment horizontal="right"/>
    </xf>
    <xf numFmtId="0" fontId="31" fillId="24" borderId="204" xfId="0" applyFont="1" applyFill="1" applyBorder="1"/>
    <xf numFmtId="0" fontId="31" fillId="24" borderId="208" xfId="0" applyFont="1" applyFill="1" applyBorder="1"/>
    <xf numFmtId="0" fontId="261" fillId="24" borderId="0" xfId="0" applyFont="1" applyFill="1" applyAlignment="1">
      <alignment horizontal="right"/>
    </xf>
    <xf numFmtId="0" fontId="261" fillId="24" borderId="0" xfId="0" applyFont="1" applyFill="1"/>
    <xf numFmtId="0" fontId="31" fillId="24" borderId="203" xfId="0" applyFont="1" applyFill="1" applyBorder="1"/>
    <xf numFmtId="0" fontId="0" fillId="24" borderId="275" xfId="0" applyFill="1" applyBorder="1"/>
    <xf numFmtId="0" fontId="31" fillId="24" borderId="273" xfId="0" applyFont="1" applyFill="1" applyBorder="1"/>
    <xf numFmtId="0" fontId="31" fillId="24" borderId="273" xfId="0" applyFont="1" applyFill="1" applyBorder="1" applyAlignment="1">
      <alignment horizontal="center"/>
    </xf>
    <xf numFmtId="0" fontId="31" fillId="24" borderId="269" xfId="0" applyFont="1" applyFill="1" applyBorder="1"/>
    <xf numFmtId="0" fontId="44" fillId="24" borderId="0" xfId="0" applyFont="1" applyFill="1"/>
    <xf numFmtId="0" fontId="0" fillId="0" borderId="286" xfId="0" applyBorder="1"/>
    <xf numFmtId="0" fontId="0" fillId="0" borderId="14" xfId="0" applyBorder="1"/>
    <xf numFmtId="0" fontId="0" fillId="0" borderId="19" xfId="0" applyBorder="1"/>
    <xf numFmtId="0" fontId="0" fillId="0" borderId="12" xfId="0" applyBorder="1"/>
    <xf numFmtId="0" fontId="248" fillId="25" borderId="0" xfId="0" applyFont="1" applyFill="1" applyAlignment="1">
      <alignment horizontal="center" wrapText="1"/>
    </xf>
    <xf numFmtId="0" fontId="226" fillId="24" borderId="229" xfId="0" applyFont="1" applyFill="1" applyBorder="1" applyAlignment="1">
      <alignment vertical="center" wrapText="1"/>
    </xf>
    <xf numFmtId="14" fontId="0" fillId="0" borderId="0" xfId="0" applyNumberFormat="1"/>
    <xf numFmtId="0" fontId="226" fillId="24" borderId="0" xfId="0" applyFont="1" applyFill="1" applyAlignment="1">
      <alignment horizontal="left" vertical="center" wrapText="1"/>
    </xf>
    <xf numFmtId="0" fontId="243" fillId="24" borderId="0" xfId="0" applyFont="1" applyFill="1" applyAlignment="1">
      <alignment horizontal="right" vertical="center" wrapText="1"/>
    </xf>
    <xf numFmtId="0" fontId="207" fillId="24" borderId="216" xfId="0" applyFont="1" applyFill="1" applyBorder="1" applyAlignment="1">
      <alignment horizontal="center" vertical="center" wrapText="1"/>
    </xf>
    <xf numFmtId="0" fontId="207" fillId="24" borderId="0" xfId="0" applyFont="1" applyFill="1" applyAlignment="1">
      <alignment horizontal="right" vertical="top" wrapText="1"/>
    </xf>
    <xf numFmtId="0" fontId="203" fillId="24" borderId="0" xfId="0" applyFont="1" applyFill="1" applyAlignment="1">
      <alignment horizontal="left" vertical="center" wrapText="1"/>
    </xf>
    <xf numFmtId="0" fontId="202" fillId="24" borderId="229" xfId="0" applyFont="1" applyFill="1" applyBorder="1" applyAlignment="1">
      <alignment horizontal="left" vertical="center" wrapText="1"/>
    </xf>
    <xf numFmtId="2" fontId="226" fillId="26" borderId="1" xfId="0" applyNumberFormat="1" applyFont="1" applyFill="1" applyBorder="1" applyAlignment="1" applyProtection="1">
      <alignment horizontal="right" vertical="center" wrapText="1"/>
      <protection locked="0"/>
    </xf>
    <xf numFmtId="0" fontId="226" fillId="26" borderId="0" xfId="0" applyFont="1" applyFill="1" applyAlignment="1" applyProtection="1">
      <alignment horizontal="right" vertical="center" wrapText="1"/>
      <protection locked="0"/>
    </xf>
    <xf numFmtId="0" fontId="237" fillId="24" borderId="0" xfId="0" applyFont="1" applyFill="1" applyAlignment="1">
      <alignment horizontal="center" vertical="center" wrapText="1"/>
    </xf>
    <xf numFmtId="0" fontId="250" fillId="26" borderId="1" xfId="0" applyFont="1" applyFill="1" applyBorder="1" applyAlignment="1" applyProtection="1">
      <alignment horizontal="center" vertical="top" wrapText="1"/>
      <protection locked="0"/>
    </xf>
    <xf numFmtId="0" fontId="238" fillId="26" borderId="288" xfId="0" applyFont="1" applyFill="1" applyBorder="1" applyAlignment="1" applyProtection="1">
      <alignment horizontal="center" vertical="center" wrapText="1"/>
      <protection locked="0"/>
    </xf>
    <xf numFmtId="0" fontId="238" fillId="26" borderId="32" xfId="0" applyFont="1" applyFill="1" applyBorder="1" applyAlignment="1" applyProtection="1">
      <alignment horizontal="center" vertical="center" wrapText="1"/>
      <protection locked="0"/>
    </xf>
    <xf numFmtId="0" fontId="243" fillId="26" borderId="289" xfId="0" applyFont="1" applyFill="1" applyBorder="1" applyAlignment="1" applyProtection="1">
      <alignment horizontal="center" vertical="center" wrapText="1"/>
      <protection locked="0"/>
    </xf>
    <xf numFmtId="0" fontId="217" fillId="2" borderId="1" xfId="7" applyNumberFormat="1" applyFont="1" applyFill="1" applyBorder="1" applyAlignment="1" applyProtection="1">
      <alignment horizontal="center" vertical="center"/>
      <protection locked="0"/>
    </xf>
    <xf numFmtId="0" fontId="265" fillId="0" borderId="0" xfId="7" applyNumberFormat="1" applyFont="1" applyBorder="1" applyAlignment="1" applyProtection="1">
      <alignment horizontal="center" vertical="center"/>
    </xf>
    <xf numFmtId="0" fontId="44" fillId="24" borderId="0" xfId="0" applyFont="1" applyFill="1" applyAlignment="1">
      <alignment horizontal="center" wrapText="1"/>
    </xf>
    <xf numFmtId="0" fontId="261" fillId="24" borderId="0" xfId="0" applyFont="1" applyFill="1" applyAlignment="1">
      <alignment horizontal="left" wrapText="1"/>
    </xf>
    <xf numFmtId="0" fontId="261" fillId="24" borderId="0" xfId="0" applyFont="1" applyFill="1" applyAlignment="1">
      <alignment wrapText="1"/>
    </xf>
    <xf numFmtId="0" fontId="262" fillId="24" borderId="0" xfId="0" applyFont="1" applyFill="1" applyAlignment="1">
      <alignment horizontal="center" vertical="top" wrapText="1"/>
    </xf>
    <xf numFmtId="0" fontId="261" fillId="24" borderId="0" xfId="0" applyFont="1" applyFill="1" applyAlignment="1">
      <alignment horizontal="center"/>
    </xf>
    <xf numFmtId="0" fontId="0" fillId="0" borderId="0" xfId="0" applyAlignment="1">
      <alignment wrapText="1"/>
    </xf>
    <xf numFmtId="0" fontId="0" fillId="27" borderId="263" xfId="0" applyFill="1" applyBorder="1"/>
    <xf numFmtId="0" fontId="31" fillId="24" borderId="201" xfId="0" applyFont="1" applyFill="1" applyBorder="1"/>
    <xf numFmtId="0" fontId="31" fillId="24" borderId="201" xfId="0" applyFont="1" applyFill="1" applyBorder="1" applyAlignment="1">
      <alignment horizontal="center"/>
    </xf>
    <xf numFmtId="0" fontId="0" fillId="24" borderId="202" xfId="0" applyFill="1" applyBorder="1"/>
    <xf numFmtId="0" fontId="0" fillId="24" borderId="291" xfId="0" applyFill="1" applyBorder="1" applyProtection="1">
      <protection locked="0"/>
    </xf>
    <xf numFmtId="0" fontId="0" fillId="24" borderId="291" xfId="0" applyFill="1" applyBorder="1" applyAlignment="1" applyProtection="1">
      <alignment horizontal="center"/>
      <protection locked="0"/>
    </xf>
    <xf numFmtId="0" fontId="0" fillId="24" borderId="270" xfId="0" applyFill="1" applyBorder="1"/>
    <xf numFmtId="0" fontId="0" fillId="24" borderId="270" xfId="0" applyFill="1" applyBorder="1" applyAlignment="1">
      <alignment horizontal="center"/>
    </xf>
    <xf numFmtId="0" fontId="0" fillId="24" borderId="272" xfId="0" applyFill="1" applyBorder="1"/>
    <xf numFmtId="0" fontId="267" fillId="27" borderId="0" xfId="0" applyFont="1" applyFill="1" applyAlignment="1" applyProtection="1">
      <alignment horizontal="left"/>
      <protection locked="0"/>
    </xf>
    <xf numFmtId="0" fontId="0" fillId="27" borderId="0" xfId="0" applyFill="1" applyAlignment="1" applyProtection="1">
      <alignment horizontal="left"/>
      <protection locked="0"/>
    </xf>
    <xf numFmtId="0" fontId="0" fillId="24" borderId="291" xfId="0" applyFill="1" applyBorder="1"/>
    <xf numFmtId="0" fontId="0" fillId="24" borderId="291" xfId="0" applyFill="1" applyBorder="1" applyAlignment="1">
      <alignment horizontal="center"/>
    </xf>
    <xf numFmtId="0" fontId="0" fillId="24" borderId="223" xfId="0" applyFill="1" applyBorder="1"/>
    <xf numFmtId="49" fontId="202" fillId="24" borderId="0" xfId="0" quotePrefix="1" applyNumberFormat="1" applyFont="1" applyFill="1" applyAlignment="1">
      <alignment horizontal="right" wrapText="1"/>
    </xf>
    <xf numFmtId="0" fontId="270" fillId="0" borderId="0" xfId="7" applyNumberFormat="1" applyFont="1" applyBorder="1" applyAlignment="1">
      <alignment vertical="center"/>
    </xf>
    <xf numFmtId="0" fontId="265" fillId="0" borderId="0" xfId="7" applyNumberFormat="1" applyFont="1" applyBorder="1" applyAlignment="1">
      <alignment vertical="center"/>
    </xf>
    <xf numFmtId="0" fontId="269" fillId="0" borderId="0" xfId="7" applyNumberFormat="1" applyFont="1" applyBorder="1" applyAlignment="1">
      <alignment vertical="center"/>
    </xf>
    <xf numFmtId="0" fontId="243" fillId="0" borderId="0" xfId="0" applyFont="1" applyAlignment="1">
      <alignment vertical="center" wrapText="1"/>
    </xf>
    <xf numFmtId="0" fontId="266" fillId="0" borderId="0" xfId="0" applyFont="1" applyAlignment="1">
      <alignment horizontal="center" vertical="center" wrapText="1"/>
    </xf>
    <xf numFmtId="49" fontId="226" fillId="0" borderId="0" xfId="0" applyNumberFormat="1" applyFont="1" applyAlignment="1" applyProtection="1">
      <alignment vertical="center" wrapText="1"/>
      <protection locked="0"/>
    </xf>
    <xf numFmtId="0" fontId="0" fillId="24" borderId="0" xfId="0" applyFill="1" applyAlignment="1" applyProtection="1">
      <alignment horizontal="center"/>
      <protection locked="0"/>
    </xf>
    <xf numFmtId="0" fontId="226" fillId="26" borderId="216" xfId="0" applyFont="1" applyFill="1" applyBorder="1" applyAlignment="1" applyProtection="1">
      <alignment horizontal="center" vertical="center" shrinkToFit="1"/>
      <protection locked="0"/>
    </xf>
    <xf numFmtId="0" fontId="0" fillId="24" borderId="265" xfId="0" applyFill="1" applyBorder="1"/>
    <xf numFmtId="0" fontId="241" fillId="24" borderId="264" xfId="0" applyFont="1" applyFill="1" applyBorder="1"/>
    <xf numFmtId="0" fontId="0" fillId="24" borderId="264" xfId="0" applyFill="1" applyBorder="1"/>
    <xf numFmtId="0" fontId="0" fillId="27" borderId="264" xfId="0" applyFill="1" applyBorder="1"/>
    <xf numFmtId="0" fontId="0" fillId="24" borderId="265" xfId="0" applyFill="1" applyBorder="1" applyProtection="1">
      <protection locked="0"/>
    </xf>
    <xf numFmtId="0" fontId="241" fillId="24" borderId="264" xfId="0" applyFont="1" applyFill="1" applyBorder="1" applyProtection="1">
      <protection locked="0"/>
    </xf>
    <xf numFmtId="0" fontId="0" fillId="24" borderId="264" xfId="0" applyFill="1" applyBorder="1" applyProtection="1">
      <protection locked="0"/>
    </xf>
    <xf numFmtId="0" fontId="0" fillId="27" borderId="264" xfId="0" applyFill="1" applyBorder="1" applyProtection="1">
      <protection locked="0"/>
    </xf>
    <xf numFmtId="0" fontId="0" fillId="27" borderId="263" xfId="0" applyFill="1" applyBorder="1" applyProtection="1">
      <protection locked="0"/>
    </xf>
    <xf numFmtId="0" fontId="245" fillId="24" borderId="123" xfId="0" applyFont="1" applyFill="1" applyBorder="1" applyProtection="1">
      <protection locked="0"/>
    </xf>
    <xf numFmtId="0" fontId="245" fillId="24" borderId="124" xfId="0" applyFont="1" applyFill="1" applyBorder="1" applyProtection="1">
      <protection locked="0"/>
    </xf>
    <xf numFmtId="0" fontId="0" fillId="24" borderId="124" xfId="0" applyFill="1" applyBorder="1" applyProtection="1">
      <protection locked="0"/>
    </xf>
    <xf numFmtId="0" fontId="0" fillId="27" borderId="124" xfId="0" applyFill="1" applyBorder="1" applyProtection="1">
      <protection locked="0"/>
    </xf>
    <xf numFmtId="0" fontId="0" fillId="27" borderId="125" xfId="0" applyFill="1" applyBorder="1" applyProtection="1">
      <protection locked="0"/>
    </xf>
    <xf numFmtId="0" fontId="245" fillId="24" borderId="76" xfId="0" applyFont="1" applyFill="1" applyBorder="1" applyProtection="1">
      <protection locked="0"/>
    </xf>
    <xf numFmtId="0" fontId="245" fillId="24" borderId="154" xfId="0" applyFont="1" applyFill="1" applyBorder="1" applyProtection="1">
      <protection locked="0"/>
    </xf>
    <xf numFmtId="0" fontId="245" fillId="24" borderId="155" xfId="0" applyFont="1" applyFill="1" applyBorder="1" applyProtection="1">
      <protection locked="0"/>
    </xf>
    <xf numFmtId="0" fontId="0" fillId="24" borderId="155" xfId="0" applyFill="1" applyBorder="1" applyProtection="1">
      <protection locked="0"/>
    </xf>
    <xf numFmtId="0" fontId="0" fillId="27" borderId="155" xfId="0" applyFill="1" applyBorder="1" applyProtection="1">
      <protection locked="0"/>
    </xf>
    <xf numFmtId="0" fontId="0" fillId="27" borderId="139" xfId="0" applyFill="1" applyBorder="1" applyProtection="1">
      <protection locked="0"/>
    </xf>
    <xf numFmtId="0" fontId="245" fillId="24" borderId="76" xfId="0" applyFont="1" applyFill="1" applyBorder="1"/>
    <xf numFmtId="0" fontId="245" fillId="24" borderId="154" xfId="0" applyFont="1" applyFill="1" applyBorder="1"/>
    <xf numFmtId="0" fontId="245" fillId="24" borderId="155" xfId="0" applyFont="1" applyFill="1" applyBorder="1"/>
    <xf numFmtId="0" fontId="0" fillId="24" borderId="155" xfId="0" applyFill="1" applyBorder="1"/>
    <xf numFmtId="0" fontId="0" fillId="27" borderId="155" xfId="0" applyFill="1" applyBorder="1"/>
    <xf numFmtId="0" fontId="0" fillId="27" borderId="139" xfId="0" applyFill="1" applyBorder="1"/>
    <xf numFmtId="0" fontId="245" fillId="24" borderId="123" xfId="0" applyFont="1" applyFill="1" applyBorder="1"/>
    <xf numFmtId="0" fontId="245" fillId="24" borderId="124" xfId="0" applyFont="1" applyFill="1" applyBorder="1"/>
    <xf numFmtId="0" fontId="0" fillId="24" borderId="124" xfId="0" applyFill="1" applyBorder="1"/>
    <xf numFmtId="0" fontId="0" fillId="27" borderId="124" xfId="0" applyFill="1" applyBorder="1"/>
    <xf numFmtId="0" fontId="0" fillId="27" borderId="125" xfId="0" applyFill="1" applyBorder="1"/>
    <xf numFmtId="0" fontId="245" fillId="24" borderId="138" xfId="0" applyFont="1" applyFill="1" applyBorder="1"/>
    <xf numFmtId="0" fontId="245" fillId="24" borderId="138" xfId="0" applyFont="1" applyFill="1" applyBorder="1" applyProtection="1">
      <protection locked="0"/>
    </xf>
    <xf numFmtId="0" fontId="0" fillId="24" borderId="0" xfId="0" applyFill="1" applyAlignment="1">
      <alignment shrinkToFit="1"/>
    </xf>
    <xf numFmtId="0" fontId="28" fillId="0" borderId="5" xfId="0" applyFont="1" applyBorder="1" applyAlignment="1">
      <alignment horizontal="center" vertical="center"/>
    </xf>
    <xf numFmtId="2" fontId="36" fillId="7" borderId="0" xfId="0" applyNumberFormat="1" applyFont="1" applyFill="1" applyAlignment="1" applyProtection="1">
      <alignment horizontal="left" vertical="top" wrapText="1"/>
      <protection locked="0"/>
    </xf>
    <xf numFmtId="2" fontId="36" fillId="7" borderId="5" xfId="0" applyNumberFormat="1" applyFont="1" applyFill="1" applyBorder="1" applyAlignment="1" applyProtection="1">
      <alignment horizontal="left" vertical="top" wrapText="1"/>
      <protection locked="0"/>
    </xf>
    <xf numFmtId="1" fontId="217" fillId="0" borderId="201" xfId="7" applyNumberFormat="1" applyFont="1" applyBorder="1" applyAlignment="1" applyProtection="1">
      <alignment horizontal="center" vertical="center"/>
      <protection locked="0"/>
    </xf>
    <xf numFmtId="0" fontId="238" fillId="24" borderId="201" xfId="0" applyFont="1" applyFill="1" applyBorder="1" applyAlignment="1">
      <alignment horizontal="right" vertical="center" wrapText="1"/>
    </xf>
    <xf numFmtId="0" fontId="274" fillId="2" borderId="301" xfId="7" applyNumberFormat="1" applyFont="1" applyFill="1" applyBorder="1" applyAlignment="1" applyProtection="1">
      <alignment horizontal="center" vertical="center"/>
      <protection locked="0"/>
    </xf>
    <xf numFmtId="0" fontId="222" fillId="2" borderId="300" xfId="7" applyNumberFormat="1" applyFont="1" applyFill="1" applyBorder="1" applyAlignment="1" applyProtection="1">
      <alignment horizontal="center" vertical="center"/>
      <protection locked="0"/>
    </xf>
    <xf numFmtId="0" fontId="251" fillId="24" borderId="0" xfId="0" applyFont="1" applyFill="1" applyAlignment="1">
      <alignment horizontal="center" wrapText="1"/>
    </xf>
    <xf numFmtId="0" fontId="31" fillId="24" borderId="0" xfId="0" applyFont="1" applyFill="1" applyAlignment="1">
      <alignment horizontal="center"/>
    </xf>
    <xf numFmtId="0" fontId="31" fillId="24" borderId="0" xfId="0" applyFont="1" applyFill="1" applyAlignment="1">
      <alignment horizontal="right"/>
    </xf>
    <xf numFmtId="0" fontId="31" fillId="24" borderId="41" xfId="0" applyFont="1" applyFill="1" applyBorder="1"/>
    <xf numFmtId="0" fontId="261" fillId="24" borderId="41" xfId="0" applyFont="1" applyFill="1" applyBorder="1"/>
    <xf numFmtId="0" fontId="261" fillId="24" borderId="41" xfId="0" applyFont="1" applyFill="1" applyBorder="1" applyAlignment="1">
      <alignment horizontal="right"/>
    </xf>
    <xf numFmtId="0" fontId="261" fillId="24" borderId="41" xfId="0" applyFont="1" applyFill="1" applyBorder="1" applyAlignment="1">
      <alignment horizontal="center"/>
    </xf>
    <xf numFmtId="0" fontId="251" fillId="24" borderId="309" xfId="0" applyFont="1" applyFill="1" applyBorder="1"/>
    <xf numFmtId="0" fontId="262" fillId="24" borderId="284" xfId="0" applyFont="1" applyFill="1" applyBorder="1" applyAlignment="1">
      <alignment horizontal="center" vertical="top" wrapText="1"/>
    </xf>
    <xf numFmtId="0" fontId="44" fillId="24" borderId="284" xfId="0" applyFont="1" applyFill="1" applyBorder="1"/>
    <xf numFmtId="166" fontId="23" fillId="0" borderId="0" xfId="0" applyNumberFormat="1" applyFont="1"/>
    <xf numFmtId="0" fontId="251" fillId="24" borderId="0" xfId="0" applyFont="1" applyFill="1" applyAlignment="1">
      <alignment horizontal="left"/>
    </xf>
    <xf numFmtId="0" fontId="198" fillId="24" borderId="0" xfId="0" applyFont="1" applyFill="1" applyAlignment="1">
      <alignment horizontal="left" vertical="center"/>
    </xf>
    <xf numFmtId="0" fontId="253" fillId="24" borderId="0" xfId="0" applyFont="1" applyFill="1" applyAlignment="1">
      <alignment horizontal="left"/>
    </xf>
    <xf numFmtId="0" fontId="48" fillId="24" borderId="0" xfId="0" applyFont="1" applyFill="1" applyAlignment="1">
      <alignment horizontal="center"/>
    </xf>
    <xf numFmtId="0" fontId="0" fillId="24" borderId="0" xfId="0" applyFill="1" applyAlignment="1">
      <alignment horizontal="left"/>
    </xf>
    <xf numFmtId="0" fontId="0" fillId="0" borderId="7" xfId="0" applyBorder="1"/>
    <xf numFmtId="0" fontId="0" fillId="0" borderId="9" xfId="0" applyBorder="1"/>
    <xf numFmtId="0" fontId="2" fillId="0" borderId="1" xfId="6" applyBorder="1" applyAlignment="1">
      <alignment horizontal="center"/>
    </xf>
    <xf numFmtId="168" fontId="2" fillId="0" borderId="14" xfId="6" applyNumberFormat="1" applyBorder="1" applyAlignment="1">
      <alignment horizontal="center" vertical="center"/>
    </xf>
    <xf numFmtId="168" fontId="2" fillId="0" borderId="14" xfId="6" quotePrefix="1" applyNumberFormat="1" applyBorder="1" applyAlignment="1">
      <alignment horizontal="center" vertical="center"/>
    </xf>
    <xf numFmtId="0" fontId="2" fillId="0" borderId="18" xfId="6" applyBorder="1" applyAlignment="1">
      <alignment horizontal="center"/>
    </xf>
    <xf numFmtId="0" fontId="2" fillId="0" borderId="14" xfId="6" applyBorder="1" applyAlignment="1">
      <alignment horizontal="center"/>
    </xf>
    <xf numFmtId="0" fontId="59" fillId="0" borderId="14" xfId="6" applyFont="1" applyBorder="1" applyAlignment="1">
      <alignment horizontal="center"/>
    </xf>
    <xf numFmtId="0" fontId="189" fillId="0" borderId="14" xfId="6" applyFont="1" applyBorder="1" applyAlignment="1">
      <alignment horizontal="center"/>
    </xf>
    <xf numFmtId="0" fontId="128" fillId="0" borderId="14" xfId="6" applyFont="1" applyBorder="1" applyAlignment="1">
      <alignment horizontal="center"/>
    </xf>
    <xf numFmtId="0" fontId="186" fillId="0" borderId="14" xfId="6" applyFont="1" applyBorder="1" applyAlignment="1">
      <alignment horizontal="center"/>
    </xf>
    <xf numFmtId="168" fontId="2" fillId="0" borderId="14" xfId="6" applyNumberFormat="1" applyBorder="1" applyAlignment="1">
      <alignment horizontal="center"/>
    </xf>
    <xf numFmtId="0" fontId="2" fillId="0" borderId="18" xfId="6" applyBorder="1" applyAlignment="1">
      <alignment horizontal="center" vertical="center"/>
    </xf>
    <xf numFmtId="0" fontId="2" fillId="0" borderId="21" xfId="6" applyBorder="1" applyAlignment="1">
      <alignment horizontal="center" vertical="center"/>
    </xf>
    <xf numFmtId="0" fontId="2" fillId="0" borderId="15" xfId="6" applyBorder="1" applyAlignment="1">
      <alignment horizontal="center" vertical="center"/>
    </xf>
    <xf numFmtId="0" fontId="2" fillId="0" borderId="19" xfId="6" applyBorder="1" applyAlignment="1">
      <alignment horizontal="center" vertical="center"/>
    </xf>
    <xf numFmtId="0" fontId="2" fillId="0" borderId="32" xfId="6" applyBorder="1" applyAlignment="1">
      <alignment horizontal="center"/>
    </xf>
    <xf numFmtId="0" fontId="189" fillId="0" borderId="14" xfId="6" applyFont="1" applyBorder="1" applyAlignment="1">
      <alignment horizontal="center" vertical="center"/>
    </xf>
    <xf numFmtId="0" fontId="251" fillId="24" borderId="0" xfId="0" applyFont="1" applyFill="1" applyAlignment="1" applyProtection="1">
      <alignment horizontal="center"/>
      <protection locked="0"/>
    </xf>
    <xf numFmtId="0" fontId="226" fillId="6" borderId="0" xfId="0" applyFont="1" applyFill="1" applyAlignment="1">
      <alignment horizontal="left" vertical="center" wrapText="1"/>
    </xf>
    <xf numFmtId="0" fontId="251" fillId="24" borderId="0" xfId="0" applyFont="1" applyFill="1" applyAlignment="1">
      <alignment vertical="center"/>
    </xf>
    <xf numFmtId="0" fontId="0" fillId="0" borderId="306" xfId="0" applyBorder="1"/>
    <xf numFmtId="0" fontId="0" fillId="24" borderId="306" xfId="0" applyFill="1" applyBorder="1"/>
    <xf numFmtId="0" fontId="0" fillId="21" borderId="318" xfId="0" applyFill="1" applyBorder="1"/>
    <xf numFmtId="0" fontId="0" fillId="21" borderId="319" xfId="0" applyFill="1" applyBorder="1"/>
    <xf numFmtId="0" fontId="0" fillId="21" borderId="320" xfId="0" applyFill="1" applyBorder="1"/>
    <xf numFmtId="0" fontId="0" fillId="21" borderId="182" xfId="0" applyFill="1" applyBorder="1"/>
    <xf numFmtId="0" fontId="0" fillId="21" borderId="15" xfId="0" applyFill="1" applyBorder="1"/>
    <xf numFmtId="0" fontId="0" fillId="21" borderId="183" xfId="0" applyFill="1" applyBorder="1"/>
    <xf numFmtId="0" fontId="0" fillId="21" borderId="185" xfId="0" applyFill="1" applyBorder="1"/>
    <xf numFmtId="0" fontId="0" fillId="21" borderId="47" xfId="0" applyFill="1" applyBorder="1"/>
    <xf numFmtId="0" fontId="0" fillId="21" borderId="7" xfId="0" applyFill="1" applyBorder="1"/>
    <xf numFmtId="0" fontId="0" fillId="21" borderId="186" xfId="0" applyFill="1" applyBorder="1"/>
    <xf numFmtId="0" fontId="251" fillId="24" borderId="0" xfId="0" applyFont="1" applyFill="1" applyAlignment="1">
      <alignment horizontal="right" vertical="center"/>
    </xf>
    <xf numFmtId="0" fontId="0" fillId="21" borderId="8" xfId="0" applyFill="1" applyBorder="1"/>
    <xf numFmtId="0" fontId="251" fillId="24" borderId="0" xfId="0" applyFont="1" applyFill="1" applyAlignment="1" applyProtection="1">
      <alignment horizontal="right" vertical="center"/>
      <protection locked="0"/>
    </xf>
    <xf numFmtId="0" fontId="251" fillId="24" borderId="0" xfId="0" applyFont="1" applyFill="1" applyAlignment="1">
      <alignment horizontal="center" vertical="center"/>
    </xf>
    <xf numFmtId="0" fontId="251" fillId="24" borderId="0" xfId="0" applyFont="1" applyFill="1" applyAlignment="1" applyProtection="1">
      <alignment vertical="center"/>
      <protection locked="0"/>
    </xf>
    <xf numFmtId="0" fontId="0" fillId="21" borderId="114" xfId="0" applyFill="1" applyBorder="1"/>
    <xf numFmtId="0" fontId="0" fillId="21" borderId="19" xfId="0" applyFill="1" applyBorder="1"/>
    <xf numFmtId="0" fontId="0" fillId="21" borderId="11" xfId="0" applyFill="1" applyBorder="1"/>
    <xf numFmtId="0" fontId="0" fillId="21" borderId="108" xfId="0" applyFill="1" applyBorder="1"/>
    <xf numFmtId="0" fontId="251" fillId="24" borderId="0" xfId="0" applyFont="1" applyFill="1" applyAlignment="1">
      <alignment horizontal="left" vertical="center"/>
    </xf>
    <xf numFmtId="0" fontId="0" fillId="24" borderId="0" xfId="0" applyFill="1" applyAlignment="1">
      <alignment horizontal="center" vertical="center"/>
    </xf>
    <xf numFmtId="0" fontId="0" fillId="21" borderId="22" xfId="0" applyFill="1" applyBorder="1"/>
    <xf numFmtId="0" fontId="0" fillId="21" borderId="14" xfId="0" applyFill="1" applyBorder="1"/>
    <xf numFmtId="0" fontId="0" fillId="21" borderId="23" xfId="0" applyFill="1" applyBorder="1"/>
    <xf numFmtId="0" fontId="0" fillId="21" borderId="321" xfId="0" applyFill="1" applyBorder="1"/>
    <xf numFmtId="0" fontId="0" fillId="21" borderId="322" xfId="0" applyFill="1" applyBorder="1"/>
    <xf numFmtId="0" fontId="0" fillId="21" borderId="323" xfId="0" applyFill="1" applyBorder="1"/>
    <xf numFmtId="0" fontId="251" fillId="2" borderId="1" xfId="0" applyFont="1" applyFill="1" applyBorder="1" applyAlignment="1" applyProtection="1">
      <alignment horizontal="center" vertical="center"/>
      <protection locked="0"/>
    </xf>
    <xf numFmtId="0" fontId="198" fillId="24" borderId="203" xfId="0" applyFont="1" applyFill="1" applyBorder="1" applyAlignment="1">
      <alignment vertical="top"/>
    </xf>
    <xf numFmtId="0" fontId="198" fillId="24" borderId="0" xfId="0" applyFont="1" applyFill="1" applyAlignment="1">
      <alignment vertical="top"/>
    </xf>
    <xf numFmtId="169" fontId="0" fillId="0" borderId="0" xfId="0" quotePrefix="1" applyNumberFormat="1" applyAlignment="1">
      <alignment horizontal="center"/>
    </xf>
    <xf numFmtId="169" fontId="0" fillId="0" borderId="0" xfId="0" applyNumberFormat="1" applyAlignment="1">
      <alignment horizontal="center"/>
    </xf>
    <xf numFmtId="0" fontId="30" fillId="0" borderId="0" xfId="0" applyFont="1" applyAlignment="1">
      <alignment horizontal="center"/>
    </xf>
    <xf numFmtId="0" fontId="23" fillId="0" borderId="0" xfId="0" applyFont="1"/>
    <xf numFmtId="0" fontId="23" fillId="0" borderId="0" xfId="0" applyFont="1" applyAlignment="1">
      <alignment horizontal="center"/>
    </xf>
    <xf numFmtId="0" fontId="62" fillId="0" borderId="47" xfId="6" applyFont="1" applyBorder="1" applyAlignment="1">
      <alignment horizontal="center" vertical="center"/>
    </xf>
    <xf numFmtId="169" fontId="0" fillId="0" borderId="0" xfId="0" applyNumberFormat="1"/>
    <xf numFmtId="0" fontId="62" fillId="0" borderId="19" xfId="6" applyFont="1" applyBorder="1" applyAlignment="1">
      <alignment horizontal="center" vertical="center"/>
    </xf>
    <xf numFmtId="0" fontId="128" fillId="0" borderId="14" xfId="6" applyFont="1" applyBorder="1" applyAlignment="1">
      <alignment horizontal="center" vertical="center"/>
    </xf>
    <xf numFmtId="0" fontId="1" fillId="0" borderId="14" xfId="6" applyFont="1" applyBorder="1" applyAlignment="1">
      <alignment horizontal="center" vertical="center"/>
    </xf>
    <xf numFmtId="0" fontId="62" fillId="0" borderId="15" xfId="6" applyFont="1" applyBorder="1" applyAlignment="1">
      <alignment horizontal="center" vertical="center"/>
    </xf>
    <xf numFmtId="0" fontId="1" fillId="0" borderId="115" xfId="0" applyFont="1" applyBorder="1" applyAlignment="1">
      <alignment horizontal="center" vertical="center"/>
    </xf>
    <xf numFmtId="0" fontId="1" fillId="0" borderId="0" xfId="0" applyFont="1" applyAlignment="1">
      <alignment horizontal="center" vertical="center"/>
    </xf>
    <xf numFmtId="0" fontId="2" fillId="0" borderId="14" xfId="6" applyBorder="1" applyAlignment="1">
      <alignment horizontal="center" vertical="center"/>
    </xf>
    <xf numFmtId="0" fontId="150" fillId="6" borderId="138" xfId="6" applyFont="1" applyFill="1" applyBorder="1" applyAlignment="1" applyProtection="1">
      <alignment horizontal="center" vertical="center"/>
      <protection locked="0"/>
    </xf>
    <xf numFmtId="169" fontId="180" fillId="0" borderId="14" xfId="6" applyNumberFormat="1" applyFont="1" applyBorder="1" applyAlignment="1">
      <alignment horizontal="center" vertical="center"/>
    </xf>
    <xf numFmtId="169" fontId="62" fillId="0" borderId="14" xfId="6" applyNumberFormat="1" applyFont="1" applyBorder="1" applyAlignment="1">
      <alignment horizontal="center" vertical="center"/>
    </xf>
    <xf numFmtId="0" fontId="58" fillId="0" borderId="0" xfId="0" applyFont="1"/>
    <xf numFmtId="0" fontId="0" fillId="0" borderId="148" xfId="0" applyBorder="1" applyAlignment="1">
      <alignment horizontal="center"/>
    </xf>
    <xf numFmtId="0" fontId="1" fillId="0" borderId="8" xfId="6" applyFont="1" applyBorder="1" applyAlignment="1">
      <alignment horizontal="center"/>
    </xf>
    <xf numFmtId="0" fontId="128" fillId="0" borderId="15" xfId="0" applyFont="1" applyBorder="1" applyAlignment="1">
      <alignment horizontal="center"/>
    </xf>
    <xf numFmtId="0" fontId="23" fillId="0" borderId="7" xfId="0" applyFont="1" applyBorder="1" applyAlignment="1">
      <alignment horizontal="center"/>
    </xf>
    <xf numFmtId="0" fontId="128" fillId="0" borderId="47" xfId="6" applyFont="1" applyBorder="1" applyAlignment="1">
      <alignment horizontal="center"/>
    </xf>
    <xf numFmtId="0" fontId="62" fillId="0" borderId="19" xfId="6" applyFont="1" applyBorder="1" applyAlignment="1">
      <alignment horizontal="center" vertical="center" wrapText="1"/>
    </xf>
    <xf numFmtId="0" fontId="1" fillId="0" borderId="14" xfId="6" applyFont="1" applyBorder="1" applyAlignment="1">
      <alignment horizontal="center"/>
    </xf>
    <xf numFmtId="0" fontId="1" fillId="0" borderId="18" xfId="6" applyFont="1" applyBorder="1" applyAlignment="1">
      <alignment horizontal="center"/>
    </xf>
    <xf numFmtId="0" fontId="1" fillId="0" borderId="170" xfId="6" applyFont="1" applyBorder="1" applyAlignment="1">
      <alignment horizontal="center"/>
    </xf>
    <xf numFmtId="0" fontId="1" fillId="0" borderId="11" xfId="6" applyFont="1" applyBorder="1" applyAlignment="1">
      <alignment horizontal="center"/>
    </xf>
    <xf numFmtId="0" fontId="1" fillId="0" borderId="19" xfId="6" applyFont="1" applyBorder="1" applyAlignment="1">
      <alignment horizontal="center"/>
    </xf>
    <xf numFmtId="0" fontId="62" fillId="0" borderId="286" xfId="6" applyFont="1" applyBorder="1" applyAlignment="1">
      <alignment horizontal="center"/>
    </xf>
    <xf numFmtId="0" fontId="62" fillId="0" borderId="330" xfId="6" applyFont="1" applyBorder="1" applyAlignment="1">
      <alignment horizontal="center"/>
    </xf>
    <xf numFmtId="0" fontId="62" fillId="0" borderId="96" xfId="6" applyFont="1" applyBorder="1" applyAlignment="1">
      <alignment horizontal="center"/>
    </xf>
    <xf numFmtId="0" fontId="1" fillId="0" borderId="19" xfId="6" applyFont="1" applyBorder="1" applyAlignment="1">
      <alignment horizontal="center" wrapText="1"/>
    </xf>
    <xf numFmtId="0" fontId="30" fillId="0" borderId="14" xfId="0" applyFont="1" applyBorder="1" applyAlignment="1">
      <alignment horizontal="center"/>
    </xf>
    <xf numFmtId="0" fontId="0" fillId="0" borderId="331" xfId="0" applyBorder="1" applyAlignment="1">
      <alignment horizontal="center"/>
    </xf>
    <xf numFmtId="2" fontId="2" fillId="0" borderId="14" xfId="6" applyNumberFormat="1" applyBorder="1" applyAlignment="1">
      <alignment horizontal="center"/>
    </xf>
    <xf numFmtId="0" fontId="1" fillId="32" borderId="22" xfId="6" applyFont="1" applyFill="1" applyBorder="1" applyAlignment="1" applyProtection="1">
      <alignment horizontal="center"/>
      <protection locked="0"/>
    </xf>
    <xf numFmtId="169" fontId="180" fillId="0" borderId="14" xfId="6" applyNumberFormat="1" applyFont="1" applyBorder="1" applyAlignment="1">
      <alignment horizontal="center"/>
    </xf>
    <xf numFmtId="0" fontId="1" fillId="0" borderId="0" xfId="0" applyFont="1"/>
    <xf numFmtId="0" fontId="23" fillId="0" borderId="0" xfId="0" applyFont="1" applyAlignment="1">
      <alignment horizontal="left"/>
    </xf>
    <xf numFmtId="0" fontId="0" fillId="0" borderId="0" xfId="0" applyAlignment="1">
      <alignment horizontal="left"/>
    </xf>
    <xf numFmtId="0" fontId="62" fillId="0" borderId="47" xfId="6" applyFont="1" applyBorder="1" applyAlignment="1">
      <alignment horizontal="center" vertical="center" wrapText="1"/>
    </xf>
    <xf numFmtId="0" fontId="1" fillId="0" borderId="14" xfId="0" applyFont="1" applyBorder="1" applyAlignment="1">
      <alignment horizontal="center"/>
    </xf>
    <xf numFmtId="0" fontId="128" fillId="0" borderId="19" xfId="6" applyFont="1" applyBorder="1" applyAlignment="1">
      <alignment horizontal="center"/>
    </xf>
    <xf numFmtId="0" fontId="1" fillId="0" borderId="115" xfId="0" applyFont="1" applyBorder="1" applyAlignment="1">
      <alignment horizontal="center"/>
    </xf>
    <xf numFmtId="0" fontId="1" fillId="0" borderId="0" xfId="0" applyFont="1" applyAlignment="1">
      <alignment horizontal="center"/>
    </xf>
    <xf numFmtId="0" fontId="2" fillId="32" borderId="14" xfId="6" applyFill="1" applyBorder="1" applyAlignment="1" applyProtection="1">
      <alignment horizontal="center"/>
      <protection locked="0"/>
    </xf>
    <xf numFmtId="1" fontId="61" fillId="0" borderId="17" xfId="6" applyNumberFormat="1" applyFont="1" applyBorder="1" applyAlignment="1">
      <alignment horizontal="center"/>
    </xf>
    <xf numFmtId="169" fontId="61" fillId="0" borderId="17" xfId="6" applyNumberFormat="1" applyFont="1" applyBorder="1" applyAlignment="1">
      <alignment horizontal="center"/>
    </xf>
    <xf numFmtId="2" fontId="61" fillId="0" borderId="17" xfId="6" applyNumberFormat="1" applyFont="1" applyBorder="1" applyAlignment="1">
      <alignment horizontal="center"/>
    </xf>
    <xf numFmtId="0" fontId="128" fillId="0" borderId="19" xfId="6" applyFont="1" applyBorder="1" applyAlignment="1">
      <alignment horizontal="center" wrapText="1"/>
    </xf>
    <xf numFmtId="0" fontId="58" fillId="0" borderId="31" xfId="0" applyFont="1" applyBorder="1"/>
    <xf numFmtId="0" fontId="58" fillId="0" borderId="1" xfId="0" applyFont="1" applyBorder="1"/>
    <xf numFmtId="0" fontId="58" fillId="0" borderId="12" xfId="0" applyFont="1" applyBorder="1"/>
    <xf numFmtId="0" fontId="2" fillId="32" borderId="21" xfId="6" applyFill="1" applyBorder="1" applyAlignment="1" applyProtection="1">
      <alignment horizontal="center"/>
      <protection locked="0"/>
    </xf>
    <xf numFmtId="0" fontId="1" fillId="0" borderId="0" xfId="6" applyFont="1" applyAlignment="1">
      <alignment vertical="center" wrapText="1"/>
    </xf>
    <xf numFmtId="0" fontId="1" fillId="0" borderId="286" xfId="6" applyFont="1" applyBorder="1" applyAlignment="1">
      <alignment horizontal="center"/>
    </xf>
    <xf numFmtId="0" fontId="1" fillId="0" borderId="15" xfId="6" applyFont="1" applyBorder="1" applyAlignment="1">
      <alignment horizontal="center"/>
    </xf>
    <xf numFmtId="0" fontId="128" fillId="0" borderId="115" xfId="6" applyFont="1" applyBorder="1" applyAlignment="1">
      <alignment horizontal="center" vertical="center" wrapText="1"/>
    </xf>
    <xf numFmtId="0" fontId="128" fillId="0" borderId="19" xfId="6" applyFont="1" applyBorder="1" applyAlignment="1">
      <alignment horizontal="center" vertical="center"/>
    </xf>
    <xf numFmtId="0" fontId="2" fillId="32" borderId="21" xfId="6" applyFill="1" applyBorder="1" applyAlignment="1" applyProtection="1">
      <alignment horizontal="center" vertical="center"/>
      <protection locked="0"/>
    </xf>
    <xf numFmtId="0" fontId="58" fillId="0" borderId="11" xfId="0" applyFont="1" applyBorder="1"/>
    <xf numFmtId="0" fontId="2" fillId="32" borderId="14" xfId="6" applyFill="1" applyBorder="1" applyAlignment="1" applyProtection="1">
      <alignment horizontal="center" vertical="center"/>
      <protection locked="0"/>
    </xf>
    <xf numFmtId="0" fontId="58" fillId="0" borderId="3" xfId="0" applyFont="1" applyBorder="1"/>
    <xf numFmtId="0" fontId="1" fillId="0" borderId="0" xfId="6" applyFont="1" applyAlignment="1">
      <alignment vertical="center"/>
    </xf>
    <xf numFmtId="0" fontId="2" fillId="32" borderId="19" xfId="6" applyFill="1" applyBorder="1" applyAlignment="1" applyProtection="1">
      <alignment horizontal="center" vertical="center"/>
      <protection locked="0"/>
    </xf>
    <xf numFmtId="0" fontId="58" fillId="0" borderId="0" xfId="0" applyFont="1" applyAlignment="1">
      <alignment vertical="center" wrapText="1"/>
    </xf>
    <xf numFmtId="0" fontId="288" fillId="0" borderId="0" xfId="0" applyFont="1"/>
    <xf numFmtId="0" fontId="0" fillId="0" borderId="8" xfId="0" applyBorder="1" applyAlignment="1">
      <alignment horizontal="left"/>
    </xf>
    <xf numFmtId="0" fontId="1" fillId="0" borderId="0" xfId="6" applyFont="1" applyAlignment="1">
      <alignment horizontal="center"/>
    </xf>
    <xf numFmtId="0" fontId="0" fillId="0" borderId="7" xfId="0" applyBorder="1" applyAlignment="1">
      <alignment horizontal="left"/>
    </xf>
    <xf numFmtId="0" fontId="128" fillId="0" borderId="0" xfId="6" applyFont="1"/>
    <xf numFmtId="0" fontId="62" fillId="0" borderId="7" xfId="6" applyFont="1" applyBorder="1" applyAlignment="1">
      <alignment horizontal="left"/>
    </xf>
    <xf numFmtId="0" fontId="2" fillId="2" borderId="286" xfId="6" applyFill="1" applyBorder="1"/>
    <xf numFmtId="0" fontId="2" fillId="0" borderId="286" xfId="6" applyBorder="1" applyAlignment="1">
      <alignment horizontal="center"/>
    </xf>
    <xf numFmtId="168" fontId="1" fillId="0" borderId="19" xfId="6" applyNumberFormat="1" applyFont="1" applyBorder="1" applyAlignment="1">
      <alignment horizontal="center" vertical="center"/>
    </xf>
    <xf numFmtId="168" fontId="1" fillId="0" borderId="14" xfId="6" applyNumberFormat="1" applyFont="1" applyBorder="1" applyAlignment="1">
      <alignment horizontal="center" vertical="center"/>
    </xf>
    <xf numFmtId="168" fontId="1" fillId="0" borderId="173" xfId="6" applyNumberFormat="1" applyFont="1" applyBorder="1" applyAlignment="1">
      <alignment horizontal="center" vertical="center"/>
    </xf>
    <xf numFmtId="0" fontId="2" fillId="0" borderId="286" xfId="6" applyBorder="1"/>
    <xf numFmtId="0" fontId="1" fillId="18" borderId="14" xfId="6" applyFont="1" applyFill="1" applyBorder="1" applyAlignment="1">
      <alignment horizontal="center"/>
    </xf>
    <xf numFmtId="0" fontId="1" fillId="0" borderId="182" xfId="6" applyFont="1" applyBorder="1" applyAlignment="1">
      <alignment horizontal="center" vertical="center"/>
    </xf>
    <xf numFmtId="0" fontId="1" fillId="0" borderId="8" xfId="6" applyFont="1" applyBorder="1" applyAlignment="1">
      <alignment horizontal="center" vertical="center"/>
    </xf>
    <xf numFmtId="0" fontId="1" fillId="0" borderId="15" xfId="6" applyFont="1" applyBorder="1" applyAlignment="1">
      <alignment horizontal="center" vertical="center"/>
    </xf>
    <xf numFmtId="0" fontId="1" fillId="0" borderId="183" xfId="6" applyFont="1" applyBorder="1" applyAlignment="1">
      <alignment horizontal="center" vertical="center"/>
    </xf>
    <xf numFmtId="0" fontId="1" fillId="0" borderId="171" xfId="6" applyFont="1" applyBorder="1" applyAlignment="1">
      <alignment horizontal="center" vertical="center"/>
    </xf>
    <xf numFmtId="0" fontId="1" fillId="0" borderId="185" xfId="6" applyFont="1" applyBorder="1" applyAlignment="1">
      <alignment horizontal="center" vertical="center"/>
    </xf>
    <xf numFmtId="0" fontId="1" fillId="0" borderId="7" xfId="6" applyFont="1" applyBorder="1" applyAlignment="1">
      <alignment horizontal="center" vertical="center"/>
    </xf>
    <xf numFmtId="0" fontId="1" fillId="0" borderId="47" xfId="6" applyFont="1" applyBorder="1" applyAlignment="1">
      <alignment horizontal="center" vertical="center"/>
    </xf>
    <xf numFmtId="0" fontId="1" fillId="0" borderId="186" xfId="6" applyFont="1" applyBorder="1" applyAlignment="1">
      <alignment horizontal="center" vertical="center"/>
    </xf>
    <xf numFmtId="0" fontId="198" fillId="24" borderId="7" xfId="0" applyFont="1" applyFill="1" applyBorder="1" applyAlignment="1">
      <alignment vertical="top"/>
    </xf>
    <xf numFmtId="0" fontId="198" fillId="24" borderId="9" xfId="0" applyFont="1" applyFill="1" applyBorder="1" applyAlignment="1">
      <alignment vertical="top"/>
    </xf>
    <xf numFmtId="0" fontId="217" fillId="24" borderId="0" xfId="0" applyFont="1" applyFill="1" applyAlignment="1" applyProtection="1">
      <alignment horizontal="center" vertical="center" wrapText="1"/>
      <protection locked="0"/>
    </xf>
    <xf numFmtId="0" fontId="208" fillId="6" borderId="0" xfId="0" applyFont="1" applyFill="1" applyAlignment="1">
      <alignment horizontal="left" vertical="center" wrapText="1"/>
    </xf>
    <xf numFmtId="0" fontId="202" fillId="6" borderId="0" xfId="0" applyFont="1" applyFill="1" applyAlignment="1">
      <alignment horizontal="left" vertical="center" wrapText="1"/>
    </xf>
    <xf numFmtId="0" fontId="258" fillId="6" borderId="0" xfId="0" applyFont="1" applyFill="1" applyAlignment="1">
      <alignment horizontal="left" vertical="top"/>
    </xf>
    <xf numFmtId="0" fontId="128" fillId="24" borderId="0" xfId="0" applyFont="1" applyFill="1" applyAlignment="1">
      <alignment horizontal="left" vertical="center" indent="1"/>
    </xf>
    <xf numFmtId="0" fontId="293" fillId="24" borderId="0" xfId="0" applyFont="1" applyFill="1" applyAlignment="1">
      <alignment horizontal="left" vertical="center" indent="6"/>
    </xf>
    <xf numFmtId="0" fontId="128" fillId="24" borderId="0" xfId="0" applyFont="1" applyFill="1"/>
    <xf numFmtId="0" fontId="128" fillId="24" borderId="0" xfId="0" applyFont="1" applyFill="1" applyAlignment="1">
      <alignment horizontal="justify" vertical="center"/>
    </xf>
    <xf numFmtId="0" fontId="107" fillId="24" borderId="0" xfId="0" applyFont="1" applyFill="1" applyAlignment="1">
      <alignment horizontal="justify" vertical="center"/>
    </xf>
    <xf numFmtId="0" fontId="279" fillId="24" borderId="0" xfId="0" applyFont="1" applyFill="1" applyAlignment="1">
      <alignment horizontal="center" vertical="center"/>
    </xf>
    <xf numFmtId="0" fontId="279" fillId="24" borderId="0" xfId="0" applyFont="1" applyFill="1" applyAlignment="1">
      <alignment horizontal="justify" vertical="center"/>
    </xf>
    <xf numFmtId="0" fontId="107" fillId="24" borderId="0" xfId="0" applyFont="1" applyFill="1" applyAlignment="1">
      <alignment horizontal="left" vertical="center" indent="1"/>
    </xf>
    <xf numFmtId="0" fontId="198" fillId="24" borderId="0" xfId="0" applyFont="1" applyFill="1"/>
    <xf numFmtId="0" fontId="198" fillId="24" borderId="0" xfId="0" applyFont="1" applyFill="1" applyAlignment="1">
      <alignment horizontal="center" vertical="center"/>
    </xf>
    <xf numFmtId="0" fontId="0" fillId="24" borderId="14" xfId="0" applyFill="1" applyBorder="1"/>
    <xf numFmtId="0" fontId="0" fillId="6" borderId="19" xfId="0" applyFill="1" applyBorder="1"/>
    <xf numFmtId="0" fontId="1" fillId="29" borderId="22" xfId="6" applyFont="1" applyFill="1" applyBorder="1" applyAlignment="1" applyProtection="1">
      <alignment horizontal="center" vertical="center"/>
      <protection locked="0"/>
    </xf>
    <xf numFmtId="0" fontId="0" fillId="33" borderId="0" xfId="0" applyFill="1"/>
    <xf numFmtId="0" fontId="58" fillId="33" borderId="0" xfId="0" applyFont="1" applyFill="1"/>
    <xf numFmtId="0" fontId="1" fillId="33" borderId="0" xfId="0" applyFont="1" applyFill="1"/>
    <xf numFmtId="0" fontId="58" fillId="33" borderId="0" xfId="0" applyFont="1" applyFill="1" applyAlignment="1">
      <alignment vertical="center"/>
    </xf>
    <xf numFmtId="0" fontId="0" fillId="33" borderId="0" xfId="0" applyFill="1" applyAlignment="1">
      <alignment vertical="center"/>
    </xf>
    <xf numFmtId="0" fontId="1" fillId="33" borderId="0" xfId="6" applyFont="1" applyFill="1" applyAlignment="1">
      <alignment vertical="center" wrapText="1"/>
    </xf>
    <xf numFmtId="0" fontId="150" fillId="29" borderId="138" xfId="6" applyFont="1" applyFill="1" applyBorder="1" applyAlignment="1" applyProtection="1">
      <alignment horizontal="center" vertical="center"/>
      <protection locked="0"/>
    </xf>
    <xf numFmtId="165" fontId="150" fillId="29" borderId="138" xfId="6" applyNumberFormat="1" applyFont="1" applyFill="1" applyBorder="1" applyAlignment="1" applyProtection="1">
      <alignment horizontal="center" vertical="center"/>
      <protection locked="0"/>
    </xf>
    <xf numFmtId="0" fontId="31" fillId="6" borderId="19" xfId="0" applyFont="1" applyFill="1" applyBorder="1" applyAlignment="1">
      <alignment horizontal="center" vertical="center"/>
    </xf>
    <xf numFmtId="0" fontId="31" fillId="6" borderId="138" xfId="0" applyFont="1" applyFill="1" applyBorder="1" applyAlignment="1">
      <alignment horizontal="center"/>
    </xf>
    <xf numFmtId="0" fontId="59" fillId="14" borderId="18" xfId="4" applyFont="1" applyFill="1" applyBorder="1" applyAlignment="1">
      <alignment horizontal="left"/>
    </xf>
    <xf numFmtId="0" fontId="59" fillId="14" borderId="11" xfId="4" applyFont="1" applyFill="1" applyBorder="1" applyAlignment="1">
      <alignment horizontal="left"/>
    </xf>
    <xf numFmtId="0" fontId="10" fillId="14" borderId="21" xfId="4" applyFont="1" applyFill="1" applyBorder="1" applyAlignment="1">
      <alignment horizontal="center"/>
    </xf>
    <xf numFmtId="0" fontId="59" fillId="14" borderId="0" xfId="4" applyFont="1" applyFill="1"/>
    <xf numFmtId="0" fontId="16" fillId="14" borderId="0" xfId="4" applyFill="1"/>
    <xf numFmtId="0" fontId="128" fillId="14" borderId="0" xfId="4" applyFont="1" applyFill="1" applyAlignment="1">
      <alignment horizontal="center"/>
    </xf>
    <xf numFmtId="0" fontId="261" fillId="24" borderId="0" xfId="0" applyFont="1" applyFill="1" applyAlignment="1">
      <alignment horizontal="left"/>
    </xf>
    <xf numFmtId="0" fontId="298" fillId="24" borderId="0" xfId="0" applyFont="1" applyFill="1" applyAlignment="1">
      <alignment vertical="center"/>
    </xf>
    <xf numFmtId="0" fontId="299" fillId="24" borderId="0" xfId="0" applyFont="1" applyFill="1" applyAlignment="1">
      <alignment vertical="center" wrapText="1"/>
    </xf>
    <xf numFmtId="0" fontId="299" fillId="24" borderId="0" xfId="0" applyFont="1" applyFill="1" applyAlignment="1">
      <alignment horizontal="right" vertical="center" wrapText="1"/>
    </xf>
    <xf numFmtId="0" fontId="298" fillId="24" borderId="0" xfId="0" applyFont="1" applyFill="1"/>
    <xf numFmtId="0" fontId="298" fillId="0" borderId="0" xfId="0" applyFont="1"/>
    <xf numFmtId="0" fontId="300" fillId="24" borderId="0" xfId="0" applyFont="1" applyFill="1" applyAlignment="1">
      <alignment horizontal="center" wrapText="1"/>
    </xf>
    <xf numFmtId="0" fontId="299" fillId="24" borderId="225" xfId="0" applyFont="1" applyFill="1" applyBorder="1" applyAlignment="1">
      <alignment vertical="center" wrapText="1"/>
    </xf>
    <xf numFmtId="0" fontId="299" fillId="24" borderId="225" xfId="0" applyFont="1" applyFill="1" applyBorder="1" applyAlignment="1">
      <alignment horizontal="right" vertical="center" wrapText="1"/>
    </xf>
    <xf numFmtId="0" fontId="302" fillId="24" borderId="225" xfId="0" applyFont="1" applyFill="1" applyBorder="1" applyAlignment="1">
      <alignment vertical="center" wrapText="1"/>
    </xf>
    <xf numFmtId="0" fontId="303" fillId="0" borderId="247" xfId="0" applyFont="1" applyBorder="1" applyAlignment="1">
      <alignment vertical="center" wrapText="1"/>
    </xf>
    <xf numFmtId="0" fontId="304" fillId="24" borderId="0" xfId="0" applyFont="1" applyFill="1" applyAlignment="1">
      <alignment vertical="center" wrapText="1"/>
    </xf>
    <xf numFmtId="0" fontId="304" fillId="24" borderId="281" xfId="0" applyFont="1" applyFill="1" applyBorder="1" applyAlignment="1">
      <alignment horizontal="center" vertical="center" wrapText="1"/>
    </xf>
    <xf numFmtId="0" fontId="304" fillId="24" borderId="0" xfId="0" applyFont="1" applyFill="1" applyAlignment="1">
      <alignment horizontal="center" vertical="center" wrapText="1"/>
    </xf>
    <xf numFmtId="0" fontId="304" fillId="30" borderId="301" xfId="0" applyFont="1" applyFill="1" applyBorder="1" applyAlignment="1" applyProtection="1">
      <alignment vertical="center" wrapText="1"/>
      <protection locked="0"/>
    </xf>
    <xf numFmtId="0" fontId="299" fillId="24" borderId="229" xfId="0" applyFont="1" applyFill="1" applyBorder="1" applyAlignment="1">
      <alignment vertical="center" wrapText="1"/>
    </xf>
    <xf numFmtId="14" fontId="299" fillId="24" borderId="0" xfId="0" applyNumberFormat="1" applyFont="1" applyFill="1" applyAlignment="1" applyProtection="1">
      <alignment vertical="center" wrapText="1"/>
      <protection locked="0"/>
    </xf>
    <xf numFmtId="0" fontId="304" fillId="24" borderId="0" xfId="0" applyFont="1" applyFill="1" applyAlignment="1">
      <alignment horizontal="right" vertical="center" wrapText="1"/>
    </xf>
    <xf numFmtId="0" fontId="298" fillId="24" borderId="233" xfId="0" applyFont="1" applyFill="1" applyBorder="1" applyAlignment="1">
      <alignment vertical="center" wrapText="1"/>
    </xf>
    <xf numFmtId="14" fontId="304" fillId="24" borderId="233" xfId="0" applyNumberFormat="1" applyFont="1" applyFill="1" applyBorder="1" applyAlignment="1">
      <alignment horizontal="left" vertical="center" wrapText="1"/>
    </xf>
    <xf numFmtId="0" fontId="308" fillId="24" borderId="0" xfId="0" applyFont="1" applyFill="1" applyAlignment="1">
      <alignment vertical="center" wrapText="1"/>
    </xf>
    <xf numFmtId="0" fontId="299" fillId="24" borderId="235" xfId="0" applyFont="1" applyFill="1" applyBorder="1" applyAlignment="1">
      <alignment vertical="center" wrapText="1"/>
    </xf>
    <xf numFmtId="0" fontId="299" fillId="24" borderId="259" xfId="0" applyFont="1" applyFill="1" applyBorder="1" applyAlignment="1">
      <alignment vertical="center" wrapText="1"/>
    </xf>
    <xf numFmtId="0" fontId="299" fillId="24" borderId="248" xfId="0" applyFont="1" applyFill="1" applyBorder="1" applyAlignment="1">
      <alignment vertical="center" wrapText="1"/>
    </xf>
    <xf numFmtId="0" fontId="299" fillId="24" borderId="233" xfId="0" applyFont="1" applyFill="1" applyBorder="1" applyAlignment="1">
      <alignment vertical="center" wrapText="1"/>
    </xf>
    <xf numFmtId="0" fontId="304" fillId="24" borderId="233" xfId="0" applyFont="1" applyFill="1" applyBorder="1" applyAlignment="1">
      <alignment vertical="center" wrapText="1"/>
    </xf>
    <xf numFmtId="0" fontId="304" fillId="24" borderId="299" xfId="0" applyFont="1" applyFill="1" applyBorder="1" applyAlignment="1">
      <alignment vertical="center" wrapText="1"/>
    </xf>
    <xf numFmtId="0" fontId="299" fillId="24" borderId="245" xfId="0" applyFont="1" applyFill="1" applyBorder="1" applyAlignment="1">
      <alignment vertical="center" wrapText="1"/>
    </xf>
    <xf numFmtId="0" fontId="299" fillId="24" borderId="234" xfId="0" applyFont="1" applyFill="1" applyBorder="1" applyAlignment="1">
      <alignment vertical="center" wrapText="1"/>
    </xf>
    <xf numFmtId="0" fontId="299" fillId="24" borderId="228" xfId="0" applyFont="1" applyFill="1" applyBorder="1" applyAlignment="1">
      <alignment vertical="center" wrapText="1"/>
    </xf>
    <xf numFmtId="0" fontId="310" fillId="24" borderId="0" xfId="0" applyFont="1" applyFill="1"/>
    <xf numFmtId="0" fontId="298" fillId="24" borderId="228" xfId="0" applyFont="1" applyFill="1" applyBorder="1"/>
    <xf numFmtId="0" fontId="313" fillId="0" borderId="0" xfId="0" applyFont="1"/>
    <xf numFmtId="0" fontId="314" fillId="0" borderId="0" xfId="0" applyFont="1"/>
    <xf numFmtId="0" fontId="298" fillId="24" borderId="266" xfId="0" applyFont="1" applyFill="1" applyBorder="1"/>
    <xf numFmtId="0" fontId="315" fillId="24" borderId="215" xfId="0" applyFont="1" applyFill="1" applyBorder="1"/>
    <xf numFmtId="2" fontId="315" fillId="26" borderId="215" xfId="0" applyNumberFormat="1" applyFont="1" applyFill="1" applyBorder="1" applyAlignment="1" applyProtection="1">
      <alignment horizontal="right"/>
      <protection locked="0"/>
    </xf>
    <xf numFmtId="0" fontId="312" fillId="24" borderId="215" xfId="0" applyFont="1" applyFill="1" applyBorder="1"/>
    <xf numFmtId="0" fontId="298" fillId="24" borderId="215" xfId="0" applyFont="1" applyFill="1" applyBorder="1"/>
    <xf numFmtId="0" fontId="305" fillId="14" borderId="265" xfId="0" applyFont="1" applyFill="1" applyBorder="1"/>
    <xf numFmtId="0" fontId="302" fillId="14" borderId="264" xfId="0" applyFont="1" applyFill="1" applyBorder="1"/>
    <xf numFmtId="0" fontId="312" fillId="14" borderId="263" xfId="0" applyFont="1" applyFill="1" applyBorder="1"/>
    <xf numFmtId="0" fontId="298" fillId="24" borderId="247" xfId="0" applyFont="1" applyFill="1" applyBorder="1"/>
    <xf numFmtId="0" fontId="302" fillId="6" borderId="0" xfId="0" applyFont="1" applyFill="1"/>
    <xf numFmtId="0" fontId="313" fillId="6" borderId="0" xfId="0" applyFont="1" applyFill="1"/>
    <xf numFmtId="0" fontId="314" fillId="24" borderId="0" xfId="0" applyFont="1" applyFill="1"/>
    <xf numFmtId="0" fontId="302" fillId="24" borderId="0" xfId="0" applyFont="1" applyFill="1"/>
    <xf numFmtId="0" fontId="312" fillId="24" borderId="0" xfId="0" applyFont="1" applyFill="1"/>
    <xf numFmtId="0" fontId="313" fillId="24" borderId="0" xfId="0" applyFont="1" applyFill="1"/>
    <xf numFmtId="0" fontId="304" fillId="24" borderId="0" xfId="0" applyFont="1" applyFill="1" applyAlignment="1">
      <alignment horizontal="left" vertical="center" wrapText="1"/>
    </xf>
    <xf numFmtId="0" fontId="316" fillId="24" borderId="0" xfId="0" applyFont="1" applyFill="1" applyAlignment="1">
      <alignment horizontal="center" vertical="center" wrapText="1"/>
    </xf>
    <xf numFmtId="0" fontId="305" fillId="14" borderId="4" xfId="0" applyFont="1" applyFill="1" applyBorder="1"/>
    <xf numFmtId="0" fontId="298" fillId="14" borderId="0" xfId="0" applyFont="1" applyFill="1"/>
    <xf numFmtId="0" fontId="298" fillId="14" borderId="5" xfId="0" applyFont="1" applyFill="1" applyBorder="1"/>
    <xf numFmtId="0" fontId="317" fillId="24" borderId="247" xfId="0" applyFont="1" applyFill="1" applyBorder="1"/>
    <xf numFmtId="2" fontId="316" fillId="24" borderId="0" xfId="0" applyNumberFormat="1" applyFont="1" applyFill="1" applyAlignment="1">
      <alignment horizontal="center" wrapText="1"/>
    </xf>
    <xf numFmtId="0" fontId="317" fillId="24" borderId="0" xfId="0" applyFont="1" applyFill="1" applyAlignment="1">
      <alignment horizontal="left"/>
    </xf>
    <xf numFmtId="0" fontId="316" fillId="24" borderId="0" xfId="0" applyFont="1" applyFill="1" applyAlignment="1">
      <alignment horizontal="center" wrapText="1"/>
    </xf>
    <xf numFmtId="0" fontId="299" fillId="24" borderId="229" xfId="0" applyFont="1" applyFill="1" applyBorder="1" applyAlignment="1">
      <alignment wrapText="1"/>
    </xf>
    <xf numFmtId="0" fontId="298" fillId="14" borderId="4" xfId="0" applyFont="1" applyFill="1" applyBorder="1"/>
    <xf numFmtId="2" fontId="305" fillId="14" borderId="0" xfId="0" applyNumberFormat="1" applyFont="1" applyFill="1"/>
    <xf numFmtId="0" fontId="316" fillId="24" borderId="247" xfId="0" applyFont="1" applyFill="1" applyBorder="1" applyAlignment="1">
      <alignment vertical="center" wrapText="1"/>
    </xf>
    <xf numFmtId="2" fontId="316" fillId="24" borderId="0" xfId="0" applyNumberFormat="1" applyFont="1" applyFill="1" applyAlignment="1">
      <alignment vertical="center" wrapText="1"/>
    </xf>
    <xf numFmtId="2" fontId="316" fillId="24" borderId="0" xfId="0" applyNumberFormat="1" applyFont="1" applyFill="1" applyAlignment="1">
      <alignment horizontal="center" vertical="center" wrapText="1"/>
    </xf>
    <xf numFmtId="0" fontId="319" fillId="24" borderId="228" xfId="0" applyFont="1" applyFill="1" applyBorder="1" applyAlignment="1">
      <alignment horizontal="center" vertical="center" wrapText="1"/>
    </xf>
    <xf numFmtId="0" fontId="316" fillId="24" borderId="0" xfId="0" applyFont="1" applyFill="1" applyAlignment="1">
      <alignment vertical="center" wrapText="1"/>
    </xf>
    <xf numFmtId="0" fontId="305" fillId="14" borderId="0" xfId="0" applyFont="1" applyFill="1"/>
    <xf numFmtId="2" fontId="320" fillId="24" borderId="0" xfId="0" applyNumberFormat="1" applyFont="1" applyFill="1" applyAlignment="1">
      <alignment horizontal="left" wrapText="1"/>
    </xf>
    <xf numFmtId="0" fontId="299" fillId="24" borderId="228" xfId="0" applyFont="1" applyFill="1" applyBorder="1" applyAlignment="1">
      <alignment horizontal="center" vertical="center" wrapText="1"/>
    </xf>
    <xf numFmtId="2" fontId="304" fillId="26" borderId="253" xfId="0" applyNumberFormat="1" applyFont="1" applyFill="1" applyBorder="1" applyAlignment="1" applyProtection="1">
      <alignment horizontal="center" vertical="center" wrapText="1"/>
      <protection locked="0"/>
    </xf>
    <xf numFmtId="2" fontId="304" fillId="26" borderId="257" xfId="0" applyNumberFormat="1" applyFont="1" applyFill="1" applyBorder="1" applyAlignment="1" applyProtection="1">
      <alignment horizontal="center" vertical="center" wrapText="1"/>
      <protection locked="0"/>
    </xf>
    <xf numFmtId="2" fontId="299" fillId="24" borderId="232" xfId="0" applyNumberFormat="1" applyFont="1" applyFill="1" applyBorder="1" applyAlignment="1" applyProtection="1">
      <alignment horizontal="center" vertical="center" wrapText="1"/>
      <protection locked="0"/>
    </xf>
    <xf numFmtId="0" fontId="303" fillId="24" borderId="0" xfId="0" applyFont="1" applyFill="1" applyAlignment="1">
      <alignment vertical="center" wrapText="1"/>
    </xf>
    <xf numFmtId="0" fontId="298" fillId="14" borderId="40" xfId="0" applyFont="1" applyFill="1" applyBorder="1"/>
    <xf numFmtId="2" fontId="305" fillId="14" borderId="41" xfId="0" applyNumberFormat="1" applyFont="1" applyFill="1" applyBorder="1"/>
    <xf numFmtId="0" fontId="298" fillId="14" borderId="42" xfId="0" applyFont="1" applyFill="1" applyBorder="1"/>
    <xf numFmtId="174" fontId="304" fillId="27" borderId="253" xfId="0" applyNumberFormat="1" applyFont="1" applyFill="1" applyBorder="1" applyAlignment="1">
      <alignment horizontal="center" vertical="center" wrapText="1"/>
    </xf>
    <xf numFmtId="2" fontId="299" fillId="24" borderId="0" xfId="0" applyNumberFormat="1" applyFont="1" applyFill="1" applyAlignment="1">
      <alignment horizontal="center" vertical="center" wrapText="1"/>
    </xf>
    <xf numFmtId="2" fontId="304" fillId="24" borderId="0" xfId="0" applyNumberFormat="1" applyFont="1" applyFill="1" applyAlignment="1">
      <alignment horizontal="center" vertical="center" wrapText="1"/>
    </xf>
    <xf numFmtId="2" fontId="304" fillId="24" borderId="215" xfId="0" applyNumberFormat="1" applyFont="1" applyFill="1" applyBorder="1" applyAlignment="1">
      <alignment vertical="center" wrapText="1"/>
    </xf>
    <xf numFmtId="2" fontId="316" fillId="24" borderId="215" xfId="0" applyNumberFormat="1" applyFont="1" applyFill="1" applyBorder="1" applyAlignment="1">
      <alignment horizontal="center" vertical="center" wrapText="1"/>
    </xf>
    <xf numFmtId="0" fontId="298" fillId="24" borderId="215" xfId="0" applyFont="1" applyFill="1" applyBorder="1" applyAlignment="1">
      <alignment vertical="center" wrapText="1"/>
    </xf>
    <xf numFmtId="0" fontId="299" fillId="24" borderId="0" xfId="0" applyFont="1" applyFill="1" applyAlignment="1">
      <alignment horizontal="center" vertical="center" wrapText="1"/>
    </xf>
    <xf numFmtId="2" fontId="299" fillId="24" borderId="260" xfId="0" applyNumberFormat="1" applyFont="1" applyFill="1" applyBorder="1" applyAlignment="1">
      <alignment horizontal="center" vertical="center" wrapText="1"/>
    </xf>
    <xf numFmtId="0" fontId="316" fillId="24" borderId="247" xfId="0" applyFont="1" applyFill="1" applyBorder="1" applyAlignment="1">
      <alignment horizontal="right" vertical="center" wrapText="1"/>
    </xf>
    <xf numFmtId="165" fontId="304" fillId="24" borderId="0" xfId="0" applyNumberFormat="1" applyFont="1" applyFill="1" applyAlignment="1">
      <alignment horizontal="center" vertical="center" wrapText="1"/>
    </xf>
    <xf numFmtId="0" fontId="299" fillId="24" borderId="219" xfId="0" applyFont="1" applyFill="1" applyBorder="1" applyAlignment="1">
      <alignment vertical="center" wrapText="1"/>
    </xf>
    <xf numFmtId="0" fontId="322" fillId="24" borderId="236" xfId="0" applyFont="1" applyFill="1" applyBorder="1" applyAlignment="1">
      <alignment horizontal="center" vertical="center" wrapText="1"/>
    </xf>
    <xf numFmtId="2" fontId="304" fillId="26" borderId="254" xfId="0" applyNumberFormat="1" applyFont="1" applyFill="1" applyBorder="1" applyAlignment="1" applyProtection="1">
      <alignment horizontal="center" vertical="center" wrapText="1"/>
      <protection locked="0"/>
    </xf>
    <xf numFmtId="18" fontId="304" fillId="26" borderId="253" xfId="0" applyNumberFormat="1" applyFont="1" applyFill="1" applyBorder="1" applyAlignment="1" applyProtection="1">
      <alignment horizontal="center" vertical="center" wrapText="1"/>
      <protection locked="0"/>
    </xf>
    <xf numFmtId="2" fontId="311" fillId="24" borderId="256" xfId="0" applyNumberFormat="1" applyFont="1" applyFill="1" applyBorder="1" applyAlignment="1">
      <alignment horizontal="center" vertical="center" wrapText="1"/>
    </xf>
    <xf numFmtId="2" fontId="304" fillId="26" borderId="231" xfId="0" applyNumberFormat="1" applyFont="1" applyFill="1" applyBorder="1" applyAlignment="1" applyProtection="1">
      <alignment horizontal="center" vertical="center" wrapText="1"/>
      <protection locked="0"/>
    </xf>
    <xf numFmtId="0" fontId="304" fillId="26" borderId="216" xfId="0" applyFont="1" applyFill="1" applyBorder="1" applyAlignment="1" applyProtection="1">
      <alignment horizontal="center" vertical="center" shrinkToFit="1"/>
      <protection locked="0"/>
    </xf>
    <xf numFmtId="0" fontId="303" fillId="24" borderId="0" xfId="0" applyFont="1" applyFill="1" applyAlignment="1" applyProtection="1">
      <alignment vertical="center" wrapText="1"/>
      <protection locked="0"/>
    </xf>
    <xf numFmtId="0" fontId="316" fillId="24" borderId="0" xfId="0" applyFont="1" applyFill="1" applyAlignment="1">
      <alignment horizontal="right" vertical="center" wrapText="1"/>
    </xf>
    <xf numFmtId="0" fontId="299" fillId="6" borderId="229" xfId="0" applyFont="1" applyFill="1" applyBorder="1" applyAlignment="1">
      <alignment vertical="center" wrapText="1"/>
    </xf>
    <xf numFmtId="0" fontId="303" fillId="24" borderId="228" xfId="0" applyFont="1" applyFill="1" applyBorder="1" applyAlignment="1" applyProtection="1">
      <alignment vertical="center" wrapText="1"/>
      <protection locked="0"/>
    </xf>
    <xf numFmtId="0" fontId="303" fillId="24" borderId="245" xfId="0" applyFont="1" applyFill="1" applyBorder="1" applyAlignment="1" applyProtection="1">
      <alignment vertical="center" wrapText="1"/>
      <protection locked="0"/>
    </xf>
    <xf numFmtId="0" fontId="298" fillId="27" borderId="0" xfId="0" applyFont="1" applyFill="1"/>
    <xf numFmtId="0" fontId="298" fillId="24" borderId="265" xfId="0" applyFont="1" applyFill="1" applyBorder="1"/>
    <xf numFmtId="0" fontId="305" fillId="24" borderId="264" xfId="0" applyFont="1" applyFill="1" applyBorder="1"/>
    <xf numFmtId="0" fontId="298" fillId="24" borderId="264" xfId="0" applyFont="1" applyFill="1" applyBorder="1"/>
    <xf numFmtId="0" fontId="298" fillId="27" borderId="264" xfId="0" applyFont="1" applyFill="1" applyBorder="1"/>
    <xf numFmtId="0" fontId="298" fillId="27" borderId="263" xfId="0" applyFont="1" applyFill="1" applyBorder="1"/>
    <xf numFmtId="0" fontId="318" fillId="24" borderId="76" xfId="0" applyFont="1" applyFill="1" applyBorder="1"/>
    <xf numFmtId="0" fontId="318" fillId="24" borderId="154" xfId="0" applyFont="1" applyFill="1" applyBorder="1"/>
    <xf numFmtId="0" fontId="318" fillId="24" borderId="155" xfId="0" applyFont="1" applyFill="1" applyBorder="1"/>
    <xf numFmtId="0" fontId="298" fillId="24" borderId="155" xfId="0" applyFont="1" applyFill="1" applyBorder="1"/>
    <xf numFmtId="0" fontId="298" fillId="27" borderId="155" xfId="0" applyFont="1" applyFill="1" applyBorder="1"/>
    <xf numFmtId="0" fontId="298" fillId="27" borderId="139" xfId="0" applyFont="1" applyFill="1" applyBorder="1"/>
    <xf numFmtId="0" fontId="303" fillId="24" borderId="232" xfId="0" applyFont="1" applyFill="1" applyBorder="1" applyAlignment="1" applyProtection="1">
      <alignment vertical="center" wrapText="1"/>
      <protection locked="0"/>
    </xf>
    <xf numFmtId="2" fontId="304" fillId="24" borderId="281" xfId="0" applyNumberFormat="1" applyFont="1" applyFill="1" applyBorder="1" applyAlignment="1">
      <alignment horizontal="center" vertical="center" wrapText="1"/>
    </xf>
    <xf numFmtId="0" fontId="318" fillId="24" borderId="138" xfId="0" applyFont="1" applyFill="1" applyBorder="1"/>
    <xf numFmtId="0" fontId="318" fillId="24" borderId="123" xfId="0" applyFont="1" applyFill="1" applyBorder="1"/>
    <xf numFmtId="0" fontId="318" fillId="24" borderId="124" xfId="0" applyFont="1" applyFill="1" applyBorder="1"/>
    <xf numFmtId="0" fontId="298" fillId="24" borderId="124" xfId="0" applyFont="1" applyFill="1" applyBorder="1"/>
    <xf numFmtId="0" fontId="298" fillId="27" borderId="124" xfId="0" applyFont="1" applyFill="1" applyBorder="1"/>
    <xf numFmtId="0" fontId="298" fillId="27" borderId="125" xfId="0" applyFont="1" applyFill="1" applyBorder="1"/>
    <xf numFmtId="2" fontId="311" fillId="24" borderId="214" xfId="0" applyNumberFormat="1" applyFont="1" applyFill="1" applyBorder="1" applyAlignment="1">
      <alignment horizontal="center" vertical="center" wrapText="1"/>
    </xf>
    <xf numFmtId="0" fontId="298" fillId="0" borderId="0" xfId="0" applyFont="1" applyAlignment="1">
      <alignment vertical="center"/>
    </xf>
    <xf numFmtId="0" fontId="299" fillId="0" borderId="0" xfId="0" applyFont="1" applyAlignment="1">
      <alignment vertical="center" wrapText="1"/>
    </xf>
    <xf numFmtId="0" fontId="299" fillId="0" borderId="0" xfId="0" applyFont="1" applyAlignment="1">
      <alignment horizontal="right" vertical="center" wrapText="1"/>
    </xf>
    <xf numFmtId="0" fontId="299" fillId="0" borderId="0" xfId="0" applyFont="1" applyAlignment="1">
      <alignment horizontal="center" vertical="center" wrapText="1"/>
    </xf>
    <xf numFmtId="0" fontId="316" fillId="27" borderId="265" xfId="0" applyFont="1" applyFill="1" applyBorder="1" applyAlignment="1">
      <alignment vertical="center" wrapText="1"/>
    </xf>
    <xf numFmtId="0" fontId="316" fillId="27" borderId="263" xfId="0" applyFont="1" applyFill="1" applyBorder="1" applyAlignment="1">
      <alignment vertical="center" wrapText="1"/>
    </xf>
    <xf numFmtId="0" fontId="316" fillId="27" borderId="221" xfId="0" applyFont="1" applyFill="1" applyBorder="1" applyAlignment="1">
      <alignment vertical="center" wrapText="1"/>
    </xf>
    <xf numFmtId="0" fontId="316" fillId="27" borderId="220" xfId="0" applyFont="1" applyFill="1" applyBorder="1" applyAlignment="1">
      <alignment vertical="center" wrapText="1"/>
    </xf>
    <xf numFmtId="0" fontId="316" fillId="27" borderId="40" xfId="0" applyFont="1" applyFill="1" applyBorder="1" applyAlignment="1">
      <alignment vertical="center" wrapText="1"/>
    </xf>
    <xf numFmtId="0" fontId="316" fillId="27" borderId="42" xfId="0" applyFont="1" applyFill="1" applyBorder="1" applyAlignment="1">
      <alignment vertical="center" wrapText="1"/>
    </xf>
    <xf numFmtId="0" fontId="316" fillId="27" borderId="0" xfId="0" applyFont="1" applyFill="1" applyAlignment="1">
      <alignment vertical="center" wrapText="1"/>
    </xf>
    <xf numFmtId="166" fontId="200" fillId="2" borderId="206" xfId="7" applyNumberFormat="1" applyFont="1" applyFill="1" applyBorder="1" applyAlignment="1" applyProtection="1">
      <alignment horizontal="center" vertical="center" shrinkToFit="1"/>
      <protection locked="0"/>
    </xf>
    <xf numFmtId="0" fontId="198" fillId="0" borderId="0" xfId="0" applyFont="1"/>
    <xf numFmtId="0" fontId="207" fillId="24" borderId="236" xfId="0" applyFont="1" applyFill="1" applyBorder="1" applyAlignment="1">
      <alignment horizontal="center" vertical="center" wrapText="1"/>
    </xf>
    <xf numFmtId="0" fontId="0" fillId="0" borderId="0" xfId="0" applyAlignment="1">
      <alignment horizontal="left" vertical="center" wrapText="1"/>
    </xf>
    <xf numFmtId="2" fontId="236" fillId="24" borderId="256" xfId="0" applyNumberFormat="1" applyFont="1" applyFill="1" applyBorder="1" applyAlignment="1">
      <alignment horizontal="center" vertical="center" wrapText="1"/>
    </xf>
    <xf numFmtId="0" fontId="243" fillId="24" borderId="299" xfId="0" applyFont="1" applyFill="1" applyBorder="1" applyAlignment="1">
      <alignment horizontal="left" vertical="center" wrapText="1"/>
    </xf>
    <xf numFmtId="0" fontId="234" fillId="24" borderId="273" xfId="0" applyFont="1" applyFill="1" applyBorder="1" applyAlignment="1">
      <alignment horizontal="center" vertical="center" wrapText="1"/>
    </xf>
    <xf numFmtId="0" fontId="202" fillId="24" borderId="205" xfId="0" applyFont="1" applyFill="1" applyBorder="1" applyAlignment="1">
      <alignment horizontal="left" vertical="center" wrapText="1"/>
    </xf>
    <xf numFmtId="2" fontId="226" fillId="26" borderId="337" xfId="0" applyNumberFormat="1" applyFont="1" applyFill="1" applyBorder="1" applyAlignment="1" applyProtection="1">
      <alignment horizontal="center" vertical="center" wrapText="1"/>
      <protection locked="0"/>
    </xf>
    <xf numFmtId="0" fontId="203" fillId="24" borderId="205" xfId="0" applyFont="1" applyFill="1" applyBorder="1" applyAlignment="1">
      <alignment horizontal="left" vertical="center" wrapText="1"/>
    </xf>
    <xf numFmtId="0" fontId="226" fillId="24" borderId="205" xfId="0" applyFont="1" applyFill="1" applyBorder="1" applyAlignment="1">
      <alignment horizontal="left" vertical="center" wrapText="1"/>
    </xf>
    <xf numFmtId="0" fontId="226" fillId="24" borderId="205" xfId="0" applyFont="1" applyFill="1" applyBorder="1" applyAlignment="1">
      <alignment vertical="center" wrapText="1"/>
    </xf>
    <xf numFmtId="0" fontId="202" fillId="24" borderId="203" xfId="0" applyFont="1" applyFill="1" applyBorder="1" applyAlignment="1">
      <alignment horizontal="left" vertical="center" wrapText="1"/>
    </xf>
    <xf numFmtId="0" fontId="202" fillId="24" borderId="283" xfId="0" applyFont="1" applyFill="1" applyBorder="1" applyAlignment="1">
      <alignment horizontal="left" vertical="center" wrapText="1"/>
    </xf>
    <xf numFmtId="0" fontId="202" fillId="24" borderId="270" xfId="0" applyFont="1" applyFill="1" applyBorder="1" applyAlignment="1">
      <alignment horizontal="left" vertical="center" wrapText="1"/>
    </xf>
    <xf numFmtId="0" fontId="243" fillId="24" borderId="270" xfId="0" applyFont="1" applyFill="1" applyBorder="1" applyAlignment="1">
      <alignment horizontal="left" vertical="center" wrapText="1"/>
    </xf>
    <xf numFmtId="0" fontId="202" fillId="24" borderId="285" xfId="0" applyFont="1" applyFill="1" applyBorder="1" applyAlignment="1">
      <alignment horizontal="left" vertical="center" wrapText="1"/>
    </xf>
    <xf numFmtId="0" fontId="332" fillId="24" borderId="215" xfId="0" applyFont="1" applyFill="1" applyBorder="1"/>
    <xf numFmtId="0" fontId="226" fillId="26" borderId="305" xfId="0" applyFont="1" applyFill="1" applyBorder="1" applyAlignment="1" applyProtection="1">
      <alignment vertical="center" wrapText="1"/>
      <protection locked="0"/>
    </xf>
    <xf numFmtId="0" fontId="304" fillId="26" borderId="305" xfId="0" applyFont="1" applyFill="1" applyBorder="1" applyAlignment="1" applyProtection="1">
      <alignment vertical="center" wrapText="1"/>
      <protection locked="0"/>
    </xf>
    <xf numFmtId="0" fontId="198" fillId="24" borderId="0" xfId="0" applyFont="1" applyFill="1" applyAlignment="1">
      <alignment vertical="center"/>
    </xf>
    <xf numFmtId="0" fontId="0" fillId="24" borderId="32" xfId="0" applyFill="1" applyBorder="1"/>
    <xf numFmtId="0" fontId="336" fillId="0" borderId="203" xfId="0" applyFont="1" applyBorder="1" applyAlignment="1">
      <alignment horizontal="center" vertical="center"/>
    </xf>
    <xf numFmtId="0" fontId="217" fillId="24" borderId="204" xfId="0" applyFont="1" applyFill="1" applyBorder="1" applyAlignment="1">
      <alignment horizontal="center" vertical="center" wrapText="1"/>
    </xf>
    <xf numFmtId="0" fontId="31" fillId="24" borderId="0" xfId="0" applyFont="1" applyFill="1" applyAlignment="1">
      <alignment vertical="center" wrapText="1"/>
    </xf>
    <xf numFmtId="0" fontId="261" fillId="24" borderId="0" xfId="0" applyFont="1" applyFill="1" applyAlignment="1">
      <alignment vertical="center"/>
    </xf>
    <xf numFmtId="0" fontId="335" fillId="24" borderId="0" xfId="0" applyFont="1" applyFill="1" applyAlignment="1">
      <alignment horizontal="center" vertical="center"/>
    </xf>
    <xf numFmtId="0" fontId="336" fillId="0" borderId="306" xfId="0" applyFont="1" applyBorder="1" applyAlignment="1">
      <alignment horizontal="center" vertical="center"/>
    </xf>
    <xf numFmtId="0" fontId="33" fillId="24" borderId="203" xfId="0" applyFont="1" applyFill="1" applyBorder="1" applyAlignment="1">
      <alignment horizontal="center"/>
    </xf>
    <xf numFmtId="0" fontId="33" fillId="24" borderId="0" xfId="0" applyFont="1" applyFill="1" applyAlignment="1">
      <alignment horizontal="center"/>
    </xf>
    <xf numFmtId="0" fontId="198" fillId="6" borderId="306" xfId="0" applyFont="1" applyFill="1" applyBorder="1" applyAlignment="1">
      <alignment horizontal="left" vertical="center"/>
    </xf>
    <xf numFmtId="0" fontId="198" fillId="6" borderId="0" xfId="0" applyFont="1" applyFill="1" applyAlignment="1">
      <alignment horizontal="left" vertical="center"/>
    </xf>
    <xf numFmtId="0" fontId="198" fillId="6" borderId="5" xfId="0" applyFont="1" applyFill="1" applyBorder="1" applyAlignment="1">
      <alignment horizontal="left" vertical="center"/>
    </xf>
    <xf numFmtId="0" fontId="0" fillId="0" borderId="359" xfId="0" applyBorder="1"/>
    <xf numFmtId="0" fontId="261" fillId="24" borderId="0" xfId="0" applyFont="1" applyFill="1" applyAlignment="1">
      <alignment horizontal="center" vertical="top"/>
    </xf>
    <xf numFmtId="0" fontId="31" fillId="2" borderId="41" xfId="0" applyFont="1" applyFill="1" applyBorder="1" applyAlignment="1" applyProtection="1">
      <alignment vertical="center"/>
      <protection locked="0"/>
    </xf>
    <xf numFmtId="0" fontId="261" fillId="24" borderId="0" xfId="0" applyFont="1" applyFill="1" applyAlignment="1">
      <alignment vertical="top"/>
    </xf>
    <xf numFmtId="0" fontId="261" fillId="24" borderId="205" xfId="0" applyFont="1" applyFill="1" applyBorder="1" applyAlignment="1">
      <alignment vertical="top"/>
    </xf>
    <xf numFmtId="0" fontId="261" fillId="24" borderId="0" xfId="0" applyFont="1" applyFill="1" applyAlignment="1">
      <alignment vertical="top" wrapText="1"/>
    </xf>
    <xf numFmtId="0" fontId="44" fillId="24" borderId="270" xfId="0" applyFont="1" applyFill="1" applyBorder="1"/>
    <xf numFmtId="0" fontId="261" fillId="34" borderId="0" xfId="0" applyFont="1" applyFill="1" applyAlignment="1" applyProtection="1">
      <alignment horizontal="center" wrapText="1"/>
      <protection locked="0"/>
    </xf>
    <xf numFmtId="0" fontId="261" fillId="24" borderId="0" xfId="0" applyFont="1" applyFill="1" applyAlignment="1">
      <alignment horizontal="center" wrapText="1"/>
    </xf>
    <xf numFmtId="0" fontId="31" fillId="2" borderId="0" xfId="0" applyFont="1" applyFill="1" applyAlignment="1" applyProtection="1">
      <alignment horizontal="left" vertical="center"/>
      <protection locked="0"/>
    </xf>
    <xf numFmtId="0" fontId="31" fillId="2" borderId="0" xfId="0" applyFont="1" applyFill="1" applyAlignment="1" applyProtection="1">
      <alignment vertical="center"/>
      <protection locked="0"/>
    </xf>
    <xf numFmtId="0" fontId="0" fillId="24" borderId="270" xfId="0" applyFill="1" applyBorder="1" applyAlignment="1" applyProtection="1">
      <alignment horizontal="left" vertical="center"/>
      <protection locked="0"/>
    </xf>
    <xf numFmtId="0" fontId="222" fillId="24" borderId="0" xfId="0" applyFont="1" applyFill="1" applyAlignment="1">
      <alignment horizontal="center" vertical="center" wrapText="1"/>
    </xf>
    <xf numFmtId="0" fontId="261" fillId="24" borderId="0" xfId="0" applyFont="1" applyFill="1" applyAlignment="1">
      <alignment horizontal="left" vertical="top" wrapText="1"/>
    </xf>
    <xf numFmtId="0" fontId="261" fillId="24" borderId="360" xfId="0" applyFont="1" applyFill="1" applyBorder="1" applyAlignment="1">
      <alignment vertical="top" wrapText="1"/>
    </xf>
    <xf numFmtId="169" fontId="31" fillId="2" borderId="138" xfId="0" applyNumberFormat="1" applyFont="1" applyFill="1" applyBorder="1" applyAlignment="1" applyProtection="1">
      <alignment horizontal="center" vertical="center"/>
      <protection locked="0"/>
    </xf>
    <xf numFmtId="0" fontId="336" fillId="0" borderId="0" xfId="0" applyFont="1" applyAlignment="1">
      <alignment horizontal="center" vertical="center"/>
    </xf>
    <xf numFmtId="0" fontId="276" fillId="24" borderId="0" xfId="0" applyFont="1" applyFill="1" applyAlignment="1">
      <alignment vertical="center" wrapText="1"/>
    </xf>
    <xf numFmtId="0" fontId="261" fillId="24" borderId="0" xfId="0" applyFont="1" applyFill="1" applyAlignment="1">
      <alignment horizontal="left" vertical="top"/>
    </xf>
    <xf numFmtId="0" fontId="276" fillId="24" borderId="0" xfId="0" applyFont="1" applyFill="1" applyAlignment="1">
      <alignment vertical="center"/>
    </xf>
    <xf numFmtId="0" fontId="276" fillId="24" borderId="0" xfId="0" applyFont="1" applyFill="1" applyAlignment="1">
      <alignment horizontal="center" vertical="center"/>
    </xf>
    <xf numFmtId="0" fontId="27" fillId="24" borderId="0" xfId="0" applyFont="1" applyFill="1" applyAlignment="1">
      <alignment horizontal="left"/>
    </xf>
    <xf numFmtId="0" fontId="24" fillId="0" borderId="0" xfId="0" applyFont="1"/>
    <xf numFmtId="2" fontId="24" fillId="0" borderId="0" xfId="0" applyNumberFormat="1" applyFont="1" applyAlignment="1">
      <alignment vertical="center"/>
    </xf>
    <xf numFmtId="2" fontId="0" fillId="0" borderId="0" xfId="0" applyNumberFormat="1" applyAlignment="1">
      <alignment vertical="center"/>
    </xf>
    <xf numFmtId="175" fontId="0" fillId="0" borderId="0" xfId="0" applyNumberFormat="1" applyAlignment="1">
      <alignment vertical="center"/>
    </xf>
    <xf numFmtId="174" fontId="0" fillId="0" borderId="0" xfId="0" applyNumberFormat="1" applyAlignment="1">
      <alignment vertical="center"/>
    </xf>
    <xf numFmtId="0" fontId="95" fillId="0" borderId="0" xfId="0" applyFont="1"/>
    <xf numFmtId="2" fontId="200" fillId="2" borderId="206" xfId="7" applyNumberFormat="1" applyFont="1" applyFill="1" applyBorder="1" applyAlignment="1" applyProtection="1">
      <alignment horizontal="center" vertical="center" shrinkToFit="1"/>
      <protection locked="0"/>
    </xf>
    <xf numFmtId="1" fontId="217" fillId="2" borderId="206" xfId="7" applyNumberFormat="1" applyFont="1" applyFill="1" applyBorder="1" applyAlignment="1" applyProtection="1">
      <alignment horizontal="left" vertical="center"/>
      <protection locked="0"/>
    </xf>
    <xf numFmtId="1" fontId="200" fillId="0" borderId="360" xfId="7" applyNumberFormat="1" applyFont="1" applyBorder="1" applyAlignment="1">
      <alignment vertical="center"/>
    </xf>
    <xf numFmtId="0" fontId="0" fillId="0" borderId="0" xfId="0" applyAlignment="1">
      <alignment horizontal="center" vertical="center"/>
    </xf>
    <xf numFmtId="2" fontId="0" fillId="0" borderId="0" xfId="0" applyNumberFormat="1" applyAlignment="1">
      <alignment horizontal="center" vertical="center"/>
    </xf>
    <xf numFmtId="0" fontId="0" fillId="0" borderId="0" xfId="0" quotePrefix="1" applyAlignment="1">
      <alignment horizontal="center" vertical="center"/>
    </xf>
    <xf numFmtId="2" fontId="0" fillId="26" borderId="14" xfId="0" applyNumberFormat="1" applyFill="1" applyBorder="1" applyAlignment="1" applyProtection="1">
      <alignment horizontal="center" vertical="center"/>
      <protection locked="0"/>
    </xf>
    <xf numFmtId="2" fontId="0" fillId="38" borderId="14" xfId="0" applyNumberFormat="1" applyFill="1" applyBorder="1" applyAlignment="1">
      <alignment horizontal="center" vertical="center"/>
    </xf>
    <xf numFmtId="2" fontId="0" fillId="0" borderId="1" xfId="0" applyNumberFormat="1" applyBorder="1" applyAlignment="1">
      <alignment horizontal="center" vertical="center"/>
    </xf>
    <xf numFmtId="2" fontId="0" fillId="38" borderId="138" xfId="0" applyNumberFormat="1" applyFill="1" applyBorder="1" applyAlignment="1">
      <alignment horizontal="center" vertical="center"/>
    </xf>
    <xf numFmtId="0" fontId="0" fillId="0" borderId="265" xfId="0" applyBorder="1" applyAlignment="1">
      <alignment horizontal="center" vertical="center"/>
    </xf>
    <xf numFmtId="0" fontId="0" fillId="0" borderId="264" xfId="0" applyBorder="1" applyAlignment="1">
      <alignment horizontal="center" vertical="center"/>
    </xf>
    <xf numFmtId="0" fontId="0" fillId="0" borderId="306" xfId="0" applyBorder="1" applyAlignment="1">
      <alignment horizontal="center" vertical="center"/>
    </xf>
    <xf numFmtId="0" fontId="0" fillId="0" borderId="5" xfId="0" applyBorder="1" applyAlignment="1">
      <alignment horizontal="center" vertical="center"/>
    </xf>
    <xf numFmtId="2" fontId="0" fillId="0" borderId="306" xfId="0" applyNumberFormat="1" applyBorder="1" applyAlignment="1">
      <alignment horizontal="center" vertical="center"/>
    </xf>
    <xf numFmtId="2" fontId="0" fillId="26" borderId="22" xfId="0" applyNumberFormat="1" applyFill="1" applyBorder="1" applyAlignment="1" applyProtection="1">
      <alignment horizontal="center" vertical="center"/>
      <protection locked="0"/>
    </xf>
    <xf numFmtId="2" fontId="30" fillId="0" borderId="306" xfId="0" applyNumberFormat="1" applyFont="1" applyBorder="1" applyAlignment="1">
      <alignment horizontal="center" vertical="center"/>
    </xf>
    <xf numFmtId="2" fontId="30" fillId="0" borderId="31" xfId="0" applyNumberFormat="1" applyFont="1" applyBorder="1" applyAlignment="1">
      <alignment horizontal="center" vertical="center"/>
    </xf>
    <xf numFmtId="2" fontId="198" fillId="0" borderId="0" xfId="0" applyNumberFormat="1" applyFont="1" applyAlignment="1">
      <alignment horizontal="center" vertical="center"/>
    </xf>
    <xf numFmtId="0" fontId="198" fillId="0" borderId="0" xfId="0" applyFont="1" applyAlignment="1">
      <alignment horizontal="left" vertical="center"/>
    </xf>
    <xf numFmtId="0" fontId="0" fillId="0" borderId="41" xfId="0" applyBorder="1" applyAlignment="1">
      <alignment horizontal="center" vertical="center"/>
    </xf>
    <xf numFmtId="2" fontId="0" fillId="0" borderId="5" xfId="0" applyNumberFormat="1" applyBorder="1" applyAlignment="1">
      <alignment horizontal="center" vertical="center"/>
    </xf>
    <xf numFmtId="0" fontId="0" fillId="0" borderId="306" xfId="0" applyBorder="1" applyAlignment="1">
      <alignment horizontal="left" vertical="center"/>
    </xf>
    <xf numFmtId="0" fontId="59" fillId="0" borderId="0" xfId="1" applyFont="1" applyAlignment="1">
      <alignment vertical="center"/>
    </xf>
    <xf numFmtId="0" fontId="59" fillId="0" borderId="263" xfId="1" applyFont="1" applyBorder="1" applyAlignment="1">
      <alignment horizontal="right" vertical="center"/>
    </xf>
    <xf numFmtId="173" fontId="59" fillId="0" borderId="5" xfId="1" applyNumberFormat="1" applyFont="1" applyBorder="1" applyAlignment="1">
      <alignment horizontal="right" vertical="center"/>
    </xf>
    <xf numFmtId="174" fontId="304" fillId="27" borderId="253" xfId="0" applyNumberFormat="1" applyFont="1" applyFill="1" applyBorder="1" applyAlignment="1">
      <alignment horizontal="center" vertical="center" shrinkToFit="1"/>
    </xf>
    <xf numFmtId="0" fontId="0" fillId="0" borderId="0" xfId="0" applyAlignment="1">
      <alignment horizontal="center" vertical="center" wrapText="1"/>
    </xf>
    <xf numFmtId="2" fontId="198" fillId="0" borderId="31" xfId="0" applyNumberFormat="1" applyFont="1" applyBorder="1" applyAlignment="1">
      <alignment horizontal="right" vertical="center" shrinkToFit="1"/>
    </xf>
    <xf numFmtId="2" fontId="0" fillId="0" borderId="1" xfId="0" applyNumberFormat="1" applyBorder="1" applyAlignment="1">
      <alignment vertical="center" shrinkToFit="1"/>
    </xf>
    <xf numFmtId="0" fontId="198" fillId="0" borderId="1" xfId="0" applyFont="1" applyBorder="1" applyAlignment="1">
      <alignment vertical="center" shrinkToFit="1"/>
    </xf>
    <xf numFmtId="2" fontId="163" fillId="0" borderId="32" xfId="0" applyNumberFormat="1" applyFont="1" applyBorder="1" applyAlignment="1">
      <alignment horizontal="center" vertical="center" shrinkToFit="1"/>
    </xf>
    <xf numFmtId="0" fontId="0" fillId="0" borderId="14" xfId="0" applyBorder="1" applyAlignment="1">
      <alignment horizontal="center" vertical="center"/>
    </xf>
    <xf numFmtId="2" fontId="0" fillId="0" borderId="14" xfId="0" applyNumberFormat="1" applyBorder="1" applyAlignment="1">
      <alignment horizontal="center" vertical="center"/>
    </xf>
    <xf numFmtId="169" fontId="0" fillId="26" borderId="14" xfId="0" applyNumberFormat="1" applyFill="1" applyBorder="1" applyAlignment="1" applyProtection="1">
      <alignment horizontal="center" vertical="center"/>
      <protection locked="0"/>
    </xf>
    <xf numFmtId="2" fontId="0" fillId="0" borderId="306" xfId="0" applyNumberFormat="1" applyBorder="1" applyAlignment="1" applyProtection="1">
      <alignment horizontal="center" vertical="center"/>
      <protection locked="0"/>
    </xf>
    <xf numFmtId="2" fontId="48" fillId="0" borderId="306" xfId="0" applyNumberFormat="1" applyFont="1" applyBorder="1" applyAlignment="1">
      <alignment vertical="center"/>
    </xf>
    <xf numFmtId="2" fontId="48" fillId="0" borderId="5" xfId="0" applyNumberFormat="1" applyFont="1" applyBorder="1" applyAlignment="1">
      <alignment vertical="center"/>
    </xf>
    <xf numFmtId="2" fontId="0" fillId="0" borderId="0" xfId="0" applyNumberFormat="1" applyAlignment="1">
      <alignment horizontal="right" vertical="center"/>
    </xf>
    <xf numFmtId="0" fontId="0" fillId="14" borderId="14" xfId="0" applyFill="1" applyBorder="1" applyAlignment="1">
      <alignment horizontal="center" vertical="center"/>
    </xf>
    <xf numFmtId="2" fontId="0" fillId="14" borderId="14" xfId="0" applyNumberFormat="1" applyFill="1" applyBorder="1" applyAlignment="1">
      <alignment horizontal="center" vertical="center"/>
    </xf>
    <xf numFmtId="0" fontId="0" fillId="22" borderId="14" xfId="0" applyFill="1" applyBorder="1" applyAlignment="1">
      <alignment horizontal="center" vertical="center"/>
    </xf>
    <xf numFmtId="2" fontId="0" fillId="22" borderId="14" xfId="0" applyNumberFormat="1" applyFill="1" applyBorder="1" applyAlignment="1">
      <alignment horizontal="center" vertical="center"/>
    </xf>
    <xf numFmtId="0" fontId="0" fillId="40" borderId="14" xfId="0" applyFill="1" applyBorder="1" applyAlignment="1">
      <alignment horizontal="center" vertical="center"/>
    </xf>
    <xf numFmtId="2" fontId="0" fillId="40" borderId="14" xfId="0" applyNumberFormat="1" applyFill="1" applyBorder="1" applyAlignment="1">
      <alignment horizontal="center" vertical="center"/>
    </xf>
    <xf numFmtId="0" fontId="347" fillId="0" borderId="0" xfId="7" applyNumberFormat="1" applyFont="1" applyAlignment="1">
      <alignment vertical="center"/>
    </xf>
    <xf numFmtId="0" fontId="222" fillId="35" borderId="204" xfId="7" applyFont="1" applyFill="1" applyBorder="1" applyAlignment="1" applyProtection="1">
      <alignment horizontal="center" vertical="center" wrapText="1"/>
    </xf>
    <xf numFmtId="0" fontId="200" fillId="0" borderId="0" xfId="7" quotePrefix="1" applyNumberFormat="1" applyFont="1" applyAlignment="1">
      <alignment vertical="center"/>
    </xf>
    <xf numFmtId="2" fontId="198" fillId="0" borderId="18" xfId="0" applyNumberFormat="1" applyFont="1" applyBorder="1" applyAlignment="1">
      <alignment horizontal="right" vertical="center" shrinkToFit="1"/>
    </xf>
    <xf numFmtId="0" fontId="198" fillId="24" borderId="0" xfId="0" applyFont="1" applyFill="1" applyAlignment="1">
      <alignment horizontal="center" vertical="center"/>
    </xf>
    <xf numFmtId="0" fontId="107" fillId="24" borderId="0" xfId="0" applyFont="1" applyFill="1" applyAlignment="1">
      <alignment horizontal="left" vertical="center"/>
    </xf>
    <xf numFmtId="0" fontId="128" fillId="24" borderId="0" xfId="0" applyFont="1" applyFill="1" applyAlignment="1">
      <alignment horizontal="justify" vertical="center"/>
    </xf>
    <xf numFmtId="0" fontId="107" fillId="24" borderId="0" xfId="0" applyFont="1" applyFill="1" applyAlignment="1">
      <alignment horizontal="justify" vertical="center"/>
    </xf>
    <xf numFmtId="0" fontId="306" fillId="14" borderId="265" xfId="0" applyFont="1" applyFill="1" applyBorder="1" applyAlignment="1">
      <alignment horizontal="left" vertical="top" wrapText="1"/>
    </xf>
    <xf numFmtId="0" fontId="306" fillId="14" borderId="268" xfId="0" applyFont="1" applyFill="1" applyBorder="1" applyAlignment="1">
      <alignment horizontal="left" vertical="top" wrapText="1"/>
    </xf>
    <xf numFmtId="0" fontId="306" fillId="14" borderId="263" xfId="0" applyFont="1" applyFill="1" applyBorder="1" applyAlignment="1">
      <alignment horizontal="left" vertical="top" wrapText="1"/>
    </xf>
    <xf numFmtId="0" fontId="306" fillId="14" borderId="306" xfId="0" applyFont="1" applyFill="1" applyBorder="1" applyAlignment="1">
      <alignment horizontal="left" vertical="top" wrapText="1"/>
    </xf>
    <xf numFmtId="0" fontId="306" fillId="14" borderId="0" xfId="0" applyFont="1" applyFill="1" applyAlignment="1">
      <alignment horizontal="left" vertical="top" wrapText="1"/>
    </xf>
    <xf numFmtId="0" fontId="306" fillId="14" borderId="5" xfId="0" applyFont="1" applyFill="1" applyBorder="1" applyAlignment="1">
      <alignment horizontal="left" vertical="top" wrapText="1"/>
    </xf>
    <xf numFmtId="0" fontId="306" fillId="14" borderId="40" xfId="0" applyFont="1" applyFill="1" applyBorder="1" applyAlignment="1">
      <alignment horizontal="left" vertical="top" wrapText="1"/>
    </xf>
    <xf numFmtId="0" fontId="306" fillId="14" borderId="302" xfId="0" applyFont="1" applyFill="1" applyBorder="1" applyAlignment="1">
      <alignment horizontal="left" vertical="top" wrapText="1"/>
    </xf>
    <xf numFmtId="0" fontId="306" fillId="14" borderId="42" xfId="0" applyFont="1" applyFill="1" applyBorder="1" applyAlignment="1">
      <alignment horizontal="left" vertical="top" wrapText="1"/>
    </xf>
    <xf numFmtId="49" fontId="304" fillId="26" borderId="221" xfId="0" applyNumberFormat="1" applyFont="1" applyFill="1" applyBorder="1" applyAlignment="1" applyProtection="1">
      <alignment vertical="center"/>
      <protection locked="0"/>
    </xf>
    <xf numFmtId="49" fontId="304" fillId="26" borderId="0" xfId="0" applyNumberFormat="1" applyFont="1" applyFill="1" applyAlignment="1" applyProtection="1">
      <alignment vertical="center"/>
      <protection locked="0"/>
    </xf>
    <xf numFmtId="49" fontId="304" fillId="26" borderId="220" xfId="0" applyNumberFormat="1" applyFont="1" applyFill="1" applyBorder="1" applyAlignment="1" applyProtection="1">
      <alignment vertical="center"/>
      <protection locked="0"/>
    </xf>
    <xf numFmtId="49" fontId="304" fillId="26" borderId="40" xfId="0" applyNumberFormat="1" applyFont="1" applyFill="1" applyBorder="1" applyAlignment="1" applyProtection="1">
      <alignment vertical="center"/>
      <protection locked="0"/>
    </xf>
    <xf numFmtId="49" fontId="304" fillId="26" borderId="41" xfId="0" applyNumberFormat="1" applyFont="1" applyFill="1" applyBorder="1" applyAlignment="1" applyProtection="1">
      <alignment vertical="center"/>
      <protection locked="0"/>
    </xf>
    <xf numFmtId="49" fontId="304" fillId="26" borderId="42" xfId="0" applyNumberFormat="1" applyFont="1" applyFill="1" applyBorder="1" applyAlignment="1" applyProtection="1">
      <alignment vertical="center"/>
      <protection locked="0"/>
    </xf>
    <xf numFmtId="0" fontId="327" fillId="0" borderId="0" xfId="0" applyFont="1" applyAlignment="1">
      <alignment wrapText="1"/>
    </xf>
    <xf numFmtId="0" fontId="328" fillId="0" borderId="0" xfId="0" applyFont="1" applyAlignment="1">
      <alignment wrapText="1"/>
    </xf>
    <xf numFmtId="0" fontId="304" fillId="26" borderId="292" xfId="0" applyFont="1" applyFill="1" applyBorder="1" applyAlignment="1" applyProtection="1">
      <alignment horizontal="left" vertical="top" wrapText="1"/>
      <protection locked="0"/>
    </xf>
    <xf numFmtId="0" fontId="298" fillId="26" borderId="207" xfId="0" applyFont="1" applyFill="1" applyBorder="1" applyAlignment="1" applyProtection="1">
      <alignment horizontal="left" vertical="top" wrapText="1"/>
      <protection locked="0"/>
    </xf>
    <xf numFmtId="0" fontId="298" fillId="0" borderId="207" xfId="0" applyFont="1" applyBorder="1" applyAlignment="1" applyProtection="1">
      <alignment horizontal="left" vertical="top" wrapText="1"/>
      <protection locked="0"/>
    </xf>
    <xf numFmtId="0" fontId="298" fillId="0" borderId="237" xfId="0" applyFont="1" applyBorder="1" applyAlignment="1" applyProtection="1">
      <alignment horizontal="left" vertical="top" wrapText="1"/>
      <protection locked="0"/>
    </xf>
    <xf numFmtId="0" fontId="298" fillId="0" borderId="293" xfId="0" applyFont="1" applyBorder="1" applyAlignment="1" applyProtection="1">
      <alignment horizontal="left" vertical="top" wrapText="1"/>
      <protection locked="0"/>
    </xf>
    <xf numFmtId="0" fontId="298" fillId="0" borderId="0" xfId="0" applyFont="1" applyAlignment="1" applyProtection="1">
      <alignment horizontal="left" vertical="top" wrapText="1"/>
      <protection locked="0"/>
    </xf>
    <xf numFmtId="0" fontId="298" fillId="0" borderId="294" xfId="0" applyFont="1" applyBorder="1" applyAlignment="1" applyProtection="1">
      <alignment horizontal="left" vertical="top" wrapText="1"/>
      <protection locked="0"/>
    </xf>
    <xf numFmtId="0" fontId="321" fillId="24" borderId="0" xfId="0" applyFont="1" applyFill="1" applyAlignment="1">
      <alignment horizontal="left" vertical="center"/>
    </xf>
    <xf numFmtId="0" fontId="304" fillId="26" borderId="281" xfId="0" applyFont="1" applyFill="1" applyBorder="1" applyAlignment="1" applyProtection="1">
      <alignment horizontal="center" vertical="center" shrinkToFit="1"/>
      <protection locked="0"/>
    </xf>
    <xf numFmtId="0" fontId="304" fillId="26" borderId="281" xfId="0" applyFont="1" applyFill="1" applyBorder="1" applyAlignment="1" applyProtection="1">
      <alignment vertical="center" shrinkToFit="1"/>
      <protection locked="0"/>
    </xf>
    <xf numFmtId="0" fontId="330" fillId="6" borderId="265" xfId="0" applyFont="1" applyFill="1" applyBorder="1" applyAlignment="1">
      <alignment horizontal="center" vertical="center" wrapText="1"/>
    </xf>
    <xf numFmtId="0" fontId="330" fillId="6" borderId="263" xfId="0" applyFont="1" applyFill="1" applyBorder="1" applyAlignment="1">
      <alignment horizontal="center" vertical="center" wrapText="1"/>
    </xf>
    <xf numFmtId="0" fontId="330" fillId="6" borderId="306" xfId="0" applyFont="1" applyFill="1" applyBorder="1" applyAlignment="1">
      <alignment horizontal="center" vertical="center" wrapText="1"/>
    </xf>
    <xf numFmtId="0" fontId="330" fillId="6" borderId="5" xfId="0" applyFont="1" applyFill="1" applyBorder="1" applyAlignment="1">
      <alignment horizontal="center" vertical="center" wrapText="1"/>
    </xf>
    <xf numFmtId="0" fontId="330" fillId="6" borderId="40" xfId="0" applyFont="1" applyFill="1" applyBorder="1" applyAlignment="1">
      <alignment horizontal="center" vertical="center" wrapText="1"/>
    </xf>
    <xf numFmtId="0" fontId="330" fillId="6" borderId="42" xfId="0" applyFont="1" applyFill="1" applyBorder="1" applyAlignment="1">
      <alignment horizontal="center" vertical="center" wrapText="1"/>
    </xf>
    <xf numFmtId="0" fontId="330" fillId="6" borderId="268" xfId="0" applyFont="1" applyFill="1" applyBorder="1" applyAlignment="1">
      <alignment horizontal="center" vertical="center" wrapText="1"/>
    </xf>
    <xf numFmtId="0" fontId="330" fillId="6" borderId="0" xfId="0" applyFont="1" applyFill="1" applyAlignment="1">
      <alignment horizontal="center" vertical="center" wrapText="1"/>
    </xf>
    <xf numFmtId="0" fontId="330" fillId="6" borderId="302" xfId="0" applyFont="1" applyFill="1" applyBorder="1" applyAlignment="1">
      <alignment horizontal="center" vertical="center" wrapText="1"/>
    </xf>
    <xf numFmtId="2" fontId="304" fillId="26" borderId="257" xfId="0" applyNumberFormat="1" applyFont="1" applyFill="1" applyBorder="1" applyAlignment="1" applyProtection="1">
      <alignment horizontal="left" vertical="center"/>
      <protection locked="0"/>
    </xf>
    <xf numFmtId="0" fontId="305" fillId="26" borderId="256" xfId="0" applyFont="1" applyFill="1" applyBorder="1" applyAlignment="1" applyProtection="1">
      <alignment horizontal="left" vertical="center"/>
      <protection locked="0"/>
    </xf>
    <xf numFmtId="0" fontId="305" fillId="26" borderId="258" xfId="0" applyFont="1" applyFill="1" applyBorder="1" applyAlignment="1" applyProtection="1">
      <alignment horizontal="left" vertical="center"/>
      <protection locked="0"/>
    </xf>
    <xf numFmtId="0" fontId="311" fillId="6" borderId="233" xfId="0" applyFont="1" applyFill="1" applyBorder="1" applyAlignment="1">
      <alignment horizontal="center" vertical="center" wrapText="1"/>
    </xf>
    <xf numFmtId="0" fontId="299" fillId="6" borderId="233" xfId="0" applyFont="1" applyFill="1" applyBorder="1" applyAlignment="1">
      <alignment vertical="center" wrapText="1"/>
    </xf>
    <xf numFmtId="0" fontId="299" fillId="6" borderId="234" xfId="0" applyFont="1" applyFill="1" applyBorder="1" applyAlignment="1">
      <alignment vertical="center" wrapText="1"/>
    </xf>
    <xf numFmtId="0" fontId="304" fillId="24" borderId="0" xfId="0" applyFont="1" applyFill="1" applyAlignment="1">
      <alignment vertical="center" wrapText="1"/>
    </xf>
    <xf numFmtId="0" fontId="311" fillId="24" borderId="290" xfId="0" applyFont="1" applyFill="1" applyBorder="1" applyAlignment="1">
      <alignment horizontal="left" vertical="center" wrapText="1"/>
    </xf>
    <xf numFmtId="0" fontId="305" fillId="0" borderId="256" xfId="0" applyFont="1" applyBorder="1" applyAlignment="1">
      <alignment horizontal="left" vertical="center" wrapText="1"/>
    </xf>
    <xf numFmtId="0" fontId="329" fillId="29" borderId="257" xfId="0" applyFont="1" applyFill="1" applyBorder="1" applyAlignment="1" applyProtection="1">
      <alignment horizontal="left" vertical="center" wrapText="1"/>
      <protection locked="0"/>
    </xf>
    <xf numFmtId="0" fontId="329" fillId="29" borderId="256" xfId="0" applyFont="1" applyFill="1" applyBorder="1" applyAlignment="1" applyProtection="1">
      <alignment horizontal="left" vertical="center" wrapText="1"/>
      <protection locked="0"/>
    </xf>
    <xf numFmtId="0" fontId="329" fillId="29" borderId="255" xfId="0" applyFont="1" applyFill="1" applyBorder="1" applyAlignment="1" applyProtection="1">
      <alignment horizontal="left" vertical="center" wrapText="1"/>
      <protection locked="0"/>
    </xf>
    <xf numFmtId="0" fontId="304" fillId="29" borderId="290" xfId="0" applyFont="1" applyFill="1" applyBorder="1" applyAlignment="1" applyProtection="1">
      <alignment horizontal="left" vertical="center" wrapText="1"/>
      <protection locked="0"/>
    </xf>
    <xf numFmtId="0" fontId="298" fillId="29" borderId="256" xfId="0" applyFont="1" applyFill="1" applyBorder="1" applyAlignment="1" applyProtection="1">
      <alignment horizontal="left" vertical="center" wrapText="1"/>
      <protection locked="0"/>
    </xf>
    <xf numFmtId="0" fontId="298" fillId="29" borderId="255" xfId="0" applyFont="1" applyFill="1" applyBorder="1" applyAlignment="1" applyProtection="1">
      <alignment horizontal="left" vertical="center" wrapText="1"/>
      <protection locked="0"/>
    </xf>
    <xf numFmtId="0" fontId="312" fillId="0" borderId="0" xfId="0" applyFont="1"/>
    <xf numFmtId="0" fontId="313" fillId="0" borderId="0" xfId="0" applyFont="1"/>
    <xf numFmtId="0" fontId="312" fillId="6" borderId="215" xfId="0" applyFont="1" applyFill="1" applyBorder="1"/>
    <xf numFmtId="0" fontId="313" fillId="6" borderId="215" xfId="0" applyFont="1" applyFill="1" applyBorder="1"/>
    <xf numFmtId="2" fontId="304" fillId="27" borderId="256" xfId="0" applyNumberFormat="1" applyFont="1" applyFill="1" applyBorder="1" applyAlignment="1">
      <alignment horizontal="center" vertical="center" wrapText="1"/>
    </xf>
    <xf numFmtId="0" fontId="305" fillId="27" borderId="258" xfId="0" applyFont="1" applyFill="1" applyBorder="1" applyAlignment="1">
      <alignment vertical="center" wrapText="1"/>
    </xf>
    <xf numFmtId="174" fontId="304" fillId="24" borderId="256" xfId="0" applyNumberFormat="1" applyFont="1" applyFill="1" applyBorder="1" applyAlignment="1">
      <alignment horizontal="center" vertical="center" wrapText="1"/>
    </xf>
    <xf numFmtId="174" fontId="304" fillId="26" borderId="256" xfId="0" applyNumberFormat="1" applyFont="1" applyFill="1" applyBorder="1" applyAlignment="1" applyProtection="1">
      <alignment horizontal="center" vertical="center" wrapText="1"/>
      <protection locked="0"/>
    </xf>
    <xf numFmtId="2" fontId="304" fillId="26" borderId="281" xfId="0" applyNumberFormat="1" applyFont="1" applyFill="1" applyBorder="1" applyAlignment="1" applyProtection="1">
      <alignment horizontal="center" vertical="center" wrapText="1"/>
      <protection locked="0"/>
    </xf>
    <xf numFmtId="2" fontId="299" fillId="26" borderId="281" xfId="0" applyNumberFormat="1" applyFont="1" applyFill="1" applyBorder="1" applyAlignment="1" applyProtection="1">
      <alignment vertical="center" wrapText="1"/>
      <protection locked="0"/>
    </xf>
    <xf numFmtId="0" fontId="304" fillId="24" borderId="0" xfId="0" applyFont="1" applyFill="1" applyAlignment="1">
      <alignment horizontal="left" vertical="center" wrapText="1"/>
    </xf>
    <xf numFmtId="2" fontId="326" fillId="26" borderId="281" xfId="0" applyNumberFormat="1" applyFont="1" applyFill="1" applyBorder="1" applyAlignment="1" applyProtection="1">
      <alignment horizontal="center" vertical="center" wrapText="1"/>
      <protection locked="0"/>
    </xf>
    <xf numFmtId="2" fontId="304" fillId="24" borderId="235" xfId="0" applyNumberFormat="1" applyFont="1" applyFill="1" applyBorder="1" applyAlignment="1">
      <alignment horizontal="center" vertical="center" wrapText="1"/>
    </xf>
    <xf numFmtId="2" fontId="299" fillId="24" borderId="235" xfId="0" applyNumberFormat="1" applyFont="1" applyFill="1" applyBorder="1" applyAlignment="1">
      <alignment vertical="center" wrapText="1"/>
    </xf>
    <xf numFmtId="0" fontId="316" fillId="24" borderId="0" xfId="0" applyFont="1" applyFill="1" applyAlignment="1">
      <alignment horizontal="right" vertical="center" wrapText="1"/>
    </xf>
    <xf numFmtId="0" fontId="316" fillId="24" borderId="0" xfId="0" applyFont="1" applyFill="1" applyAlignment="1">
      <alignment vertical="center" wrapText="1"/>
    </xf>
    <xf numFmtId="174" fontId="304" fillId="26" borderId="305" xfId="0" applyNumberFormat="1" applyFont="1" applyFill="1" applyBorder="1" applyAlignment="1" applyProtection="1">
      <alignment horizontal="center" vertical="center" wrapText="1"/>
      <protection locked="0"/>
    </xf>
    <xf numFmtId="0" fontId="308" fillId="24" borderId="0" xfId="0" applyFont="1" applyFill="1" applyAlignment="1">
      <alignment vertical="center" wrapText="1"/>
    </xf>
    <xf numFmtId="2" fontId="316" fillId="24" borderId="235" xfId="0" applyNumberFormat="1" applyFont="1" applyFill="1" applyBorder="1" applyAlignment="1">
      <alignment horizontal="center" vertical="center" wrapText="1"/>
    </xf>
    <xf numFmtId="174" fontId="304" fillId="26" borderId="218" xfId="0" applyNumberFormat="1" applyFont="1" applyFill="1" applyBorder="1" applyAlignment="1" applyProtection="1">
      <alignment horizontal="center" vertical="center" wrapText="1"/>
      <protection locked="0"/>
    </xf>
    <xf numFmtId="0" fontId="323" fillId="6" borderId="261" xfId="0" applyFont="1" applyFill="1" applyBorder="1" applyAlignment="1">
      <alignment horizontal="center" textRotation="255" shrinkToFit="1" readingOrder="1"/>
    </xf>
    <xf numFmtId="0" fontId="323" fillId="6" borderId="231" xfId="0" applyFont="1" applyFill="1" applyBorder="1" applyAlignment="1">
      <alignment horizontal="center" textRotation="255" shrinkToFit="1" readingOrder="1"/>
    </xf>
    <xf numFmtId="2" fontId="226" fillId="26" borderId="299" xfId="0" applyNumberFormat="1" applyFont="1" applyFill="1" applyBorder="1" applyAlignment="1" applyProtection="1">
      <alignment horizontal="center" vertical="center" wrapText="1"/>
      <protection locked="0"/>
    </xf>
    <xf numFmtId="2" fontId="304" fillId="26" borderId="299" xfId="0" applyNumberFormat="1" applyFont="1" applyFill="1" applyBorder="1" applyAlignment="1" applyProtection="1">
      <alignment horizontal="center" vertical="center" wrapText="1"/>
      <protection locked="0"/>
    </xf>
    <xf numFmtId="2" fontId="304" fillId="26" borderId="235" xfId="0" applyNumberFormat="1" applyFont="1" applyFill="1" applyBorder="1" applyAlignment="1" applyProtection="1">
      <alignment horizontal="center" vertical="center" wrapText="1"/>
      <protection locked="0"/>
    </xf>
    <xf numFmtId="0" fontId="322" fillId="6" borderId="262" xfId="0" applyFont="1" applyFill="1" applyBorder="1" applyAlignment="1">
      <alignment horizontal="center" vertical="center" wrapText="1"/>
    </xf>
    <xf numFmtId="0" fontId="322" fillId="6" borderId="226" xfId="0" applyFont="1" applyFill="1" applyBorder="1" applyAlignment="1">
      <alignment vertical="center" wrapText="1"/>
    </xf>
    <xf numFmtId="0" fontId="322" fillId="24" borderId="257" xfId="0" applyFont="1" applyFill="1" applyBorder="1" applyAlignment="1">
      <alignment horizontal="center" vertical="center" wrapText="1"/>
    </xf>
    <xf numFmtId="0" fontId="322" fillId="24" borderId="258" xfId="0" applyFont="1" applyFill="1" applyBorder="1" applyAlignment="1">
      <alignment horizontal="center" vertical="center" wrapText="1"/>
    </xf>
    <xf numFmtId="0" fontId="322" fillId="24" borderId="236" xfId="0" applyFont="1" applyFill="1" applyBorder="1" applyAlignment="1">
      <alignment horizontal="center" vertical="center" wrapText="1"/>
    </xf>
    <xf numFmtId="0" fontId="322" fillId="24" borderId="216" xfId="0" applyFont="1" applyFill="1" applyBorder="1" applyAlignment="1">
      <alignment vertical="center" wrapText="1"/>
    </xf>
    <xf numFmtId="0" fontId="322" fillId="6" borderId="261" xfId="0" applyFont="1" applyFill="1" applyBorder="1" applyAlignment="1">
      <alignment horizontal="center" vertical="center" wrapText="1"/>
    </xf>
    <xf numFmtId="0" fontId="322" fillId="6" borderId="231" xfId="0" applyFont="1" applyFill="1" applyBorder="1" applyAlignment="1">
      <alignment vertical="center" wrapText="1"/>
    </xf>
    <xf numFmtId="0" fontId="324" fillId="6" borderId="236" xfId="0" applyFont="1" applyFill="1" applyBorder="1" applyAlignment="1">
      <alignment horizontal="center" vertical="center" wrapText="1"/>
    </xf>
    <xf numFmtId="0" fontId="325" fillId="6" borderId="215" xfId="0" applyFont="1" applyFill="1" applyBorder="1" applyAlignment="1">
      <alignment vertical="center" wrapText="1"/>
    </xf>
    <xf numFmtId="0" fontId="325" fillId="6" borderId="260" xfId="0" applyFont="1" applyFill="1" applyBorder="1" applyAlignment="1">
      <alignment vertical="center" wrapText="1"/>
    </xf>
    <xf numFmtId="0" fontId="325" fillId="6" borderId="216" xfId="0" applyFont="1" applyFill="1" applyBorder="1" applyAlignment="1">
      <alignment vertical="center" wrapText="1"/>
    </xf>
    <xf numFmtId="0" fontId="325" fillId="6" borderId="218" xfId="0" applyFont="1" applyFill="1" applyBorder="1" applyAlignment="1">
      <alignment vertical="center" wrapText="1"/>
    </xf>
    <xf numFmtId="0" fontId="325" fillId="6" borderId="217" xfId="0" applyFont="1" applyFill="1" applyBorder="1" applyAlignment="1">
      <alignment vertical="center" wrapText="1"/>
    </xf>
    <xf numFmtId="2" fontId="304" fillId="26" borderId="256" xfId="0" applyNumberFormat="1" applyFont="1" applyFill="1" applyBorder="1" applyAlignment="1" applyProtection="1">
      <alignment horizontal="center" vertical="center" wrapText="1"/>
      <protection locked="0"/>
    </xf>
    <xf numFmtId="2" fontId="304" fillId="26" borderId="256" xfId="0" applyNumberFormat="1" applyFont="1" applyFill="1" applyBorder="1" applyAlignment="1" applyProtection="1">
      <alignment vertical="center" wrapText="1"/>
      <protection locked="0"/>
    </xf>
    <xf numFmtId="2" fontId="304" fillId="26" borderId="257" xfId="0" applyNumberFormat="1" applyFont="1" applyFill="1" applyBorder="1" applyAlignment="1" applyProtection="1">
      <alignment horizontal="center" vertical="center" wrapText="1"/>
      <protection locked="0"/>
    </xf>
    <xf numFmtId="2" fontId="304" fillId="26" borderId="258" xfId="0" applyNumberFormat="1" applyFont="1" applyFill="1" applyBorder="1" applyAlignment="1" applyProtection="1">
      <alignment horizontal="center" vertical="center" wrapText="1"/>
      <protection locked="0"/>
    </xf>
    <xf numFmtId="2" fontId="243" fillId="26" borderId="218" xfId="0" applyNumberFormat="1" applyFont="1" applyFill="1" applyBorder="1" applyAlignment="1" applyProtection="1">
      <alignment horizontal="center" wrapText="1"/>
      <protection locked="0"/>
    </xf>
    <xf numFmtId="2" fontId="299" fillId="26" borderId="218" xfId="0" applyNumberFormat="1" applyFont="1" applyFill="1" applyBorder="1" applyAlignment="1" applyProtection="1">
      <alignment wrapText="1"/>
      <protection locked="0"/>
    </xf>
    <xf numFmtId="14" fontId="226" fillId="26" borderId="281" xfId="0" applyNumberFormat="1" applyFont="1" applyFill="1" applyBorder="1" applyAlignment="1" applyProtection="1">
      <alignment horizontal="center" wrapText="1"/>
      <protection locked="0"/>
    </xf>
    <xf numFmtId="14" fontId="304" fillId="26" borderId="281" xfId="0" applyNumberFormat="1" applyFont="1" applyFill="1" applyBorder="1" applyAlignment="1" applyProtection="1">
      <alignment wrapText="1"/>
      <protection locked="0"/>
    </xf>
    <xf numFmtId="2" fontId="304" fillId="26" borderId="218" xfId="0" applyNumberFormat="1" applyFont="1" applyFill="1" applyBorder="1" applyAlignment="1" applyProtection="1">
      <alignment horizontal="center" vertical="center" wrapText="1"/>
      <protection locked="0"/>
    </xf>
    <xf numFmtId="2" fontId="304" fillId="26" borderId="218" xfId="0" applyNumberFormat="1" applyFont="1" applyFill="1" applyBorder="1" applyAlignment="1" applyProtection="1">
      <alignment vertical="center" wrapText="1"/>
      <protection locked="0"/>
    </xf>
    <xf numFmtId="0" fontId="316" fillId="6" borderId="261" xfId="0" applyFont="1" applyFill="1" applyBorder="1" applyAlignment="1">
      <alignment horizontal="center" vertical="center" wrapText="1"/>
    </xf>
    <xf numFmtId="0" fontId="316" fillId="6" borderId="231" xfId="0" applyFont="1" applyFill="1" applyBorder="1" applyAlignment="1">
      <alignment horizontal="center" vertical="center" wrapText="1"/>
    </xf>
    <xf numFmtId="0" fontId="316" fillId="6" borderId="236" xfId="0" applyFont="1" applyFill="1" applyBorder="1" applyAlignment="1">
      <alignment horizontal="center" vertical="center" wrapText="1"/>
    </xf>
    <xf numFmtId="0" fontId="318" fillId="6" borderId="260" xfId="0" applyFont="1" applyFill="1" applyBorder="1" applyAlignment="1">
      <alignment horizontal="center" vertical="center" wrapText="1"/>
    </xf>
    <xf numFmtId="0" fontId="318" fillId="6" borderId="216" xfId="0" applyFont="1" applyFill="1" applyBorder="1" applyAlignment="1">
      <alignment horizontal="center" vertical="center" wrapText="1"/>
    </xf>
    <xf numFmtId="0" fontId="318" fillId="6" borderId="217" xfId="0" applyFont="1" applyFill="1" applyBorder="1" applyAlignment="1">
      <alignment horizontal="center" vertical="center" wrapText="1"/>
    </xf>
    <xf numFmtId="0" fontId="318" fillId="6" borderId="231" xfId="0" applyFont="1" applyFill="1" applyBorder="1" applyAlignment="1">
      <alignment horizontal="center" vertical="center" wrapText="1"/>
    </xf>
    <xf numFmtId="0" fontId="316" fillId="6" borderId="216" xfId="0" applyFont="1" applyFill="1" applyBorder="1" applyAlignment="1">
      <alignment horizontal="center" vertical="center" wrapText="1"/>
    </xf>
    <xf numFmtId="0" fontId="305" fillId="26" borderId="258" xfId="0" applyFont="1" applyFill="1" applyBorder="1" applyAlignment="1" applyProtection="1">
      <alignment vertical="center" wrapText="1"/>
      <protection locked="0"/>
    </xf>
    <xf numFmtId="14" fontId="226" fillId="26" borderId="281" xfId="0" applyNumberFormat="1" applyFont="1" applyFill="1" applyBorder="1" applyAlignment="1" applyProtection="1">
      <alignment horizontal="center" vertical="center" wrapText="1"/>
      <protection locked="0"/>
    </xf>
    <xf numFmtId="14" fontId="304" fillId="26" borderId="281" xfId="0" applyNumberFormat="1" applyFont="1" applyFill="1" applyBorder="1" applyAlignment="1" applyProtection="1">
      <alignment vertical="center" wrapText="1"/>
      <protection locked="0"/>
    </xf>
    <xf numFmtId="14" fontId="304" fillId="26" borderId="305" xfId="0" applyNumberFormat="1" applyFont="1" applyFill="1" applyBorder="1" applyAlignment="1" applyProtection="1">
      <alignment horizontal="center" vertical="center" wrapText="1"/>
      <protection locked="0"/>
    </xf>
    <xf numFmtId="0" fontId="298" fillId="26" borderId="305" xfId="0" applyFont="1" applyFill="1" applyBorder="1" applyAlignment="1" applyProtection="1">
      <alignment horizontal="center" vertical="center" wrapText="1"/>
      <protection locked="0"/>
    </xf>
    <xf numFmtId="174" fontId="304" fillId="27" borderId="257" xfId="0" applyNumberFormat="1" applyFont="1" applyFill="1" applyBorder="1" applyAlignment="1">
      <alignment horizontal="center" vertical="center" shrinkToFit="1"/>
    </xf>
    <xf numFmtId="174" fontId="304" fillId="27" borderId="258" xfId="0" applyNumberFormat="1" applyFont="1" applyFill="1" applyBorder="1" applyAlignment="1">
      <alignment horizontal="center" vertical="center" shrinkToFit="1"/>
    </xf>
    <xf numFmtId="0" fontId="299" fillId="6" borderId="0" xfId="0" applyFont="1" applyFill="1" applyAlignment="1">
      <alignment vertical="center" wrapText="1"/>
    </xf>
    <xf numFmtId="0" fontId="299" fillId="6" borderId="229" xfId="0" applyFont="1" applyFill="1" applyBorder="1" applyAlignment="1">
      <alignment vertical="center" wrapText="1"/>
    </xf>
    <xf numFmtId="0" fontId="309" fillId="24" borderId="247" xfId="0" applyFont="1" applyFill="1" applyBorder="1" applyAlignment="1">
      <alignment horizontal="center" vertical="center"/>
    </xf>
    <xf numFmtId="0" fontId="310" fillId="24" borderId="0" xfId="0" applyFont="1" applyFill="1" applyAlignment="1">
      <alignment horizontal="center"/>
    </xf>
    <xf numFmtId="0" fontId="298" fillId="0" borderId="0" xfId="0" applyFont="1" applyAlignment="1">
      <alignment horizontal="center"/>
    </xf>
    <xf numFmtId="0" fontId="298" fillId="0" borderId="219" xfId="0" applyFont="1" applyBorder="1" applyAlignment="1">
      <alignment horizontal="center"/>
    </xf>
    <xf numFmtId="0" fontId="310" fillId="24" borderId="0" xfId="0" applyFont="1" applyFill="1"/>
    <xf numFmtId="0" fontId="311" fillId="6" borderId="0" xfId="0" applyFont="1" applyFill="1" applyAlignment="1">
      <alignment horizontal="center" vertical="center" wrapText="1"/>
    </xf>
    <xf numFmtId="0" fontId="226" fillId="26" borderId="305" xfId="0" applyFont="1" applyFill="1" applyBorder="1" applyAlignment="1" applyProtection="1">
      <alignment horizontal="left" vertical="center" wrapText="1"/>
      <protection locked="0"/>
    </xf>
    <xf numFmtId="0" fontId="304" fillId="26" borderId="305" xfId="0" applyFont="1" applyFill="1" applyBorder="1" applyAlignment="1" applyProtection="1">
      <alignment horizontal="left" vertical="center" wrapText="1"/>
      <protection locked="0"/>
    </xf>
    <xf numFmtId="0" fontId="304" fillId="0" borderId="0" xfId="0" applyFont="1" applyAlignment="1">
      <alignment horizontal="center" vertical="center" wrapText="1"/>
    </xf>
    <xf numFmtId="0" fontId="307" fillId="31" borderId="0" xfId="0" applyFont="1" applyFill="1" applyAlignment="1" applyProtection="1">
      <alignment horizontal="right" vertical="top" wrapText="1"/>
      <protection locked="0"/>
    </xf>
    <xf numFmtId="0" fontId="307" fillId="31" borderId="235" xfId="0" applyFont="1" applyFill="1" applyBorder="1" applyAlignment="1" applyProtection="1">
      <alignment horizontal="right" vertical="top" wrapText="1"/>
      <protection locked="0"/>
    </xf>
    <xf numFmtId="0" fontId="304" fillId="6" borderId="247" xfId="0" applyFont="1" applyFill="1" applyBorder="1" applyAlignment="1">
      <alignment vertical="center" wrapText="1"/>
    </xf>
    <xf numFmtId="0" fontId="304" fillId="6" borderId="0" xfId="0" applyFont="1" applyFill="1" applyAlignment="1">
      <alignment vertical="center" wrapText="1"/>
    </xf>
    <xf numFmtId="0" fontId="304" fillId="6" borderId="267" xfId="0" applyFont="1" applyFill="1" applyBorder="1" applyAlignment="1">
      <alignment vertical="center" wrapText="1"/>
    </xf>
    <xf numFmtId="0" fontId="304" fillId="6" borderId="235" xfId="0" applyFont="1" applyFill="1" applyBorder="1" applyAlignment="1">
      <alignment vertical="center" wrapText="1"/>
    </xf>
    <xf numFmtId="0" fontId="304" fillId="24" borderId="247" xfId="0" applyFont="1" applyFill="1" applyBorder="1" applyAlignment="1">
      <alignment vertical="center" wrapText="1"/>
    </xf>
    <xf numFmtId="0" fontId="299" fillId="24" borderId="0" xfId="0" applyFont="1" applyFill="1" applyAlignment="1">
      <alignment vertical="center" wrapText="1"/>
    </xf>
    <xf numFmtId="0" fontId="304" fillId="26" borderId="282" xfId="0" applyFont="1" applyFill="1" applyBorder="1" applyAlignment="1" applyProtection="1">
      <alignment horizontal="center" vertical="center" wrapText="1"/>
      <protection locked="0"/>
    </xf>
    <xf numFmtId="0" fontId="305" fillId="26" borderId="282" xfId="0" applyFont="1" applyFill="1" applyBorder="1" applyAlignment="1" applyProtection="1">
      <alignment horizontal="center" vertical="center" wrapText="1"/>
      <protection locked="0"/>
    </xf>
    <xf numFmtId="0" fontId="226" fillId="26" borderId="281" xfId="0" applyFont="1" applyFill="1" applyBorder="1" applyAlignment="1" applyProtection="1">
      <alignment horizontal="center" vertical="center" shrinkToFit="1"/>
      <protection locked="0"/>
    </xf>
    <xf numFmtId="0" fontId="332" fillId="24" borderId="215" xfId="0" applyFont="1" applyFill="1" applyBorder="1"/>
    <xf numFmtId="2" fontId="320" fillId="24" borderId="0" xfId="0" applyNumberFormat="1" applyFont="1" applyFill="1" applyAlignment="1">
      <alignment horizontal="right" wrapText="1"/>
    </xf>
    <xf numFmtId="49" fontId="226" fillId="26" borderId="281" xfId="0" applyNumberFormat="1" applyFont="1" applyFill="1" applyBorder="1" applyAlignment="1" applyProtection="1">
      <alignment horizontal="left" vertical="center" wrapText="1"/>
      <protection locked="0"/>
    </xf>
    <xf numFmtId="49" fontId="299" fillId="26" borderId="281" xfId="0" applyNumberFormat="1" applyFont="1" applyFill="1" applyBorder="1" applyAlignment="1" applyProtection="1">
      <alignment horizontal="left" vertical="center" wrapText="1"/>
      <protection locked="0"/>
    </xf>
    <xf numFmtId="0" fontId="298" fillId="26" borderId="281" xfId="0" applyFont="1" applyFill="1" applyBorder="1" applyAlignment="1" applyProtection="1">
      <alignment horizontal="left" vertical="center" wrapText="1"/>
      <protection locked="0"/>
    </xf>
    <xf numFmtId="0" fontId="226" fillId="26" borderId="282" xfId="0" applyFont="1" applyFill="1" applyBorder="1" applyAlignment="1" applyProtection="1">
      <alignment horizontal="center" vertical="center" wrapText="1"/>
      <protection locked="0"/>
    </xf>
    <xf numFmtId="0" fontId="299" fillId="24" borderId="0" xfId="0" applyFont="1" applyFill="1" applyAlignment="1">
      <alignment horizontal="right" vertical="center" shrinkToFit="1"/>
    </xf>
    <xf numFmtId="0" fontId="299" fillId="24" borderId="0" xfId="0" applyFont="1" applyFill="1" applyAlignment="1">
      <alignment horizontal="right" wrapText="1"/>
    </xf>
    <xf numFmtId="0" fontId="301" fillId="24" borderId="0" xfId="0" applyFont="1" applyFill="1" applyAlignment="1">
      <alignment horizontal="center" vertical="center" wrapText="1"/>
    </xf>
    <xf numFmtId="0" fontId="302" fillId="24" borderId="225" xfId="0" applyFont="1" applyFill="1" applyBorder="1" applyAlignment="1">
      <alignment horizontal="right" vertical="center" wrapText="1"/>
    </xf>
    <xf numFmtId="0" fontId="299" fillId="24" borderId="225" xfId="0" applyFont="1" applyFill="1" applyBorder="1" applyAlignment="1">
      <alignment vertical="center" wrapText="1"/>
    </xf>
    <xf numFmtId="0" fontId="226" fillId="26" borderId="281" xfId="0" applyFont="1" applyFill="1" applyBorder="1" applyAlignment="1" applyProtection="1">
      <alignment horizontal="center" vertical="center" wrapText="1"/>
      <protection locked="0"/>
    </xf>
    <xf numFmtId="0" fontId="304" fillId="26" borderId="281" xfId="0" applyFont="1" applyFill="1" applyBorder="1" applyAlignment="1" applyProtection="1">
      <alignment horizontal="center" vertical="center" wrapText="1"/>
      <protection locked="0"/>
    </xf>
    <xf numFmtId="173" fontId="299" fillId="24" borderId="0" xfId="0" applyNumberFormat="1" applyFont="1" applyFill="1" applyAlignment="1">
      <alignment horizontal="right" wrapText="1"/>
    </xf>
    <xf numFmtId="0" fontId="300" fillId="24" borderId="0" xfId="0" applyFont="1" applyFill="1" applyAlignment="1">
      <alignment horizontal="center" wrapText="1"/>
    </xf>
    <xf numFmtId="0" fontId="226" fillId="26" borderId="281" xfId="0" applyFont="1" applyFill="1" applyBorder="1" applyAlignment="1" applyProtection="1">
      <alignment horizontal="left" vertical="center" wrapText="1"/>
      <protection locked="0"/>
    </xf>
    <xf numFmtId="0" fontId="299" fillId="26" borderId="281" xfId="0" applyFont="1" applyFill="1" applyBorder="1" applyAlignment="1" applyProtection="1">
      <alignment horizontal="left" vertical="center" wrapText="1"/>
      <protection locked="0"/>
    </xf>
    <xf numFmtId="0" fontId="207" fillId="24" borderId="333" xfId="0" applyFont="1" applyFill="1" applyBorder="1" applyAlignment="1">
      <alignment horizontal="center" vertical="center" wrapText="1"/>
    </xf>
    <xf numFmtId="0" fontId="207" fillId="24" borderId="216" xfId="0" applyFont="1" applyFill="1" applyBorder="1" applyAlignment="1">
      <alignment vertical="center" wrapText="1"/>
    </xf>
    <xf numFmtId="0" fontId="233" fillId="24" borderId="334" xfId="0" applyFont="1" applyFill="1" applyBorder="1" applyAlignment="1">
      <alignment horizontal="center" vertical="center" wrapText="1"/>
    </xf>
    <xf numFmtId="0" fontId="246" fillId="24" borderId="273" xfId="0" applyFont="1" applyFill="1" applyBorder="1" applyAlignment="1">
      <alignment vertical="center" wrapText="1"/>
    </xf>
    <xf numFmtId="0" fontId="246" fillId="24" borderId="335" xfId="0" applyFont="1" applyFill="1" applyBorder="1" applyAlignment="1">
      <alignment vertical="center" wrapText="1"/>
    </xf>
    <xf numFmtId="0" fontId="246" fillId="24" borderId="306" xfId="0" applyFont="1" applyFill="1" applyBorder="1" applyAlignment="1">
      <alignment vertical="center" wrapText="1"/>
    </xf>
    <xf numFmtId="0" fontId="246" fillId="24" borderId="0" xfId="0" applyFont="1" applyFill="1" applyAlignment="1">
      <alignment vertical="center" wrapText="1"/>
    </xf>
    <xf numFmtId="0" fontId="246" fillId="24" borderId="5" xfId="0" applyFont="1" applyFill="1" applyBorder="1" applyAlignment="1">
      <alignment vertical="center" wrapText="1"/>
    </xf>
    <xf numFmtId="0" fontId="235" fillId="6" borderId="273" xfId="0" applyFont="1" applyFill="1" applyBorder="1" applyAlignment="1">
      <alignment horizontal="left" vertical="center" wrapText="1"/>
    </xf>
    <xf numFmtId="0" fontId="235" fillId="6" borderId="275" xfId="0" applyFont="1" applyFill="1" applyBorder="1" applyAlignment="1">
      <alignment horizontal="left" vertical="center" wrapText="1"/>
    </xf>
    <xf numFmtId="0" fontId="202" fillId="24" borderId="0" xfId="0" applyFont="1" applyFill="1" applyAlignment="1">
      <alignment horizontal="left" vertical="center" wrapText="1"/>
    </xf>
    <xf numFmtId="0" fontId="202" fillId="27" borderId="265" xfId="0" applyFont="1" applyFill="1" applyBorder="1" applyAlignment="1">
      <alignment horizontal="center" vertical="center" wrapText="1"/>
    </xf>
    <xf numFmtId="0" fontId="202" fillId="27" borderId="268" xfId="0" applyFont="1" applyFill="1" applyBorder="1" applyAlignment="1">
      <alignment horizontal="center" vertical="center" wrapText="1"/>
    </xf>
    <xf numFmtId="0" fontId="202" fillId="27" borderId="263" xfId="0" applyFont="1" applyFill="1" applyBorder="1" applyAlignment="1">
      <alignment horizontal="center" vertical="center" wrapText="1"/>
    </xf>
    <xf numFmtId="0" fontId="266" fillId="27" borderId="221" xfId="0" applyFont="1" applyFill="1" applyBorder="1" applyAlignment="1">
      <alignment horizontal="center" vertical="center" wrapText="1"/>
    </xf>
    <xf numFmtId="0" fontId="266" fillId="27" borderId="0" xfId="0" applyFont="1" applyFill="1" applyAlignment="1">
      <alignment horizontal="center" vertical="center" wrapText="1"/>
    </xf>
    <xf numFmtId="0" fontId="266" fillId="27" borderId="220" xfId="0" applyFont="1" applyFill="1" applyBorder="1" applyAlignment="1">
      <alignment horizontal="center" vertical="center" wrapText="1"/>
    </xf>
    <xf numFmtId="0" fontId="266" fillId="27" borderId="40" xfId="0" applyFont="1" applyFill="1" applyBorder="1" applyAlignment="1">
      <alignment horizontal="center" vertical="center" wrapText="1"/>
    </xf>
    <xf numFmtId="0" fontId="266" fillId="27" borderId="41" xfId="0" applyFont="1" applyFill="1" applyBorder="1" applyAlignment="1">
      <alignment horizontal="center" vertical="center" wrapText="1"/>
    </xf>
    <xf numFmtId="0" fontId="266" fillId="27" borderId="42" xfId="0" applyFont="1" applyFill="1" applyBorder="1" applyAlignment="1">
      <alignment horizontal="center" vertical="center" wrapText="1"/>
    </xf>
    <xf numFmtId="0" fontId="243" fillId="27" borderId="265" xfId="0" applyFont="1" applyFill="1" applyBorder="1" applyAlignment="1">
      <alignment horizontal="center" vertical="center" wrapText="1"/>
    </xf>
    <xf numFmtId="0" fontId="243" fillId="27" borderId="263" xfId="0" applyFont="1" applyFill="1" applyBorder="1" applyAlignment="1">
      <alignment horizontal="center" vertical="center" wrapText="1"/>
    </xf>
    <xf numFmtId="0" fontId="271" fillId="26" borderId="265" xfId="0" applyFont="1" applyFill="1" applyBorder="1" applyAlignment="1" applyProtection="1">
      <alignment vertical="center"/>
      <protection locked="0"/>
    </xf>
    <xf numFmtId="0" fontId="271" fillId="26" borderId="264" xfId="0" applyFont="1" applyFill="1" applyBorder="1" applyAlignment="1" applyProtection="1">
      <alignment vertical="center"/>
      <protection locked="0"/>
    </xf>
    <xf numFmtId="0" fontId="271" fillId="26" borderId="263" xfId="0" applyFont="1" applyFill="1" applyBorder="1" applyAlignment="1" applyProtection="1">
      <alignment vertical="center"/>
      <protection locked="0"/>
    </xf>
    <xf numFmtId="0" fontId="207" fillId="26" borderId="1" xfId="0" applyFont="1" applyFill="1" applyBorder="1" applyAlignment="1" applyProtection="1">
      <alignment horizontal="center" vertical="center" wrapText="1"/>
      <protection locked="0"/>
    </xf>
    <xf numFmtId="0" fontId="0" fillId="0" borderId="1" xfId="0" applyBorder="1" applyAlignment="1" applyProtection="1">
      <alignment horizontal="center" vertical="center" wrapText="1"/>
      <protection locked="0"/>
    </xf>
    <xf numFmtId="0" fontId="272" fillId="24" borderId="333" xfId="0" applyFont="1" applyFill="1" applyBorder="1" applyAlignment="1">
      <alignment horizontal="center" textRotation="255" shrinkToFit="1" readingOrder="1"/>
    </xf>
    <xf numFmtId="0" fontId="272" fillId="24" borderId="216" xfId="0" applyFont="1" applyFill="1" applyBorder="1" applyAlignment="1">
      <alignment horizontal="center" textRotation="255" shrinkToFit="1" readingOrder="1"/>
    </xf>
    <xf numFmtId="0" fontId="226" fillId="26" borderId="216" xfId="0" applyFont="1" applyFill="1" applyBorder="1" applyAlignment="1" applyProtection="1">
      <alignment horizontal="left" vertical="center" wrapText="1"/>
      <protection locked="0"/>
    </xf>
    <xf numFmtId="0" fontId="226" fillId="26" borderId="218" xfId="0" applyFont="1" applyFill="1" applyBorder="1" applyAlignment="1" applyProtection="1">
      <alignment horizontal="left" vertical="center" wrapText="1"/>
      <protection locked="0"/>
    </xf>
    <xf numFmtId="0" fontId="226" fillId="26" borderId="217" xfId="0" applyFont="1" applyFill="1" applyBorder="1" applyAlignment="1" applyProtection="1">
      <alignment horizontal="left" vertical="center" wrapText="1"/>
      <protection locked="0"/>
    </xf>
    <xf numFmtId="0" fontId="236" fillId="24" borderId="0" xfId="0" applyFont="1" applyFill="1" applyAlignment="1">
      <alignment horizontal="left" vertical="center" wrapText="1"/>
    </xf>
    <xf numFmtId="0" fontId="203" fillId="24" borderId="0" xfId="0" applyFont="1" applyFill="1" applyAlignment="1">
      <alignment horizontal="left" vertical="center" wrapText="1"/>
    </xf>
    <xf numFmtId="0" fontId="226" fillId="26" borderId="1" xfId="0" applyFont="1" applyFill="1" applyBorder="1" applyAlignment="1" applyProtection="1">
      <alignment horizontal="center" vertical="center" wrapText="1"/>
      <protection locked="0"/>
    </xf>
    <xf numFmtId="0" fontId="0" fillId="26" borderId="1" xfId="0" applyFill="1" applyBorder="1" applyAlignment="1" applyProtection="1">
      <alignment horizontal="center" vertical="center" wrapText="1"/>
      <protection locked="0"/>
    </xf>
    <xf numFmtId="0" fontId="226" fillId="24" borderId="0" xfId="0" applyFont="1" applyFill="1" applyAlignment="1">
      <alignment horizontal="left" vertical="center" wrapText="1"/>
    </xf>
    <xf numFmtId="0" fontId="0" fillId="0" borderId="205" xfId="0" applyBorder="1" applyAlignment="1">
      <alignment vertical="center" wrapText="1"/>
    </xf>
    <xf numFmtId="174" fontId="332" fillId="26" borderId="1" xfId="0" applyNumberFormat="1" applyFont="1" applyFill="1" applyBorder="1" applyAlignment="1" applyProtection="1">
      <alignment horizontal="center" vertical="center" wrapText="1"/>
      <protection locked="0"/>
    </xf>
    <xf numFmtId="174" fontId="26" fillId="26" borderId="1" xfId="0" applyNumberFormat="1" applyFont="1" applyFill="1" applyBorder="1" applyAlignment="1" applyProtection="1">
      <alignment horizontal="center" vertical="center" wrapText="1"/>
      <protection locked="0"/>
    </xf>
    <xf numFmtId="0" fontId="243" fillId="27" borderId="4" xfId="0" applyFont="1" applyFill="1" applyBorder="1" applyAlignment="1">
      <alignment horizontal="center" vertical="center" wrapText="1"/>
    </xf>
    <xf numFmtId="0" fontId="243" fillId="27" borderId="220" xfId="0" applyFont="1" applyFill="1" applyBorder="1" applyAlignment="1">
      <alignment horizontal="center" vertical="center" wrapText="1"/>
    </xf>
    <xf numFmtId="0" fontId="235" fillId="6" borderId="299" xfId="0" applyFont="1" applyFill="1" applyBorder="1" applyAlignment="1">
      <alignment horizontal="left" vertical="center" wrapText="1"/>
    </xf>
    <xf numFmtId="0" fontId="235" fillId="6" borderId="338" xfId="0" applyFont="1" applyFill="1" applyBorder="1" applyAlignment="1">
      <alignment horizontal="left" vertical="center" wrapText="1"/>
    </xf>
    <xf numFmtId="0" fontId="202" fillId="24" borderId="299" xfId="0" applyFont="1" applyFill="1" applyBorder="1" applyAlignment="1">
      <alignment horizontal="left" vertical="center" wrapText="1"/>
    </xf>
    <xf numFmtId="0" fontId="202" fillId="24" borderId="338" xfId="0" applyFont="1" applyFill="1" applyBorder="1" applyAlignment="1">
      <alignment horizontal="left" vertical="center" wrapText="1"/>
    </xf>
    <xf numFmtId="0" fontId="0" fillId="0" borderId="0" xfId="0" applyAlignment="1">
      <alignment horizontal="left" vertical="center" wrapText="1"/>
    </xf>
    <xf numFmtId="0" fontId="209" fillId="6" borderId="299" xfId="0" applyFont="1" applyFill="1" applyBorder="1" applyAlignment="1">
      <alignment horizontal="left" vertical="center" wrapText="1"/>
    </xf>
    <xf numFmtId="0" fontId="203" fillId="6" borderId="299" xfId="0" applyFont="1" applyFill="1" applyBorder="1" applyAlignment="1">
      <alignment horizontal="left" vertical="center" wrapText="1"/>
    </xf>
    <xf numFmtId="0" fontId="203" fillId="6" borderId="338" xfId="0" applyFont="1" applyFill="1" applyBorder="1" applyAlignment="1">
      <alignment horizontal="left" vertical="center" wrapText="1"/>
    </xf>
    <xf numFmtId="0" fontId="226" fillId="24" borderId="0" xfId="0" applyFont="1" applyFill="1" applyAlignment="1">
      <alignment horizontal="left" wrapText="1"/>
    </xf>
    <xf numFmtId="0" fontId="210" fillId="24" borderId="0" xfId="0" applyFont="1" applyFill="1" applyAlignment="1">
      <alignment horizontal="left" wrapText="1"/>
    </xf>
    <xf numFmtId="0" fontId="0" fillId="0" borderId="0" xfId="0" applyAlignment="1">
      <alignment horizontal="left" wrapText="1"/>
    </xf>
    <xf numFmtId="0" fontId="243" fillId="27" borderId="40" xfId="0" applyFont="1" applyFill="1" applyBorder="1" applyAlignment="1">
      <alignment horizontal="center" vertical="center" wrapText="1"/>
    </xf>
    <xf numFmtId="0" fontId="243" fillId="27" borderId="42" xfId="0" applyFont="1" applyFill="1" applyBorder="1" applyAlignment="1">
      <alignment horizontal="center" vertical="center" wrapText="1"/>
    </xf>
    <xf numFmtId="0" fontId="271" fillId="26" borderId="123" xfId="0" applyFont="1" applyFill="1" applyBorder="1" applyAlignment="1" applyProtection="1">
      <alignment vertical="center"/>
      <protection locked="0"/>
    </xf>
    <xf numFmtId="0" fontId="271" fillId="26" borderId="124" xfId="0" applyFont="1" applyFill="1" applyBorder="1" applyAlignment="1" applyProtection="1">
      <alignment vertical="center"/>
      <protection locked="0"/>
    </xf>
    <xf numFmtId="0" fontId="271" fillId="26" borderId="125" xfId="0" applyFont="1" applyFill="1" applyBorder="1" applyAlignment="1" applyProtection="1">
      <alignment vertical="center"/>
      <protection locked="0"/>
    </xf>
    <xf numFmtId="0" fontId="202" fillId="24" borderId="0" xfId="0" applyFont="1" applyFill="1" applyAlignment="1">
      <alignment horizontal="right" vertical="center" wrapText="1"/>
    </xf>
    <xf numFmtId="0" fontId="202" fillId="24" borderId="0" xfId="0" applyFont="1" applyFill="1" applyAlignment="1">
      <alignment horizontal="right" wrapText="1"/>
    </xf>
    <xf numFmtId="0" fontId="0" fillId="0" borderId="0" xfId="0" applyAlignment="1">
      <alignment horizontal="right" wrapText="1"/>
    </xf>
    <xf numFmtId="0" fontId="203" fillId="24" borderId="0" xfId="0" applyFont="1" applyFill="1" applyAlignment="1">
      <alignment horizontal="center" wrapText="1"/>
    </xf>
    <xf numFmtId="0" fontId="204" fillId="24" borderId="0" xfId="0" applyFont="1" applyFill="1" applyAlignment="1">
      <alignment horizontal="center" vertical="center" wrapText="1"/>
    </xf>
    <xf numFmtId="0" fontId="202" fillId="24" borderId="0" xfId="0" applyFont="1" applyFill="1" applyAlignment="1">
      <alignment vertical="center" wrapText="1"/>
    </xf>
    <xf numFmtId="0" fontId="226" fillId="24" borderId="0" xfId="0" applyFont="1" applyFill="1" applyAlignment="1">
      <alignment vertical="center" wrapText="1"/>
    </xf>
    <xf numFmtId="0" fontId="226" fillId="24" borderId="204" xfId="0" applyFont="1" applyFill="1" applyBorder="1" applyAlignment="1">
      <alignment horizontal="center" vertical="center" wrapText="1"/>
    </xf>
    <xf numFmtId="0" fontId="226" fillId="26" borderId="257" xfId="0" applyFont="1" applyFill="1" applyBorder="1" applyAlignment="1" applyProtection="1">
      <alignment horizontal="left" vertical="center" wrapText="1"/>
      <protection locked="0"/>
    </xf>
    <xf numFmtId="0" fontId="226" fillId="26" borderId="256" xfId="0" applyFont="1" applyFill="1" applyBorder="1" applyAlignment="1" applyProtection="1">
      <alignment horizontal="left" vertical="center" wrapText="1"/>
      <protection locked="0"/>
    </xf>
    <xf numFmtId="0" fontId="226" fillId="26" borderId="258" xfId="0" applyFont="1" applyFill="1" applyBorder="1" applyAlignment="1" applyProtection="1">
      <alignment horizontal="left" vertical="center" wrapText="1"/>
      <protection locked="0"/>
    </xf>
    <xf numFmtId="0" fontId="207" fillId="24" borderId="332" xfId="0" applyFont="1" applyFill="1" applyBorder="1" applyAlignment="1">
      <alignment horizontal="center" vertical="center" wrapText="1"/>
    </xf>
    <xf numFmtId="0" fontId="207" fillId="24" borderId="336" xfId="0" applyFont="1" applyFill="1" applyBorder="1" applyAlignment="1">
      <alignment vertical="center" wrapText="1"/>
    </xf>
    <xf numFmtId="0" fontId="233" fillId="24" borderId="333" xfId="0" applyFont="1" applyFill="1" applyBorder="1" applyAlignment="1">
      <alignment horizontal="center" vertical="center" wrapText="1"/>
    </xf>
    <xf numFmtId="0" fontId="226" fillId="30" borderId="204" xfId="0" applyFont="1" applyFill="1" applyBorder="1" applyAlignment="1" applyProtection="1">
      <alignment horizontal="center" vertical="center" wrapText="1"/>
      <protection locked="0"/>
    </xf>
    <xf numFmtId="0" fontId="209" fillId="6" borderId="0" xfId="0" applyFont="1" applyFill="1" applyAlignment="1">
      <alignment horizontal="left" vertical="center" wrapText="1"/>
    </xf>
    <xf numFmtId="0" fontId="209" fillId="6" borderId="205" xfId="0" applyFont="1" applyFill="1" applyBorder="1" applyAlignment="1">
      <alignment horizontal="left" vertical="center" wrapText="1"/>
    </xf>
    <xf numFmtId="49" fontId="226" fillId="26" borderId="235" xfId="0" applyNumberFormat="1" applyFont="1" applyFill="1" applyBorder="1" applyAlignment="1" applyProtection="1">
      <alignment horizontal="center" vertical="center" wrapText="1"/>
      <protection locked="0"/>
    </xf>
    <xf numFmtId="49" fontId="202" fillId="26" borderId="235" xfId="0" applyNumberFormat="1" applyFont="1" applyFill="1" applyBorder="1" applyAlignment="1" applyProtection="1">
      <alignment horizontal="center" vertical="center" wrapText="1"/>
      <protection locked="0"/>
    </xf>
    <xf numFmtId="0" fontId="209" fillId="24" borderId="0" xfId="0" applyFont="1" applyFill="1" applyAlignment="1">
      <alignment horizontal="left" vertical="center" wrapText="1"/>
    </xf>
    <xf numFmtId="0" fontId="209" fillId="24" borderId="205" xfId="0" applyFont="1" applyFill="1" applyBorder="1" applyAlignment="1">
      <alignment horizontal="left" vertical="center" wrapText="1"/>
    </xf>
    <xf numFmtId="0" fontId="207" fillId="24" borderId="0" xfId="0" applyFont="1" applyFill="1" applyAlignment="1">
      <alignment horizontal="right" vertical="top" wrapText="1"/>
    </xf>
    <xf numFmtId="0" fontId="207" fillId="26" borderId="1" xfId="0" applyFont="1" applyFill="1" applyBorder="1" applyAlignment="1" applyProtection="1">
      <alignment horizontal="center" vertical="top" wrapText="1"/>
      <protection locked="0"/>
    </xf>
    <xf numFmtId="0" fontId="207" fillId="24" borderId="0" xfId="0" applyFont="1" applyFill="1" applyAlignment="1">
      <alignment horizontal="center" vertical="top" wrapText="1"/>
    </xf>
    <xf numFmtId="0" fontId="0" fillId="0" borderId="0" xfId="0" applyAlignment="1">
      <alignment horizontal="center" vertical="top" wrapText="1"/>
    </xf>
    <xf numFmtId="0" fontId="206" fillId="26" borderId="277" xfId="0" applyFont="1" applyFill="1" applyBorder="1" applyAlignment="1" applyProtection="1">
      <alignment horizontal="center" vertical="top" wrapText="1"/>
      <protection locked="0"/>
    </xf>
    <xf numFmtId="0" fontId="207" fillId="24" borderId="0" xfId="0" applyFont="1" applyFill="1" applyAlignment="1">
      <alignment horizontal="right" vertical="top"/>
    </xf>
    <xf numFmtId="0" fontId="0" fillId="0" borderId="0" xfId="0" applyAlignment="1">
      <alignment horizontal="right" vertical="top"/>
    </xf>
    <xf numFmtId="0" fontId="207" fillId="24" borderId="0" xfId="0" applyFont="1" applyFill="1" applyAlignment="1">
      <alignment horizontal="right"/>
    </xf>
    <xf numFmtId="0" fontId="0" fillId="0" borderId="0" xfId="0"/>
    <xf numFmtId="0" fontId="226" fillId="24" borderId="0" xfId="0" applyFont="1" applyFill="1" applyAlignment="1">
      <alignment horizontal="center" vertical="center"/>
    </xf>
    <xf numFmtId="0" fontId="0" fillId="0" borderId="0" xfId="0" applyAlignment="1">
      <alignment horizontal="center" vertical="center"/>
    </xf>
    <xf numFmtId="0" fontId="226" fillId="24" borderId="235" xfId="0" applyFont="1" applyFill="1" applyBorder="1" applyAlignment="1">
      <alignment horizontal="left" vertical="center" wrapText="1"/>
    </xf>
    <xf numFmtId="0" fontId="226" fillId="24" borderId="0" xfId="0" applyFont="1" applyFill="1" applyAlignment="1">
      <alignment horizontal="center" vertical="center" wrapText="1"/>
    </xf>
    <xf numFmtId="0" fontId="239" fillId="24" borderId="0" xfId="0" applyFont="1" applyFill="1" applyAlignment="1">
      <alignment horizontal="left" vertical="center" wrapText="1"/>
    </xf>
    <xf numFmtId="0" fontId="202" fillId="24" borderId="205" xfId="0" applyFont="1" applyFill="1" applyBorder="1" applyAlignment="1">
      <alignment horizontal="left" vertical="center" wrapText="1"/>
    </xf>
    <xf numFmtId="2" fontId="226" fillId="26" borderId="1" xfId="0" applyNumberFormat="1" applyFont="1" applyFill="1" applyBorder="1" applyAlignment="1" applyProtection="1">
      <alignment horizontal="right" vertical="center" wrapText="1"/>
      <protection locked="0"/>
    </xf>
    <xf numFmtId="0" fontId="0" fillId="0" borderId="1" xfId="0" applyBorder="1" applyAlignment="1" applyProtection="1">
      <alignment vertical="center" wrapText="1"/>
      <protection locked="0"/>
    </xf>
    <xf numFmtId="0" fontId="226" fillId="26" borderId="0" xfId="0" applyFont="1" applyFill="1" applyAlignment="1" applyProtection="1">
      <alignment horizontal="right" vertical="center" wrapText="1"/>
      <protection locked="0"/>
    </xf>
    <xf numFmtId="0" fontId="0" fillId="0" borderId="0" xfId="0" applyAlignment="1" applyProtection="1">
      <alignment vertical="center" wrapText="1"/>
      <protection locked="0"/>
    </xf>
    <xf numFmtId="0" fontId="237" fillId="24" borderId="0" xfId="0" applyFont="1" applyFill="1" applyAlignment="1">
      <alignment horizontal="center" vertical="center" wrapText="1"/>
    </xf>
    <xf numFmtId="0" fontId="236" fillId="27" borderId="216" xfId="0" applyFont="1" applyFill="1" applyBorder="1" applyAlignment="1">
      <alignment horizontal="left" vertical="center" wrapText="1"/>
    </xf>
    <xf numFmtId="0" fontId="0" fillId="27" borderId="218" xfId="0" applyFill="1" applyBorder="1" applyAlignment="1">
      <alignment vertical="center" wrapText="1"/>
    </xf>
    <xf numFmtId="0" fontId="241" fillId="27" borderId="218" xfId="0" applyFont="1" applyFill="1" applyBorder="1" applyAlignment="1">
      <alignment horizontal="left" vertical="center" wrapText="1"/>
    </xf>
    <xf numFmtId="0" fontId="0" fillId="27" borderId="218" xfId="0" applyFill="1" applyBorder="1" applyAlignment="1">
      <alignment horizontal="left" vertical="center" wrapText="1"/>
    </xf>
    <xf numFmtId="0" fontId="0" fillId="27" borderId="339" xfId="0" applyFill="1" applyBorder="1" applyAlignment="1">
      <alignment horizontal="left" vertical="center" wrapText="1"/>
    </xf>
    <xf numFmtId="0" fontId="236" fillId="24" borderId="207" xfId="0" applyFont="1" applyFill="1" applyBorder="1" applyAlignment="1">
      <alignment horizontal="left" vertical="center" wrapText="1"/>
    </xf>
    <xf numFmtId="0" fontId="241" fillId="0" borderId="237" xfId="0" applyFont="1" applyBorder="1" applyAlignment="1">
      <alignment horizontal="left" vertical="center" wrapText="1"/>
    </xf>
    <xf numFmtId="0" fontId="241" fillId="24" borderId="204" xfId="0" applyFont="1" applyFill="1" applyBorder="1" applyAlignment="1">
      <alignment horizontal="left" vertical="center" wrapText="1"/>
    </xf>
    <xf numFmtId="0" fontId="241" fillId="0" borderId="239" xfId="0" applyFont="1" applyBorder="1" applyAlignment="1">
      <alignment horizontal="left" vertical="center" wrapText="1"/>
    </xf>
    <xf numFmtId="174" fontId="242" fillId="24" borderId="299" xfId="0" applyNumberFormat="1" applyFont="1" applyFill="1" applyBorder="1" applyAlignment="1">
      <alignment horizontal="center" vertical="center" wrapText="1"/>
    </xf>
    <xf numFmtId="174" fontId="0" fillId="24" borderId="299" xfId="0" applyNumberFormat="1" applyFill="1" applyBorder="1"/>
    <xf numFmtId="174" fontId="0" fillId="24" borderId="238" xfId="0" applyNumberFormat="1" applyFill="1" applyBorder="1"/>
    <xf numFmtId="174" fontId="0" fillId="24" borderId="0" xfId="0" applyNumberFormat="1" applyFill="1"/>
    <xf numFmtId="174" fontId="0" fillId="24" borderId="349" xfId="0" applyNumberFormat="1" applyFill="1" applyBorder="1"/>
    <xf numFmtId="0" fontId="236" fillId="24" borderId="207" xfId="0" applyFont="1" applyFill="1" applyBorder="1" applyAlignment="1">
      <alignment horizontal="left" vertical="top" wrapText="1"/>
    </xf>
    <xf numFmtId="0" fontId="241" fillId="0" borderId="207" xfId="0" applyFont="1" applyBorder="1" applyAlignment="1">
      <alignment horizontal="left" vertical="top" wrapText="1"/>
    </xf>
    <xf numFmtId="0" fontId="241" fillId="24" borderId="235" xfId="0" applyFont="1" applyFill="1" applyBorder="1" applyAlignment="1">
      <alignment horizontal="left" vertical="top" wrapText="1"/>
    </xf>
    <xf numFmtId="0" fontId="241" fillId="0" borderId="235" xfId="0" applyFont="1" applyBorder="1" applyAlignment="1">
      <alignment horizontal="left" vertical="top" wrapText="1"/>
    </xf>
    <xf numFmtId="174" fontId="242" fillId="24" borderId="292" xfId="0" applyNumberFormat="1" applyFont="1" applyFill="1" applyBorder="1" applyAlignment="1">
      <alignment horizontal="center" vertical="center" wrapText="1"/>
    </xf>
    <xf numFmtId="174" fontId="0" fillId="24" borderId="207" xfId="0" applyNumberFormat="1" applyFill="1" applyBorder="1"/>
    <xf numFmtId="174" fontId="0" fillId="24" borderId="350" xfId="0" applyNumberFormat="1" applyFill="1" applyBorder="1"/>
    <xf numFmtId="174" fontId="0" fillId="24" borderId="348" xfId="0" applyNumberFormat="1" applyFill="1" applyBorder="1"/>
    <xf numFmtId="174" fontId="0" fillId="24" borderId="235" xfId="0" applyNumberFormat="1" applyFill="1" applyBorder="1"/>
    <xf numFmtId="174" fontId="0" fillId="24" borderId="240" xfId="0" applyNumberFormat="1" applyFill="1" applyBorder="1"/>
    <xf numFmtId="0" fontId="226" fillId="26" borderId="236" xfId="0" applyFont="1" applyFill="1" applyBorder="1" applyAlignment="1" applyProtection="1">
      <alignment horizontal="left" vertical="top" wrapText="1"/>
      <protection locked="0"/>
    </xf>
    <xf numFmtId="0" fontId="0" fillId="26" borderId="215" xfId="0" applyFill="1" applyBorder="1" applyAlignment="1" applyProtection="1">
      <alignment vertical="top" wrapText="1"/>
      <protection locked="0"/>
    </xf>
    <xf numFmtId="0" fontId="0" fillId="26" borderId="340" xfId="0" applyFill="1" applyBorder="1" applyAlignment="1" applyProtection="1">
      <alignment vertical="top" wrapText="1"/>
      <protection locked="0"/>
    </xf>
    <xf numFmtId="0" fontId="0" fillId="0" borderId="228" xfId="0" applyBorder="1" applyAlignment="1" applyProtection="1">
      <alignment vertical="top" wrapText="1"/>
      <protection locked="0"/>
    </xf>
    <xf numFmtId="0" fontId="0" fillId="0" borderId="0" xfId="0" applyAlignment="1" applyProtection="1">
      <alignment vertical="top" wrapText="1"/>
      <protection locked="0"/>
    </xf>
    <xf numFmtId="0" fontId="0" fillId="0" borderId="205" xfId="0" applyBorder="1" applyAlignment="1" applyProtection="1">
      <alignment vertical="top" wrapText="1"/>
      <protection locked="0"/>
    </xf>
    <xf numFmtId="0" fontId="0" fillId="0" borderId="216" xfId="0" applyBorder="1" applyAlignment="1" applyProtection="1">
      <alignment vertical="top" wrapText="1"/>
      <protection locked="0"/>
    </xf>
    <xf numFmtId="0" fontId="0" fillId="0" borderId="218" xfId="0" applyBorder="1" applyAlignment="1" applyProtection="1">
      <alignment vertical="top" wrapText="1"/>
      <protection locked="0"/>
    </xf>
    <xf numFmtId="0" fontId="0" fillId="0" borderId="339" xfId="0" applyBorder="1" applyAlignment="1" applyProtection="1">
      <alignment vertical="top" wrapText="1"/>
      <protection locked="0"/>
    </xf>
    <xf numFmtId="0" fontId="95" fillId="0" borderId="0" xfId="0" applyFont="1" applyAlignment="1">
      <alignment horizontal="center"/>
    </xf>
    <xf numFmtId="0" fontId="202" fillId="0" borderId="0" xfId="0" applyFont="1" applyAlignment="1">
      <alignment horizontal="center" vertical="center" wrapText="1"/>
    </xf>
    <xf numFmtId="0" fontId="202" fillId="0" borderId="220" xfId="0" applyFont="1" applyBorder="1" applyAlignment="1">
      <alignment horizontal="center" vertical="center" wrapText="1"/>
    </xf>
    <xf numFmtId="49" fontId="202" fillId="24" borderId="0" xfId="0" quotePrefix="1" applyNumberFormat="1" applyFont="1" applyFill="1" applyAlignment="1">
      <alignment horizontal="right" wrapText="1"/>
    </xf>
    <xf numFmtId="173" fontId="202" fillId="24" borderId="0" xfId="0" quotePrefix="1" applyNumberFormat="1" applyFont="1" applyFill="1" applyAlignment="1">
      <alignment horizontal="right" wrapText="1"/>
    </xf>
    <xf numFmtId="173" fontId="0" fillId="0" borderId="0" xfId="0" applyNumberFormat="1" applyAlignment="1">
      <alignment horizontal="right" wrapText="1"/>
    </xf>
    <xf numFmtId="0" fontId="243" fillId="24" borderId="215" xfId="0" applyFont="1" applyFill="1" applyBorder="1" applyAlignment="1">
      <alignment horizontal="left" vertical="center" wrapText="1"/>
    </xf>
    <xf numFmtId="0" fontId="0" fillId="0" borderId="215" xfId="0" applyBorder="1" applyAlignment="1">
      <alignment horizontal="left" vertical="center" wrapText="1"/>
    </xf>
    <xf numFmtId="0" fontId="243" fillId="26" borderId="289" xfId="0" applyFont="1" applyFill="1" applyBorder="1" applyAlignment="1" applyProtection="1">
      <alignment horizontal="center" vertical="center" wrapText="1"/>
      <protection locked="0"/>
    </xf>
    <xf numFmtId="0" fontId="0" fillId="26" borderId="289" xfId="0" applyFill="1" applyBorder="1" applyAlignment="1" applyProtection="1">
      <alignment horizontal="center" vertical="center" wrapText="1"/>
      <protection locked="0"/>
    </xf>
    <xf numFmtId="49" fontId="243" fillId="26" borderId="204" xfId="0" applyNumberFormat="1" applyFont="1" applyFill="1" applyBorder="1" applyAlignment="1" applyProtection="1">
      <alignment horizontal="center" vertical="center" wrapText="1"/>
      <protection locked="0"/>
    </xf>
    <xf numFmtId="49" fontId="245" fillId="26" borderId="204" xfId="0" applyNumberFormat="1" applyFont="1" applyFill="1" applyBorder="1" applyAlignment="1" applyProtection="1">
      <alignment horizontal="center" vertical="center" wrapText="1"/>
      <protection locked="0"/>
    </xf>
    <xf numFmtId="0" fontId="0" fillId="0" borderId="204" xfId="0" applyBorder="1" applyAlignment="1" applyProtection="1">
      <alignment horizontal="center" vertical="center" wrapText="1"/>
      <protection locked="0"/>
    </xf>
    <xf numFmtId="0" fontId="226" fillId="24" borderId="341" xfId="0" applyFont="1" applyFill="1" applyBorder="1" applyAlignment="1">
      <alignment horizontal="left" vertical="center" wrapText="1"/>
    </xf>
    <xf numFmtId="0" fontId="226" fillId="26" borderId="249" xfId="0" applyFont="1" applyFill="1" applyBorder="1" applyAlignment="1" applyProtection="1">
      <alignment vertical="center" wrapText="1"/>
      <protection locked="0"/>
    </xf>
    <xf numFmtId="0" fontId="244" fillId="26" borderId="249" xfId="0" applyFont="1" applyFill="1" applyBorder="1" applyAlignment="1" applyProtection="1">
      <alignment vertical="center" wrapText="1"/>
      <protection locked="0"/>
    </xf>
    <xf numFmtId="0" fontId="226" fillId="26" borderId="305" xfId="0" applyFont="1" applyFill="1" applyBorder="1" applyAlignment="1" applyProtection="1">
      <alignment vertical="center" wrapText="1"/>
      <protection locked="0"/>
    </xf>
    <xf numFmtId="0" fontId="243" fillId="24" borderId="0" xfId="0" applyFont="1" applyFill="1" applyAlignment="1">
      <alignment horizontal="right" vertical="center" wrapText="1"/>
    </xf>
    <xf numFmtId="0" fontId="245" fillId="0" borderId="0" xfId="0" applyFont="1" applyAlignment="1">
      <alignment horizontal="right" vertical="center" wrapText="1"/>
    </xf>
    <xf numFmtId="0" fontId="226" fillId="24" borderId="299" xfId="0" applyFont="1" applyFill="1" applyBorder="1" applyAlignment="1">
      <alignment horizontal="left" vertical="center" wrapText="1"/>
    </xf>
    <xf numFmtId="0" fontId="226" fillId="24" borderId="338" xfId="0" applyFont="1" applyFill="1" applyBorder="1" applyAlignment="1">
      <alignment horizontal="left" vertical="center" wrapText="1"/>
    </xf>
    <xf numFmtId="0" fontId="226" fillId="24" borderId="205" xfId="0" applyFont="1" applyFill="1" applyBorder="1" applyAlignment="1">
      <alignment horizontal="left" vertical="center" wrapText="1"/>
    </xf>
    <xf numFmtId="0" fontId="271" fillId="26" borderId="268" xfId="0" applyFont="1" applyFill="1" applyBorder="1" applyAlignment="1" applyProtection="1">
      <alignment vertical="center"/>
      <protection locked="0"/>
    </xf>
    <xf numFmtId="173" fontId="202" fillId="24" borderId="0" xfId="0" applyNumberFormat="1" applyFont="1" applyFill="1" applyAlignment="1">
      <alignment horizontal="right" wrapText="1"/>
    </xf>
    <xf numFmtId="0" fontId="274" fillId="30" borderId="204" xfId="0" applyFont="1" applyFill="1" applyBorder="1" applyAlignment="1" applyProtection="1">
      <alignment horizontal="center" vertical="center" wrapText="1"/>
      <protection locked="0"/>
    </xf>
    <xf numFmtId="0" fontId="207" fillId="24" borderId="346" xfId="0" applyFont="1" applyFill="1" applyBorder="1" applyAlignment="1">
      <alignment horizontal="center" vertical="center" wrapText="1"/>
    </xf>
    <xf numFmtId="0" fontId="207" fillId="24" borderId="342" xfId="0" applyFont="1" applyFill="1" applyBorder="1" applyAlignment="1">
      <alignment horizontal="center" vertical="center" wrapText="1"/>
    </xf>
    <xf numFmtId="0" fontId="207" fillId="24" borderId="343" xfId="0" applyFont="1" applyFill="1" applyBorder="1" applyAlignment="1">
      <alignment horizontal="center" vertical="center" wrapText="1"/>
    </xf>
    <xf numFmtId="0" fontId="207" fillId="24" borderId="216" xfId="0" applyFont="1" applyFill="1" applyBorder="1" applyAlignment="1">
      <alignment horizontal="center" vertical="center" wrapText="1"/>
    </xf>
    <xf numFmtId="0" fontId="233" fillId="24" borderId="273" xfId="0" applyFont="1" applyFill="1" applyBorder="1" applyAlignment="1">
      <alignment horizontal="center" vertical="center" wrapText="1"/>
    </xf>
    <xf numFmtId="0" fontId="233" fillId="24" borderId="345" xfId="0" applyFont="1" applyFill="1" applyBorder="1" applyAlignment="1">
      <alignment horizontal="center" vertical="center" wrapText="1"/>
    </xf>
    <xf numFmtId="0" fontId="233" fillId="24" borderId="218" xfId="0" applyFont="1" applyFill="1" applyBorder="1" applyAlignment="1">
      <alignment horizontal="center" vertical="center" wrapText="1"/>
    </xf>
    <xf numFmtId="0" fontId="233" fillId="24" borderId="217" xfId="0" applyFont="1" applyFill="1" applyBorder="1" applyAlignment="1">
      <alignment horizontal="center" vertical="center" wrapText="1"/>
    </xf>
    <xf numFmtId="0" fontId="235" fillId="24" borderId="273" xfId="0" applyFont="1" applyFill="1" applyBorder="1" applyAlignment="1">
      <alignment horizontal="left" vertical="center" wrapText="1"/>
    </xf>
    <xf numFmtId="0" fontId="235" fillId="24" borderId="275" xfId="0" applyFont="1" applyFill="1" applyBorder="1" applyAlignment="1">
      <alignment horizontal="left" vertical="center" wrapText="1"/>
    </xf>
    <xf numFmtId="0" fontId="272" fillId="24" borderId="344" xfId="0" applyFont="1" applyFill="1" applyBorder="1" applyAlignment="1">
      <alignment horizontal="center" textRotation="255" shrinkToFit="1" readingOrder="1"/>
    </xf>
    <xf numFmtId="0" fontId="272" fillId="24" borderId="169" xfId="0" applyFont="1" applyFill="1" applyBorder="1" applyAlignment="1">
      <alignment horizontal="center" textRotation="255" shrinkToFit="1" readingOrder="1"/>
    </xf>
    <xf numFmtId="0" fontId="235" fillId="24" borderId="299" xfId="0" applyFont="1" applyFill="1" applyBorder="1" applyAlignment="1">
      <alignment horizontal="left" vertical="center" wrapText="1"/>
    </xf>
    <xf numFmtId="0" fontId="235" fillId="24" borderId="338" xfId="0" applyFont="1" applyFill="1" applyBorder="1" applyAlignment="1">
      <alignment horizontal="left" vertical="center" wrapText="1"/>
    </xf>
    <xf numFmtId="0" fontId="226" fillId="26" borderId="32" xfId="0" applyFont="1" applyFill="1" applyBorder="1" applyAlignment="1" applyProtection="1">
      <alignment horizontal="center" vertical="center" wrapText="1"/>
      <protection locked="0"/>
    </xf>
    <xf numFmtId="0" fontId="0" fillId="26" borderId="32" xfId="0" applyFill="1" applyBorder="1" applyAlignment="1" applyProtection="1">
      <alignment horizontal="center" vertical="center" wrapText="1"/>
      <protection locked="0"/>
    </xf>
    <xf numFmtId="0" fontId="209" fillId="24" borderId="299" xfId="0" applyFont="1" applyFill="1" applyBorder="1" applyAlignment="1">
      <alignment horizontal="left" vertical="center" wrapText="1"/>
    </xf>
    <xf numFmtId="0" fontId="203" fillId="24" borderId="299" xfId="0" applyFont="1" applyFill="1" applyBorder="1" applyAlignment="1">
      <alignment horizontal="left" vertical="center" wrapText="1"/>
    </xf>
    <xf numFmtId="0" fontId="203" fillId="24" borderId="338" xfId="0" applyFont="1" applyFill="1" applyBorder="1" applyAlignment="1">
      <alignment horizontal="left" vertical="center" wrapText="1"/>
    </xf>
    <xf numFmtId="174" fontId="237" fillId="26" borderId="1" xfId="0" applyNumberFormat="1" applyFont="1" applyFill="1" applyBorder="1" applyAlignment="1" applyProtection="1">
      <alignment horizontal="center" vertical="center" wrapText="1"/>
      <protection locked="0"/>
    </xf>
    <xf numFmtId="174" fontId="95" fillId="26" borderId="1" xfId="0" applyNumberFormat="1" applyFont="1" applyFill="1" applyBorder="1" applyAlignment="1" applyProtection="1">
      <alignment horizontal="center" vertical="center" wrapText="1"/>
      <protection locked="0"/>
    </xf>
    <xf numFmtId="0" fontId="226" fillId="24" borderId="218" xfId="0" applyFont="1" applyFill="1" applyBorder="1" applyAlignment="1">
      <alignment horizontal="left" vertical="center" wrapText="1"/>
    </xf>
    <xf numFmtId="0" fontId="226" fillId="24" borderId="339" xfId="0" applyFont="1" applyFill="1" applyBorder="1" applyAlignment="1">
      <alignment horizontal="left" vertical="center" wrapText="1"/>
    </xf>
    <xf numFmtId="0" fontId="236" fillId="26" borderId="257" xfId="0" applyFont="1" applyFill="1" applyBorder="1" applyAlignment="1">
      <alignment horizontal="left" vertical="center" wrapText="1"/>
    </xf>
    <xf numFmtId="0" fontId="236" fillId="26" borderId="256" xfId="0" applyFont="1" applyFill="1" applyBorder="1" applyAlignment="1">
      <alignment horizontal="left" vertical="center" wrapText="1"/>
    </xf>
    <xf numFmtId="0" fontId="241" fillId="26" borderId="256" xfId="0" applyFont="1" applyFill="1" applyBorder="1" applyAlignment="1" applyProtection="1">
      <alignment horizontal="left" vertical="center" wrapText="1"/>
      <protection locked="0"/>
    </xf>
    <xf numFmtId="0" fontId="241" fillId="26" borderId="347" xfId="0" applyFont="1" applyFill="1" applyBorder="1" applyAlignment="1" applyProtection="1">
      <alignment horizontal="left" vertical="center" wrapText="1"/>
      <protection locked="0"/>
    </xf>
    <xf numFmtId="0" fontId="241" fillId="0" borderId="241" xfId="0" applyFont="1" applyBorder="1" applyAlignment="1">
      <alignment horizontal="left" vertical="top" wrapText="1"/>
    </xf>
    <xf numFmtId="0" fontId="241" fillId="0" borderId="243" xfId="0" applyFont="1" applyBorder="1" applyAlignment="1">
      <alignment horizontal="left" vertical="top" wrapText="1"/>
    </xf>
    <xf numFmtId="2" fontId="242" fillId="24" borderId="299" xfId="0" applyNumberFormat="1" applyFont="1" applyFill="1" applyBorder="1" applyAlignment="1">
      <alignment horizontal="center" vertical="center" wrapText="1"/>
    </xf>
    <xf numFmtId="2" fontId="0" fillId="24" borderId="299" xfId="0" applyNumberFormat="1" applyFill="1" applyBorder="1"/>
    <xf numFmtId="2" fontId="0" fillId="24" borderId="238" xfId="0" applyNumberFormat="1" applyFill="1" applyBorder="1"/>
    <xf numFmtId="2" fontId="0" fillId="24" borderId="235" xfId="0" applyNumberFormat="1" applyFill="1" applyBorder="1"/>
    <xf numFmtId="2" fontId="0" fillId="24" borderId="240" xfId="0" applyNumberFormat="1" applyFill="1" applyBorder="1"/>
    <xf numFmtId="0" fontId="226" fillId="24" borderId="248" xfId="0" applyFont="1" applyFill="1" applyBorder="1" applyAlignment="1">
      <alignment horizontal="left" vertical="center" wrapText="1"/>
    </xf>
    <xf numFmtId="0" fontId="202" fillId="24" borderId="233" xfId="0" applyFont="1" applyFill="1" applyBorder="1" applyAlignment="1">
      <alignment horizontal="left" vertical="center" wrapText="1"/>
    </xf>
    <xf numFmtId="0" fontId="0" fillId="26" borderId="295" xfId="0" applyFill="1" applyBorder="1" applyAlignment="1" applyProtection="1">
      <alignment vertical="top" wrapText="1"/>
      <protection locked="0"/>
    </xf>
    <xf numFmtId="0" fontId="0" fillId="0" borderId="229" xfId="0" applyBorder="1" applyAlignment="1" applyProtection="1">
      <alignment vertical="top" wrapText="1"/>
      <protection locked="0"/>
    </xf>
    <xf numFmtId="0" fontId="0" fillId="0" borderId="246" xfId="0" applyBorder="1" applyAlignment="1" applyProtection="1">
      <alignment vertical="top" wrapText="1"/>
      <protection locked="0"/>
    </xf>
    <xf numFmtId="0" fontId="202" fillId="27" borderId="264" xfId="0" applyFont="1" applyFill="1" applyBorder="1" applyAlignment="1">
      <alignment horizontal="center" vertical="center" wrapText="1"/>
    </xf>
    <xf numFmtId="0" fontId="266" fillId="27" borderId="4" xfId="0" applyFont="1" applyFill="1" applyBorder="1" applyAlignment="1">
      <alignment horizontal="center" vertical="center" wrapText="1"/>
    </xf>
    <xf numFmtId="0" fontId="0" fillId="26" borderId="256" xfId="0" applyFill="1" applyBorder="1" applyAlignment="1">
      <alignment vertical="center" wrapText="1"/>
    </xf>
    <xf numFmtId="0" fontId="0" fillId="26" borderId="256" xfId="0" applyFill="1" applyBorder="1" applyAlignment="1" applyProtection="1">
      <alignment horizontal="left" vertical="center" wrapText="1"/>
      <protection locked="0"/>
    </xf>
    <xf numFmtId="0" fontId="0" fillId="26" borderId="255" xfId="0" applyFill="1" applyBorder="1" applyAlignment="1" applyProtection="1">
      <alignment horizontal="left" vertical="center" wrapText="1"/>
      <protection locked="0"/>
    </xf>
    <xf numFmtId="0" fontId="226" fillId="26" borderId="282" xfId="0" applyFont="1" applyFill="1" applyBorder="1" applyAlignment="1" applyProtection="1">
      <alignment vertical="center" wrapText="1"/>
      <protection locked="0"/>
    </xf>
    <xf numFmtId="2" fontId="242" fillId="24" borderId="242" xfId="0" applyNumberFormat="1" applyFont="1" applyFill="1" applyBorder="1" applyAlignment="1">
      <alignment horizontal="center" vertical="center" wrapText="1"/>
    </xf>
    <xf numFmtId="0" fontId="0" fillId="24" borderId="233" xfId="0" applyFill="1" applyBorder="1"/>
    <xf numFmtId="0" fontId="0" fillId="24" borderId="238" xfId="0" applyFill="1" applyBorder="1"/>
    <xf numFmtId="0" fontId="0" fillId="24" borderId="244" xfId="0" applyFill="1" applyBorder="1"/>
    <xf numFmtId="0" fontId="0" fillId="24" borderId="235" xfId="0" applyFill="1" applyBorder="1"/>
    <xf numFmtId="0" fontId="0" fillId="24" borderId="240" xfId="0" applyFill="1" applyBorder="1"/>
    <xf numFmtId="0" fontId="226" fillId="24" borderId="233" xfId="0" applyFont="1" applyFill="1" applyBorder="1" applyAlignment="1">
      <alignment horizontal="left" vertical="center" wrapText="1"/>
    </xf>
    <xf numFmtId="0" fontId="226" fillId="24" borderId="234" xfId="0" applyFont="1" applyFill="1" applyBorder="1" applyAlignment="1">
      <alignment horizontal="left" vertical="center" wrapText="1"/>
    </xf>
    <xf numFmtId="0" fontId="226" fillId="24" borderId="246" xfId="0" applyFont="1" applyFill="1" applyBorder="1" applyAlignment="1">
      <alignment horizontal="left" vertical="center" wrapText="1"/>
    </xf>
    <xf numFmtId="49" fontId="226" fillId="26" borderId="281" xfId="0" applyNumberFormat="1" applyFont="1" applyFill="1" applyBorder="1" applyAlignment="1" applyProtection="1">
      <alignment horizontal="center" vertical="center" wrapText="1"/>
      <protection locked="0"/>
    </xf>
    <xf numFmtId="49" fontId="202" fillId="26" borderId="281" xfId="0" applyNumberFormat="1" applyFont="1" applyFill="1" applyBorder="1" applyAlignment="1" applyProtection="1">
      <alignment horizontal="center" vertical="center" wrapText="1"/>
      <protection locked="0"/>
    </xf>
    <xf numFmtId="0" fontId="202" fillId="24" borderId="229" xfId="0" applyFont="1" applyFill="1" applyBorder="1" applyAlignment="1">
      <alignment horizontal="left" vertical="center" wrapText="1"/>
    </xf>
    <xf numFmtId="0" fontId="209" fillId="24" borderId="233" xfId="0" applyFont="1" applyFill="1" applyBorder="1" applyAlignment="1">
      <alignment horizontal="left" vertical="center" wrapText="1"/>
    </xf>
    <xf numFmtId="0" fontId="203" fillId="24" borderId="233" xfId="0" applyFont="1" applyFill="1" applyBorder="1" applyAlignment="1">
      <alignment horizontal="left" vertical="center" wrapText="1"/>
    </xf>
    <xf numFmtId="0" fontId="203" fillId="24" borderId="234" xfId="0" applyFont="1" applyFill="1" applyBorder="1" applyAlignment="1">
      <alignment horizontal="left" vertical="center" wrapText="1"/>
    </xf>
    <xf numFmtId="0" fontId="202" fillId="24" borderId="234" xfId="0" applyFont="1" applyFill="1" applyBorder="1" applyAlignment="1">
      <alignment horizontal="left" vertical="center" wrapText="1"/>
    </xf>
    <xf numFmtId="0" fontId="209" fillId="24" borderId="229" xfId="0" applyFont="1" applyFill="1" applyBorder="1" applyAlignment="1">
      <alignment horizontal="left" vertical="center" wrapText="1"/>
    </xf>
    <xf numFmtId="0" fontId="206" fillId="26" borderId="287" xfId="0" applyFont="1" applyFill="1" applyBorder="1" applyAlignment="1" applyProtection="1">
      <alignment horizontal="center" vertical="top" wrapText="1"/>
      <protection locked="0"/>
    </xf>
    <xf numFmtId="0" fontId="235" fillId="24" borderId="233" xfId="0" applyFont="1" applyFill="1" applyBorder="1" applyAlignment="1">
      <alignment horizontal="left" vertical="center" wrapText="1"/>
    </xf>
    <xf numFmtId="0" fontId="235" fillId="24" borderId="234" xfId="0" applyFont="1" applyFill="1" applyBorder="1" applyAlignment="1">
      <alignment horizontal="left" vertical="center" wrapText="1"/>
    </xf>
    <xf numFmtId="16" fontId="204" fillId="24" borderId="0" xfId="0" applyNumberFormat="1" applyFont="1" applyFill="1" applyAlignment="1">
      <alignment horizontal="center" vertical="center" wrapText="1"/>
    </xf>
    <xf numFmtId="0" fontId="272" fillId="24" borderId="168" xfId="0" applyFont="1" applyFill="1" applyBorder="1" applyAlignment="1">
      <alignment horizontal="center" textRotation="255" shrinkToFit="1" readingOrder="1"/>
    </xf>
    <xf numFmtId="0" fontId="207" fillId="24" borderId="226" xfId="0" applyFont="1" applyFill="1" applyBorder="1" applyAlignment="1">
      <alignment horizontal="center" vertical="center" wrapText="1"/>
    </xf>
    <xf numFmtId="0" fontId="207" fillId="24" borderId="230" xfId="0" applyFont="1" applyFill="1" applyBorder="1" applyAlignment="1">
      <alignment horizontal="center" vertical="center" wrapText="1"/>
    </xf>
    <xf numFmtId="0" fontId="207" fillId="24" borderId="218" xfId="0" applyFont="1" applyFill="1" applyBorder="1" applyAlignment="1">
      <alignment horizontal="center" vertical="center" wrapText="1"/>
    </xf>
    <xf numFmtId="0" fontId="207" fillId="24" borderId="227" xfId="0" applyFont="1" applyFill="1" applyBorder="1" applyAlignment="1">
      <alignment horizontal="center" vertical="center" wrapText="1"/>
    </xf>
    <xf numFmtId="0" fontId="207" fillId="24" borderId="222" xfId="0" applyFont="1" applyFill="1" applyBorder="1" applyAlignment="1">
      <alignment horizontal="center" vertical="center" wrapText="1"/>
    </xf>
    <xf numFmtId="0" fontId="207" fillId="24" borderId="231" xfId="0" applyFont="1" applyFill="1" applyBorder="1" applyAlignment="1">
      <alignment vertical="center" wrapText="1"/>
    </xf>
    <xf numFmtId="0" fontId="233" fillId="24" borderId="228" xfId="0" applyFont="1" applyFill="1" applyBorder="1" applyAlignment="1">
      <alignment horizontal="center" vertical="center" wrapText="1"/>
    </xf>
    <xf numFmtId="0" fontId="233" fillId="24" borderId="0" xfId="0" applyFont="1" applyFill="1" applyAlignment="1">
      <alignment horizontal="center" vertical="center" wrapText="1"/>
    </xf>
    <xf numFmtId="0" fontId="233" fillId="24" borderId="219" xfId="0" applyFont="1" applyFill="1" applyBorder="1" applyAlignment="1">
      <alignment horizontal="center" vertical="center" wrapText="1"/>
    </xf>
    <xf numFmtId="0" fontId="233" fillId="24" borderId="216" xfId="0" applyFont="1" applyFill="1" applyBorder="1" applyAlignment="1">
      <alignment horizontal="center" vertical="center" wrapText="1"/>
    </xf>
    <xf numFmtId="0" fontId="235" fillId="24" borderId="0" xfId="0" applyFont="1" applyFill="1" applyAlignment="1">
      <alignment horizontal="left" vertical="center" wrapText="1"/>
    </xf>
    <xf numFmtId="0" fontId="235" fillId="24" borderId="229" xfId="0" applyFont="1" applyFill="1" applyBorder="1" applyAlignment="1">
      <alignment horizontal="left" vertical="center" wrapText="1"/>
    </xf>
    <xf numFmtId="0" fontId="200" fillId="0" borderId="0" xfId="7" applyNumberFormat="1" applyFont="1" applyBorder="1" applyAlignment="1" applyProtection="1">
      <alignment horizontal="left" vertical="center" wrapText="1"/>
      <protection hidden="1"/>
    </xf>
    <xf numFmtId="0" fontId="200" fillId="0" borderId="0" xfId="7" applyFont="1" applyBorder="1" applyAlignment="1" applyProtection="1">
      <alignment vertical="center" wrapText="1"/>
      <protection hidden="1"/>
    </xf>
    <xf numFmtId="0" fontId="212" fillId="24" borderId="0" xfId="0" applyFont="1" applyFill="1" applyAlignment="1">
      <alignment horizontal="right" vertical="center" wrapText="1"/>
    </xf>
    <xf numFmtId="1" fontId="212" fillId="0" borderId="0" xfId="7" applyNumberFormat="1" applyFont="1" applyBorder="1" applyAlignment="1">
      <alignment horizontal="right" vertical="center" wrapText="1"/>
    </xf>
    <xf numFmtId="0" fontId="212" fillId="0" borderId="0" xfId="7" applyNumberFormat="1" applyFont="1" applyBorder="1" applyAlignment="1">
      <alignment horizontal="center" vertical="center"/>
    </xf>
    <xf numFmtId="0" fontId="200" fillId="0" borderId="0" xfId="7" applyNumberFormat="1" applyFont="1" applyBorder="1" applyAlignment="1">
      <alignment vertical="center"/>
    </xf>
    <xf numFmtId="173" fontId="212" fillId="0" borderId="0" xfId="7" quotePrefix="1" applyNumberFormat="1" applyFont="1" applyBorder="1" applyAlignment="1">
      <alignment horizontal="right" vertical="center"/>
    </xf>
    <xf numFmtId="0" fontId="214" fillId="0" borderId="0" xfId="7" applyNumberFormat="1" applyFont="1" applyBorder="1" applyAlignment="1" applyProtection="1">
      <alignment horizontal="center" vertical="center" wrapText="1"/>
      <protection hidden="1"/>
    </xf>
    <xf numFmtId="0" fontId="211" fillId="0" borderId="0" xfId="7" applyBorder="1" applyAlignment="1" applyProtection="1">
      <alignment vertical="center"/>
      <protection hidden="1"/>
    </xf>
    <xf numFmtId="0" fontId="217" fillId="0" borderId="201" xfId="7" applyNumberFormat="1" applyFont="1" applyBorder="1" applyAlignment="1">
      <alignment vertical="center"/>
    </xf>
    <xf numFmtId="0" fontId="211" fillId="0" borderId="201" xfId="7" applyBorder="1" applyAlignment="1">
      <alignment vertical="center"/>
    </xf>
    <xf numFmtId="0" fontId="217" fillId="2" borderId="213" xfId="7" applyNumberFormat="1" applyFont="1" applyFill="1" applyBorder="1" applyAlignment="1" applyProtection="1">
      <alignment horizontal="center" vertical="center"/>
      <protection locked="0"/>
    </xf>
    <xf numFmtId="0" fontId="211" fillId="2" borderId="213" xfId="7" applyFill="1" applyBorder="1" applyAlignment="1" applyProtection="1">
      <alignment horizontal="center" vertical="center"/>
      <protection locked="0"/>
    </xf>
    <xf numFmtId="0" fontId="218" fillId="0" borderId="0" xfId="7" applyFont="1" applyAlignment="1">
      <alignment vertical="center" wrapText="1"/>
    </xf>
    <xf numFmtId="0" fontId="221" fillId="2" borderId="206" xfId="7" applyFont="1" applyFill="1" applyBorder="1" applyAlignment="1" applyProtection="1">
      <alignment horizontal="left" vertical="center" wrapText="1"/>
      <protection locked="0"/>
    </xf>
    <xf numFmtId="0" fontId="0" fillId="0" borderId="206" xfId="0" applyBorder="1" applyAlignment="1" applyProtection="1">
      <alignment horizontal="left" vertical="center" wrapText="1"/>
      <protection locked="0"/>
    </xf>
    <xf numFmtId="0" fontId="217" fillId="0" borderId="0" xfId="7" applyNumberFormat="1" applyFont="1" applyBorder="1" applyAlignment="1">
      <alignment vertical="center"/>
    </xf>
    <xf numFmtId="0" fontId="211" fillId="0" borderId="0" xfId="7" applyAlignment="1">
      <alignment vertical="center"/>
    </xf>
    <xf numFmtId="0" fontId="221" fillId="2" borderId="204" xfId="7" applyFont="1" applyFill="1" applyBorder="1" applyAlignment="1" applyProtection="1">
      <alignment horizontal="center" vertical="center" wrapText="1"/>
      <protection locked="0"/>
    </xf>
    <xf numFmtId="0" fontId="221" fillId="2" borderId="206" xfId="7" applyFont="1" applyFill="1" applyBorder="1" applyAlignment="1" applyProtection="1">
      <alignment horizontal="center" vertical="center" shrinkToFit="1"/>
      <protection locked="0"/>
    </xf>
    <xf numFmtId="0" fontId="218" fillId="0" borderId="0" xfId="7" applyFont="1" applyBorder="1" applyAlignment="1">
      <alignment vertical="center" wrapText="1"/>
    </xf>
    <xf numFmtId="0" fontId="221" fillId="2" borderId="206" xfId="7" applyFont="1" applyFill="1" applyBorder="1" applyAlignment="1" applyProtection="1">
      <alignment horizontal="center" vertical="center" wrapText="1"/>
      <protection locked="0"/>
    </xf>
    <xf numFmtId="1" fontId="218" fillId="0" borderId="0" xfId="7" applyNumberFormat="1" applyFont="1" applyBorder="1" applyAlignment="1">
      <alignment horizontal="left" vertical="center" wrapText="1"/>
    </xf>
    <xf numFmtId="0" fontId="218" fillId="0" borderId="0" xfId="7" applyFont="1" applyAlignment="1">
      <alignment horizontal="left" vertical="center" wrapText="1"/>
    </xf>
    <xf numFmtId="0" fontId="222" fillId="2" borderId="206" xfId="7" applyFont="1" applyFill="1" applyBorder="1" applyAlignment="1" applyProtection="1">
      <alignment horizontal="left" wrapText="1"/>
      <protection locked="0"/>
    </xf>
    <xf numFmtId="0" fontId="221" fillId="2" borderId="206" xfId="7" applyFont="1" applyFill="1" applyBorder="1" applyAlignment="1" applyProtection="1">
      <alignment horizontal="left" wrapText="1"/>
      <protection locked="0"/>
    </xf>
    <xf numFmtId="164" fontId="217" fillId="2" borderId="204" xfId="7" applyNumberFormat="1" applyFont="1" applyFill="1" applyBorder="1" applyAlignment="1" applyProtection="1">
      <alignment vertical="center"/>
      <protection locked="0"/>
    </xf>
    <xf numFmtId="164" fontId="211" fillId="2" borderId="204" xfId="7" applyNumberFormat="1" applyFill="1" applyBorder="1" applyAlignment="1" applyProtection="1">
      <alignment vertical="center"/>
      <protection locked="0"/>
    </xf>
    <xf numFmtId="1" fontId="217" fillId="0" borderId="0" xfId="7" applyNumberFormat="1" applyFont="1" applyBorder="1" applyAlignment="1">
      <alignment horizontal="center" vertical="center"/>
    </xf>
    <xf numFmtId="0" fontId="217" fillId="0" borderId="203" xfId="7" applyNumberFormat="1" applyFont="1" applyBorder="1" applyAlignment="1">
      <alignment horizontal="right" vertical="center" wrapText="1" shrinkToFit="1"/>
    </xf>
    <xf numFmtId="1" fontId="200" fillId="0" borderId="0" xfId="7" applyNumberFormat="1" applyFont="1" applyBorder="1" applyAlignment="1">
      <alignment horizontal="right" vertical="center" wrapText="1" shrinkToFit="1"/>
    </xf>
    <xf numFmtId="0" fontId="217" fillId="2" borderId="204" xfId="7" applyNumberFormat="1" applyFont="1" applyFill="1" applyBorder="1" applyAlignment="1" applyProtection="1">
      <alignment horizontal="center" vertical="center"/>
      <protection locked="0"/>
    </xf>
    <xf numFmtId="0" fontId="217" fillId="0" borderId="0" xfId="7" applyNumberFormat="1" applyFont="1" applyBorder="1" applyAlignment="1">
      <alignment horizontal="right" vertical="center"/>
    </xf>
    <xf numFmtId="0" fontId="217" fillId="0" borderId="0" xfId="7" applyNumberFormat="1" applyFont="1" applyBorder="1" applyAlignment="1">
      <alignment horizontal="center" vertical="center"/>
    </xf>
    <xf numFmtId="174" fontId="217" fillId="2" borderId="1" xfId="7" applyNumberFormat="1" applyFont="1" applyFill="1" applyBorder="1" applyAlignment="1" applyProtection="1">
      <alignment horizontal="center" vertical="center"/>
      <protection locked="0"/>
    </xf>
    <xf numFmtId="0" fontId="200" fillId="0" borderId="0" xfId="7" applyNumberFormat="1" applyFont="1" applyAlignment="1">
      <alignment horizontal="center" vertical="center"/>
    </xf>
    <xf numFmtId="1" fontId="217" fillId="35" borderId="0" xfId="7" applyNumberFormat="1" applyFont="1" applyFill="1" applyBorder="1" applyAlignment="1">
      <alignment horizontal="right" vertical="center"/>
    </xf>
    <xf numFmtId="0" fontId="217" fillId="35" borderId="0" xfId="7" applyNumberFormat="1" applyFont="1" applyFill="1" applyBorder="1" applyAlignment="1">
      <alignment vertical="center"/>
    </xf>
    <xf numFmtId="0" fontId="200" fillId="35" borderId="0" xfId="7" applyNumberFormat="1" applyFont="1" applyFill="1" applyBorder="1" applyAlignment="1" applyProtection="1">
      <alignment horizontal="right" vertical="center"/>
    </xf>
    <xf numFmtId="0" fontId="217" fillId="35" borderId="0" xfId="7" applyNumberFormat="1" applyFont="1" applyFill="1" applyBorder="1" applyAlignment="1" applyProtection="1">
      <alignment horizontal="right" vertical="center" wrapText="1"/>
    </xf>
    <xf numFmtId="0" fontId="217" fillId="35" borderId="0" xfId="7" applyFont="1" applyFill="1" applyBorder="1" applyAlignment="1" applyProtection="1">
      <alignment horizontal="right" vertical="center" wrapText="1"/>
    </xf>
    <xf numFmtId="0" fontId="217" fillId="0" borderId="0" xfId="7" applyNumberFormat="1" applyFont="1" applyBorder="1" applyAlignment="1" applyProtection="1">
      <alignment vertical="center"/>
    </xf>
    <xf numFmtId="0" fontId="0" fillId="0" borderId="0" xfId="0" applyAlignment="1">
      <alignment vertical="center"/>
    </xf>
    <xf numFmtId="0" fontId="232" fillId="0" borderId="0" xfId="7" applyNumberFormat="1" applyFont="1" applyBorder="1" applyAlignment="1">
      <alignment horizontal="left" vertical="center"/>
    </xf>
    <xf numFmtId="1" fontId="232" fillId="0" borderId="0" xfId="7" applyNumberFormat="1" applyFont="1" applyBorder="1" applyAlignment="1">
      <alignment horizontal="left" vertical="center"/>
    </xf>
    <xf numFmtId="0" fontId="269" fillId="6" borderId="0" xfId="7" applyNumberFormat="1" applyFont="1" applyFill="1" applyBorder="1" applyAlignment="1">
      <alignment vertical="center"/>
    </xf>
    <xf numFmtId="14" fontId="222" fillId="2" borderId="204" xfId="7" applyNumberFormat="1" applyFont="1" applyFill="1" applyBorder="1" applyAlignment="1" applyProtection="1">
      <alignment horizontal="center" vertical="center" wrapText="1"/>
      <protection locked="0"/>
    </xf>
    <xf numFmtId="0" fontId="217" fillId="0" borderId="0" xfId="7" applyNumberFormat="1" applyFont="1" applyBorder="1" applyAlignment="1">
      <alignment vertical="center" wrapText="1"/>
    </xf>
    <xf numFmtId="0" fontId="217" fillId="0" borderId="0" xfId="7" applyNumberFormat="1" applyFont="1" applyBorder="1" applyAlignment="1">
      <alignment horizontal="center" vertical="center" wrapText="1"/>
    </xf>
    <xf numFmtId="0" fontId="219" fillId="0" borderId="0" xfId="7" applyFont="1" applyBorder="1" applyAlignment="1">
      <alignment horizontal="center" vertical="center" wrapText="1"/>
    </xf>
    <xf numFmtId="0" fontId="217" fillId="0" borderId="0" xfId="7" applyNumberFormat="1" applyFont="1" applyBorder="1" applyAlignment="1">
      <alignment horizontal="left" vertical="center"/>
    </xf>
    <xf numFmtId="1" fontId="217" fillId="0" borderId="0" xfId="7" applyNumberFormat="1" applyFont="1" applyBorder="1" applyAlignment="1">
      <alignment horizontal="left" vertical="center"/>
    </xf>
    <xf numFmtId="1" fontId="217" fillId="0" borderId="0" xfId="7" applyNumberFormat="1" applyFont="1" applyBorder="1" applyAlignment="1" applyProtection="1">
      <alignment horizontal="center" vertical="center"/>
    </xf>
    <xf numFmtId="1" fontId="217" fillId="2" borderId="206" xfId="7" applyNumberFormat="1" applyFont="1" applyFill="1" applyBorder="1" applyAlignment="1" applyProtection="1">
      <alignment horizontal="left" vertical="center"/>
      <protection locked="0"/>
    </xf>
    <xf numFmtId="0" fontId="200" fillId="2" borderId="206" xfId="7" applyNumberFormat="1" applyFont="1" applyFill="1" applyBorder="1" applyAlignment="1" applyProtection="1">
      <alignment horizontal="left" vertical="center"/>
      <protection locked="0"/>
    </xf>
    <xf numFmtId="0" fontId="333" fillId="6" borderId="0" xfId="7" applyNumberFormat="1" applyFont="1" applyFill="1" applyBorder="1" applyAlignment="1">
      <alignment vertical="center"/>
    </xf>
    <xf numFmtId="0" fontId="219" fillId="0" borderId="0" xfId="7" applyFont="1" applyBorder="1" applyAlignment="1">
      <alignment vertical="center"/>
    </xf>
    <xf numFmtId="0" fontId="217" fillId="2" borderId="204" xfId="7" applyFont="1" applyFill="1" applyBorder="1" applyAlignment="1" applyProtection="1">
      <alignment horizontal="right" vertical="center"/>
      <protection locked="0"/>
    </xf>
    <xf numFmtId="0" fontId="217" fillId="2" borderId="204" xfId="7" applyFont="1" applyFill="1" applyBorder="1" applyAlignment="1" applyProtection="1">
      <alignment vertical="center"/>
      <protection locked="0"/>
    </xf>
    <xf numFmtId="0" fontId="217" fillId="0" borderId="0" xfId="7" applyNumberFormat="1" applyFont="1" applyBorder="1" applyAlignment="1" applyProtection="1">
      <alignment horizontal="left" vertical="center"/>
    </xf>
    <xf numFmtId="1" fontId="217" fillId="0" borderId="0" xfId="7" applyNumberFormat="1" applyFont="1" applyBorder="1" applyAlignment="1" applyProtection="1">
      <alignment horizontal="left" vertical="center"/>
    </xf>
    <xf numFmtId="1" fontId="200" fillId="0" borderId="0" xfId="7" applyNumberFormat="1" applyFont="1" applyBorder="1" applyAlignment="1">
      <alignment horizontal="left" vertical="center"/>
    </xf>
    <xf numFmtId="1" fontId="200" fillId="0" borderId="0" xfId="7" applyNumberFormat="1" applyFont="1" applyBorder="1" applyAlignment="1">
      <alignment horizontal="center" vertical="center"/>
    </xf>
    <xf numFmtId="1" fontId="229" fillId="0" borderId="211" xfId="7" applyNumberFormat="1" applyFont="1" applyBorder="1" applyAlignment="1" applyProtection="1">
      <alignment horizontal="left" vertical="center"/>
    </xf>
    <xf numFmtId="1" fontId="200" fillId="0" borderId="211" xfId="7" applyNumberFormat="1" applyFont="1" applyBorder="1" applyAlignment="1" applyProtection="1">
      <alignment horizontal="center" vertical="center"/>
    </xf>
    <xf numFmtId="0" fontId="44" fillId="24" borderId="0" xfId="0" applyFont="1" applyFill="1" applyAlignment="1">
      <alignment horizontal="right" wrapText="1"/>
    </xf>
    <xf numFmtId="0" fontId="0" fillId="0" borderId="0" xfId="0" applyAlignment="1">
      <alignment wrapText="1"/>
    </xf>
    <xf numFmtId="0" fontId="44" fillId="24" borderId="0" xfId="0" applyFont="1" applyFill="1" applyAlignment="1">
      <alignment horizontal="center" wrapText="1"/>
    </xf>
    <xf numFmtId="0" fontId="263" fillId="24" borderId="0" xfId="0" applyFont="1" applyFill="1" applyAlignment="1">
      <alignment horizontal="center" vertical="top" wrapText="1"/>
    </xf>
    <xf numFmtId="0" fontId="0" fillId="24" borderId="0" xfId="0" applyFill="1" applyAlignment="1">
      <alignment wrapText="1"/>
    </xf>
    <xf numFmtId="173" fontId="44" fillId="24" borderId="0" xfId="0" applyNumberFormat="1" applyFont="1" applyFill="1" applyAlignment="1">
      <alignment horizontal="right" vertical="top" wrapText="1"/>
    </xf>
    <xf numFmtId="0" fontId="0" fillId="24" borderId="0" xfId="0" applyFill="1" applyAlignment="1">
      <alignment horizontal="right" vertical="top" wrapText="1"/>
    </xf>
    <xf numFmtId="0" fontId="262" fillId="24" borderId="0" xfId="0" applyFont="1" applyFill="1" applyAlignment="1">
      <alignment horizontal="center" vertical="top" wrapText="1"/>
    </xf>
    <xf numFmtId="0" fontId="261" fillId="24" borderId="0" xfId="0" applyFont="1" applyFill="1" applyAlignment="1">
      <alignment horizontal="left" shrinkToFit="1"/>
    </xf>
    <xf numFmtId="0" fontId="253" fillId="24" borderId="204" xfId="0" applyFont="1" applyFill="1" applyBorder="1" applyAlignment="1">
      <alignment horizontal="center" wrapText="1"/>
    </xf>
    <xf numFmtId="0" fontId="261" fillId="24" borderId="0" xfId="0" applyFont="1" applyFill="1" applyAlignment="1">
      <alignment wrapText="1"/>
    </xf>
    <xf numFmtId="0" fontId="261" fillId="24" borderId="204" xfId="0" applyFont="1" applyFill="1" applyBorder="1" applyAlignment="1">
      <alignment horizontal="center" vertical="center"/>
    </xf>
    <xf numFmtId="0" fontId="261" fillId="24" borderId="0" xfId="0" applyFont="1" applyFill="1" applyAlignment="1">
      <alignment horizontal="left" wrapText="1"/>
    </xf>
    <xf numFmtId="0" fontId="253" fillId="24" borderId="204" xfId="0" applyFont="1" applyFill="1" applyBorder="1" applyAlignment="1">
      <alignment horizontal="left" wrapText="1"/>
    </xf>
    <xf numFmtId="0" fontId="261" fillId="24" borderId="204" xfId="0" applyFont="1" applyFill="1" applyBorder="1" applyAlignment="1">
      <alignment horizontal="center" vertical="center" shrinkToFit="1"/>
    </xf>
    <xf numFmtId="0" fontId="217" fillId="2" borderId="204" xfId="0" applyFont="1" applyFill="1" applyBorder="1" applyAlignment="1" applyProtection="1">
      <alignment horizontal="center" vertical="center" wrapText="1"/>
      <protection locked="0"/>
    </xf>
    <xf numFmtId="0" fontId="251" fillId="2" borderId="204" xfId="0" applyFont="1" applyFill="1" applyBorder="1" applyAlignment="1" applyProtection="1">
      <alignment horizontal="center" wrapText="1"/>
      <protection locked="0"/>
    </xf>
    <xf numFmtId="164" fontId="261" fillId="2" borderId="206" xfId="0" applyNumberFormat="1" applyFont="1" applyFill="1" applyBorder="1" applyAlignment="1" applyProtection="1">
      <alignment horizontal="right" wrapText="1"/>
      <protection locked="0"/>
    </xf>
    <xf numFmtId="0" fontId="253" fillId="0" borderId="0" xfId="0" applyFont="1" applyAlignment="1">
      <alignment horizontal="left"/>
    </xf>
    <xf numFmtId="0" fontId="261" fillId="24" borderId="0" xfId="0" applyFont="1" applyFill="1" applyAlignment="1">
      <alignment horizontal="center"/>
    </xf>
    <xf numFmtId="0" fontId="253" fillId="2" borderId="204" xfId="0" applyFont="1" applyFill="1" applyBorder="1" applyAlignment="1" applyProtection="1">
      <alignment horizontal="center" wrapText="1"/>
      <protection locked="0"/>
    </xf>
    <xf numFmtId="172" fontId="261" fillId="2" borderId="204" xfId="0" applyNumberFormat="1" applyFont="1" applyFill="1" applyBorder="1" applyAlignment="1" applyProtection="1">
      <alignment horizontal="right" wrapText="1"/>
      <protection locked="0"/>
    </xf>
    <xf numFmtId="0" fontId="251" fillId="24" borderId="0" xfId="0" applyFont="1" applyFill="1" applyAlignment="1">
      <alignment horizontal="left"/>
    </xf>
    <xf numFmtId="0" fontId="251" fillId="2" borderId="1" xfId="0" applyFont="1" applyFill="1" applyBorder="1" applyAlignment="1" applyProtection="1">
      <alignment horizontal="center"/>
      <protection locked="0"/>
    </xf>
    <xf numFmtId="0" fontId="251" fillId="24" borderId="0" xfId="0" applyFont="1" applyFill="1" applyAlignment="1">
      <alignment horizontal="left" wrapText="1"/>
    </xf>
    <xf numFmtId="0" fontId="251" fillId="2" borderId="1" xfId="0" applyFont="1" applyFill="1" applyBorder="1" applyAlignment="1" applyProtection="1">
      <alignment horizontal="center" vertical="center"/>
      <protection locked="0"/>
    </xf>
    <xf numFmtId="0" fontId="253" fillId="24" borderId="0" xfId="0" applyFont="1" applyFill="1" applyAlignment="1">
      <alignment horizontal="left" wrapText="1"/>
    </xf>
    <xf numFmtId="0" fontId="48" fillId="24" borderId="0" xfId="0" applyFont="1" applyFill="1" applyAlignment="1">
      <alignment horizontal="center"/>
    </xf>
    <xf numFmtId="0" fontId="0" fillId="24" borderId="0" xfId="0" applyFill="1" applyAlignment="1">
      <alignment horizontal="center"/>
    </xf>
    <xf numFmtId="0" fontId="31" fillId="24" borderId="0" xfId="0" applyFont="1" applyFill="1" applyAlignment="1" applyProtection="1">
      <alignment horizontal="right" wrapText="1"/>
      <protection locked="0"/>
    </xf>
    <xf numFmtId="0" fontId="31" fillId="0" borderId="0" xfId="0" applyFont="1" applyAlignment="1">
      <alignment horizontal="right" wrapText="1"/>
    </xf>
    <xf numFmtId="0" fontId="31" fillId="26" borderId="1" xfId="0" applyFont="1" applyFill="1" applyBorder="1" applyAlignment="1" applyProtection="1">
      <alignment horizontal="center"/>
      <protection locked="0"/>
    </xf>
    <xf numFmtId="0" fontId="22" fillId="6" borderId="0" xfId="0" applyFont="1" applyFill="1" applyAlignment="1">
      <alignment horizontal="left" vertical="center"/>
    </xf>
    <xf numFmtId="0" fontId="337" fillId="24" borderId="0" xfId="0" applyFont="1" applyFill="1" applyAlignment="1">
      <alignment horizontal="left"/>
    </xf>
    <xf numFmtId="0" fontId="252" fillId="24" borderId="0" xfId="0" applyFont="1" applyFill="1" applyAlignment="1">
      <alignment horizontal="left"/>
    </xf>
    <xf numFmtId="0" fontId="251" fillId="24" borderId="0" xfId="0" applyFont="1" applyFill="1" applyAlignment="1">
      <alignment horizontal="left" vertical="top"/>
    </xf>
    <xf numFmtId="0" fontId="251" fillId="2" borderId="0" xfId="0" applyFont="1" applyFill="1" applyAlignment="1" applyProtection="1">
      <alignment horizontal="center" vertical="center"/>
      <protection locked="0"/>
    </xf>
    <xf numFmtId="0" fontId="252" fillId="24" borderId="0" xfId="0" applyFont="1" applyFill="1" applyAlignment="1">
      <alignment horizontal="center" vertical="center" wrapText="1"/>
    </xf>
    <xf numFmtId="0" fontId="251" fillId="24" borderId="0" xfId="0" applyFont="1" applyFill="1" applyAlignment="1">
      <alignment horizontal="center" vertical="center" wrapText="1"/>
    </xf>
    <xf numFmtId="0" fontId="260" fillId="24" borderId="0" xfId="0" applyFont="1" applyFill="1" applyAlignment="1">
      <alignment horizontal="left" vertical="center" wrapText="1"/>
    </xf>
    <xf numFmtId="0" fontId="251" fillId="24" borderId="0" xfId="0" applyFont="1" applyFill="1" applyAlignment="1">
      <alignment vertical="center" wrapText="1"/>
    </xf>
    <xf numFmtId="0" fontId="0" fillId="24" borderId="0" xfId="0" applyFill="1" applyAlignment="1">
      <alignment horizontal="left"/>
    </xf>
    <xf numFmtId="0" fontId="0" fillId="0" borderId="0" xfId="0" applyAlignment="1">
      <alignment horizontal="right"/>
    </xf>
    <xf numFmtId="0" fontId="198" fillId="24" borderId="0" xfId="0" applyFont="1" applyFill="1" applyAlignment="1">
      <alignment horizontal="left" vertical="center"/>
    </xf>
    <xf numFmtId="0" fontId="292" fillId="6" borderId="0" xfId="0" applyFont="1" applyFill="1" applyAlignment="1">
      <alignment horizontal="center" vertical="center"/>
    </xf>
    <xf numFmtId="0" fontId="251" fillId="24" borderId="0" xfId="0" applyFont="1" applyFill="1" applyAlignment="1">
      <alignment horizontal="right" wrapText="1"/>
    </xf>
    <xf numFmtId="0" fontId="283" fillId="24" borderId="0" xfId="0" applyFont="1" applyFill="1" applyAlignment="1">
      <alignment horizontal="left"/>
    </xf>
    <xf numFmtId="2" fontId="251" fillId="2" borderId="1" xfId="0" applyNumberFormat="1" applyFont="1" applyFill="1" applyBorder="1" applyAlignment="1" applyProtection="1">
      <alignment horizontal="center" vertical="center"/>
      <protection locked="0"/>
    </xf>
    <xf numFmtId="0" fontId="31" fillId="24" borderId="0" xfId="0" applyFont="1" applyFill="1" applyAlignment="1">
      <alignment horizontal="center"/>
    </xf>
    <xf numFmtId="0" fontId="283" fillId="6" borderId="0" xfId="0" applyFont="1" applyFill="1" applyAlignment="1">
      <alignment horizontal="left"/>
    </xf>
    <xf numFmtId="0" fontId="251" fillId="6" borderId="0" xfId="0" applyFont="1" applyFill="1"/>
    <xf numFmtId="0" fontId="251" fillId="6" borderId="0" xfId="0" applyFont="1" applyFill="1" applyAlignment="1">
      <alignment horizontal="left"/>
    </xf>
    <xf numFmtId="0" fontId="200" fillId="6" borderId="0" xfId="0" applyFont="1" applyFill="1" applyAlignment="1">
      <alignment horizontal="left"/>
    </xf>
    <xf numFmtId="0" fontId="106" fillId="24" borderId="0" xfId="0" applyFont="1" applyFill="1" applyAlignment="1">
      <alignment horizontal="center"/>
    </xf>
    <xf numFmtId="0" fontId="0" fillId="24" borderId="8" xfId="0" applyFill="1" applyBorder="1" applyAlignment="1">
      <alignment horizontal="right"/>
    </xf>
    <xf numFmtId="0" fontId="0" fillId="24" borderId="3" xfId="0" applyFill="1" applyBorder="1" applyAlignment="1">
      <alignment horizontal="right"/>
    </xf>
    <xf numFmtId="169" fontId="251" fillId="24" borderId="32" xfId="0" quotePrefix="1" applyNumberFormat="1" applyFont="1" applyFill="1" applyBorder="1" applyAlignment="1">
      <alignment horizontal="center" vertical="center"/>
    </xf>
    <xf numFmtId="169" fontId="251" fillId="24" borderId="32" xfId="0" applyNumberFormat="1" applyFont="1" applyFill="1" applyBorder="1" applyAlignment="1">
      <alignment horizontal="center" vertical="center"/>
    </xf>
    <xf numFmtId="169" fontId="251" fillId="24" borderId="21" xfId="0" applyNumberFormat="1" applyFont="1" applyFill="1" applyBorder="1" applyAlignment="1">
      <alignment horizontal="center" vertical="center"/>
    </xf>
    <xf numFmtId="0" fontId="253" fillId="24" borderId="0" xfId="0" applyFont="1" applyFill="1" applyAlignment="1">
      <alignment horizontal="left"/>
    </xf>
    <xf numFmtId="0" fontId="251" fillId="24" borderId="0" xfId="0" applyFont="1" applyFill="1" applyAlignment="1">
      <alignment horizontal="center" vertical="center"/>
    </xf>
    <xf numFmtId="0" fontId="0" fillId="24" borderId="7" xfId="0" applyFill="1" applyBorder="1" applyAlignment="1">
      <alignment horizontal="right"/>
    </xf>
    <xf numFmtId="0" fontId="0" fillId="24" borderId="0" xfId="0" applyFill="1" applyAlignment="1">
      <alignment horizontal="right"/>
    </xf>
    <xf numFmtId="169" fontId="251" fillId="24" borderId="1" xfId="0" applyNumberFormat="1" applyFont="1" applyFill="1" applyBorder="1" applyAlignment="1">
      <alignment horizontal="center" vertical="center"/>
    </xf>
    <xf numFmtId="169" fontId="251" fillId="24" borderId="12" xfId="0" applyNumberFormat="1" applyFont="1" applyFill="1" applyBorder="1" applyAlignment="1">
      <alignment horizontal="center" vertical="center"/>
    </xf>
    <xf numFmtId="0" fontId="0" fillId="24" borderId="0" xfId="0" applyFill="1" applyAlignment="1">
      <alignment horizontal="left" vertical="center" wrapText="1"/>
    </xf>
    <xf numFmtId="0" fontId="251" fillId="24" borderId="1" xfId="0" applyFont="1" applyFill="1" applyBorder="1" applyAlignment="1">
      <alignment horizontal="center" vertical="center"/>
    </xf>
    <xf numFmtId="0" fontId="251" fillId="24" borderId="12" xfId="0" applyFont="1" applyFill="1" applyBorder="1" applyAlignment="1">
      <alignment horizontal="center" vertical="center"/>
    </xf>
    <xf numFmtId="0" fontId="0" fillId="2" borderId="32" xfId="0" applyFill="1" applyBorder="1" applyAlignment="1" applyProtection="1">
      <alignment horizontal="left"/>
      <protection locked="0"/>
    </xf>
    <xf numFmtId="0" fontId="106" fillId="24" borderId="11" xfId="0" applyFont="1" applyFill="1" applyBorder="1" applyAlignment="1">
      <alignment horizontal="right"/>
    </xf>
    <xf numFmtId="0" fontId="106" fillId="24" borderId="1" xfId="0" applyFont="1" applyFill="1" applyBorder="1" applyAlignment="1">
      <alignment horizontal="right"/>
    </xf>
    <xf numFmtId="169" fontId="261" fillId="24" borderId="18" xfId="0" applyNumberFormat="1" applyFont="1" applyFill="1" applyBorder="1" applyAlignment="1">
      <alignment horizontal="center" vertical="center"/>
    </xf>
    <xf numFmtId="169" fontId="261" fillId="24" borderId="32" xfId="0" applyNumberFormat="1" applyFont="1" applyFill="1" applyBorder="1" applyAlignment="1">
      <alignment horizontal="center" vertical="center"/>
    </xf>
    <xf numFmtId="169" fontId="261" fillId="24" borderId="21" xfId="0" applyNumberFormat="1" applyFont="1" applyFill="1" applyBorder="1" applyAlignment="1">
      <alignment horizontal="center" vertical="center"/>
    </xf>
    <xf numFmtId="0" fontId="252" fillId="24" borderId="0" xfId="0" applyFont="1" applyFill="1" applyAlignment="1">
      <alignment horizontal="left" wrapText="1"/>
    </xf>
    <xf numFmtId="0" fontId="48" fillId="24" borderId="1" xfId="0" applyFont="1" applyFill="1" applyBorder="1"/>
    <xf numFmtId="0" fontId="0" fillId="0" borderId="1" xfId="0" applyBorder="1"/>
    <xf numFmtId="0" fontId="0" fillId="0" borderId="32" xfId="0" applyBorder="1" applyAlignment="1" applyProtection="1">
      <alignment horizontal="left"/>
      <protection locked="0"/>
    </xf>
    <xf numFmtId="0" fontId="176" fillId="0" borderId="0" xfId="0" applyFont="1" applyAlignment="1">
      <alignment horizontal="center" vertical="center"/>
    </xf>
    <xf numFmtId="0" fontId="176" fillId="0" borderId="9" xfId="0" applyFont="1" applyBorder="1" applyAlignment="1">
      <alignment horizontal="center" vertical="center"/>
    </xf>
    <xf numFmtId="0" fontId="152" fillId="0" borderId="18" xfId="0" applyFont="1" applyBorder="1" applyAlignment="1">
      <alignment horizontal="center" vertical="center"/>
    </xf>
    <xf numFmtId="0" fontId="152" fillId="0" borderId="32" xfId="0" applyFont="1" applyBorder="1" applyAlignment="1">
      <alignment horizontal="center" vertical="center"/>
    </xf>
    <xf numFmtId="0" fontId="152" fillId="0" borderId="3" xfId="0" applyFont="1" applyBorder="1" applyAlignment="1">
      <alignment horizontal="center" vertical="center"/>
    </xf>
    <xf numFmtId="0" fontId="152" fillId="0" borderId="21" xfId="0" applyFont="1" applyBorder="1" applyAlignment="1">
      <alignment horizontal="center" vertical="center"/>
    </xf>
    <xf numFmtId="0" fontId="285" fillId="0" borderId="265" xfId="6" applyFont="1" applyBorder="1" applyAlignment="1" applyProtection="1">
      <alignment horizontal="center" vertical="center"/>
      <protection locked="0"/>
    </xf>
    <xf numFmtId="0" fontId="285" fillId="0" borderId="263" xfId="6" applyFont="1" applyBorder="1" applyAlignment="1" applyProtection="1">
      <alignment horizontal="center" vertical="center"/>
      <protection locked="0"/>
    </xf>
    <xf numFmtId="0" fontId="285" fillId="0" borderId="40" xfId="6" applyFont="1" applyBorder="1" applyAlignment="1" applyProtection="1">
      <alignment horizontal="center" vertical="center"/>
      <protection locked="0"/>
    </xf>
    <xf numFmtId="0" fontId="285" fillId="0" borderId="42" xfId="6" applyFont="1" applyBorder="1" applyAlignment="1" applyProtection="1">
      <alignment horizontal="center" vertical="center"/>
      <protection locked="0"/>
    </xf>
    <xf numFmtId="0" fontId="58" fillId="0" borderId="3" xfId="0" applyFont="1" applyBorder="1" applyAlignment="1">
      <alignment horizontal="center" vertical="center"/>
    </xf>
    <xf numFmtId="0" fontId="58" fillId="0" borderId="286" xfId="0" applyFont="1" applyBorder="1" applyAlignment="1">
      <alignment horizontal="center" vertical="center"/>
    </xf>
    <xf numFmtId="0" fontId="58" fillId="0" borderId="1" xfId="0" applyFont="1" applyBorder="1" applyAlignment="1">
      <alignment horizontal="center" vertical="center"/>
    </xf>
    <xf numFmtId="0" fontId="58" fillId="0" borderId="12" xfId="0" applyFont="1" applyBorder="1" applyAlignment="1">
      <alignment horizontal="center" vertical="center"/>
    </xf>
    <xf numFmtId="0" fontId="58" fillId="0" borderId="18" xfId="6" applyFont="1" applyBorder="1" applyAlignment="1">
      <alignment horizontal="center" vertical="center"/>
    </xf>
    <xf numFmtId="0" fontId="58" fillId="0" borderId="21" xfId="6" applyFont="1" applyBorder="1" applyAlignment="1">
      <alignment horizontal="center" vertical="center"/>
    </xf>
    <xf numFmtId="0" fontId="58" fillId="0" borderId="8" xfId="6" applyFont="1" applyBorder="1" applyAlignment="1">
      <alignment horizontal="center" vertical="center"/>
    </xf>
    <xf numFmtId="0" fontId="58" fillId="0" borderId="3" xfId="6" applyFont="1" applyBorder="1" applyAlignment="1">
      <alignment horizontal="center" vertical="center"/>
    </xf>
    <xf numFmtId="0" fontId="58" fillId="0" borderId="286" xfId="6" applyFont="1" applyBorder="1" applyAlignment="1">
      <alignment horizontal="center" vertical="center"/>
    </xf>
    <xf numFmtId="0" fontId="1" fillId="0" borderId="18" xfId="6" applyFont="1" applyBorder="1" applyAlignment="1">
      <alignment horizontal="center" vertical="center"/>
    </xf>
    <xf numFmtId="0" fontId="1" fillId="0" borderId="21" xfId="6" applyFont="1" applyBorder="1" applyAlignment="1">
      <alignment horizontal="center" vertical="center"/>
    </xf>
    <xf numFmtId="0" fontId="128" fillId="0" borderId="11" xfId="6" applyFont="1" applyBorder="1" applyAlignment="1">
      <alignment horizontal="center" vertical="center"/>
    </xf>
    <xf numFmtId="0" fontId="128" fillId="0" borderId="1" xfId="6" applyFont="1" applyBorder="1" applyAlignment="1">
      <alignment horizontal="center" vertical="center"/>
    </xf>
    <xf numFmtId="0" fontId="128" fillId="0" borderId="12" xfId="6" applyFont="1" applyBorder="1" applyAlignment="1">
      <alignment horizontal="center" vertical="center"/>
    </xf>
    <xf numFmtId="0" fontId="1" fillId="0" borderId="15" xfId="6" applyFont="1" applyBorder="1" applyAlignment="1">
      <alignment horizontal="center" vertical="center" wrapText="1"/>
    </xf>
    <xf numFmtId="0" fontId="1" fillId="0" borderId="47" xfId="6" applyFont="1" applyBorder="1" applyAlignment="1">
      <alignment horizontal="center" vertical="center" wrapText="1"/>
    </xf>
    <xf numFmtId="0" fontId="176" fillId="0" borderId="14" xfId="6" applyFont="1" applyBorder="1" applyAlignment="1">
      <alignment horizontal="center" vertical="center"/>
    </xf>
    <xf numFmtId="0" fontId="59" fillId="0" borderId="14" xfId="6" applyFont="1" applyBorder="1" applyAlignment="1">
      <alignment horizontal="center" vertical="center"/>
    </xf>
    <xf numFmtId="0" fontId="0" fillId="0" borderId="18" xfId="0" applyBorder="1" applyAlignment="1">
      <alignment horizontal="center" vertical="center"/>
    </xf>
    <xf numFmtId="0" fontId="0" fillId="0" borderId="32" xfId="0" applyBorder="1" applyAlignment="1">
      <alignment horizontal="center" vertical="center"/>
    </xf>
    <xf numFmtId="0" fontId="286" fillId="33" borderId="324" xfId="0" applyFont="1" applyFill="1" applyBorder="1" applyAlignment="1">
      <alignment horizontal="left" vertical="center" wrapText="1"/>
    </xf>
    <xf numFmtId="0" fontId="286" fillId="33" borderId="268" xfId="0" applyFont="1" applyFill="1" applyBorder="1" applyAlignment="1">
      <alignment horizontal="left" vertical="center" wrapText="1"/>
    </xf>
    <xf numFmtId="0" fontId="286" fillId="33" borderId="325" xfId="0" applyFont="1" applyFill="1" applyBorder="1" applyAlignment="1">
      <alignment horizontal="left" vertical="center" wrapText="1"/>
    </xf>
    <xf numFmtId="0" fontId="286" fillId="33" borderId="326" xfId="0" applyFont="1" applyFill="1" applyBorder="1" applyAlignment="1">
      <alignment horizontal="left" vertical="center" wrapText="1"/>
    </xf>
    <xf numFmtId="0" fontId="286" fillId="33" borderId="0" xfId="0" applyFont="1" applyFill="1" applyAlignment="1">
      <alignment horizontal="left" vertical="center" wrapText="1"/>
    </xf>
    <xf numFmtId="0" fontId="286" fillId="33" borderId="163" xfId="0" applyFont="1" applyFill="1" applyBorder="1" applyAlignment="1">
      <alignment horizontal="left" vertical="center" wrapText="1"/>
    </xf>
    <xf numFmtId="0" fontId="286" fillId="33" borderId="327" xfId="0" applyFont="1" applyFill="1" applyBorder="1" applyAlignment="1">
      <alignment horizontal="left" vertical="center" wrapText="1"/>
    </xf>
    <xf numFmtId="0" fontId="286" fillId="33" borderId="328" xfId="0" applyFont="1" applyFill="1" applyBorder="1" applyAlignment="1">
      <alignment horizontal="left" vertical="center" wrapText="1"/>
    </xf>
    <xf numFmtId="0" fontId="286" fillId="33" borderId="329" xfId="0" applyFont="1" applyFill="1" applyBorder="1" applyAlignment="1">
      <alignment horizontal="left" vertical="center" wrapText="1"/>
    </xf>
    <xf numFmtId="0" fontId="30" fillId="33" borderId="0" xfId="0" applyFont="1" applyFill="1" applyAlignment="1">
      <alignment horizontal="left"/>
    </xf>
    <xf numFmtId="0" fontId="58" fillId="0" borderId="7" xfId="6" applyFont="1" applyBorder="1" applyAlignment="1">
      <alignment horizontal="center" vertical="center" wrapText="1"/>
    </xf>
    <xf numFmtId="0" fontId="58" fillId="0" borderId="9" xfId="6" applyFont="1" applyBorder="1" applyAlignment="1">
      <alignment horizontal="center" vertical="center" wrapText="1"/>
    </xf>
    <xf numFmtId="0" fontId="58" fillId="0" borderId="11" xfId="6" applyFont="1" applyBorder="1" applyAlignment="1">
      <alignment horizontal="center" vertical="center" wrapText="1"/>
    </xf>
    <xf numFmtId="0" fontId="58" fillId="0" borderId="12" xfId="6" applyFont="1" applyBorder="1" applyAlignment="1">
      <alignment horizontal="center" vertical="center" wrapText="1"/>
    </xf>
    <xf numFmtId="0" fontId="1" fillId="0" borderId="19" xfId="6" applyFont="1" applyBorder="1" applyAlignment="1">
      <alignment horizontal="center" vertical="center" wrapText="1"/>
    </xf>
    <xf numFmtId="0" fontId="1" fillId="0" borderId="12" xfId="0" applyFont="1" applyBorder="1" applyAlignment="1">
      <alignment horizontal="center" vertical="center"/>
    </xf>
    <xf numFmtId="0" fontId="1" fillId="0" borderId="19" xfId="0" applyFont="1" applyBorder="1" applyAlignment="1">
      <alignment horizontal="center" vertical="center"/>
    </xf>
    <xf numFmtId="0" fontId="30" fillId="0" borderId="0" xfId="0" applyFont="1" applyAlignment="1">
      <alignment horizontal="left"/>
    </xf>
    <xf numFmtId="0" fontId="0" fillId="0" borderId="0" xfId="0" applyAlignment="1">
      <alignment horizontal="center" wrapText="1"/>
    </xf>
    <xf numFmtId="0" fontId="0" fillId="0" borderId="28" xfId="0" applyBorder="1" applyAlignment="1">
      <alignment horizontal="center" wrapText="1"/>
    </xf>
    <xf numFmtId="0" fontId="58" fillId="0" borderId="18" xfId="0" applyFont="1" applyBorder="1" applyAlignment="1">
      <alignment horizontal="center" vertical="center"/>
    </xf>
    <xf numFmtId="0" fontId="58" fillId="0" borderId="32" xfId="0" applyFont="1" applyBorder="1" applyAlignment="1">
      <alignment horizontal="center" vertical="center"/>
    </xf>
    <xf numFmtId="0" fontId="58" fillId="0" borderId="177" xfId="0" applyFont="1" applyBorder="1" applyAlignment="1">
      <alignment horizontal="center" vertical="center"/>
    </xf>
    <xf numFmtId="0" fontId="58" fillId="0" borderId="21" xfId="0" applyFont="1" applyBorder="1" applyAlignment="1">
      <alignment horizontal="center" vertical="center"/>
    </xf>
    <xf numFmtId="0" fontId="0" fillId="0" borderId="1" xfId="0" applyBorder="1" applyAlignment="1">
      <alignment horizontal="center" wrapText="1"/>
    </xf>
    <xf numFmtId="0" fontId="285" fillId="0" borderId="8" xfId="6" applyFont="1" applyBorder="1" applyAlignment="1">
      <alignment horizontal="center" vertical="center"/>
    </xf>
    <xf numFmtId="0" fontId="285" fillId="0" borderId="286" xfId="6" applyFont="1" applyBorder="1" applyAlignment="1">
      <alignment horizontal="center" vertical="center"/>
    </xf>
    <xf numFmtId="0" fontId="285" fillId="0" borderId="11" xfId="6" applyFont="1" applyBorder="1" applyAlignment="1">
      <alignment horizontal="center" vertical="center"/>
    </xf>
    <xf numFmtId="0" fontId="285" fillId="0" borderId="12" xfId="6" applyFont="1" applyBorder="1" applyAlignment="1">
      <alignment horizontal="center" vertical="center"/>
    </xf>
    <xf numFmtId="0" fontId="58" fillId="0" borderId="8" xfId="0" applyFont="1" applyBorder="1" applyAlignment="1">
      <alignment horizontal="center" vertical="center"/>
    </xf>
    <xf numFmtId="0" fontId="58" fillId="0" borderId="11" xfId="0" applyFont="1" applyBorder="1" applyAlignment="1">
      <alignment horizontal="center" vertical="center"/>
    </xf>
    <xf numFmtId="0" fontId="58" fillId="0" borderId="14" xfId="0" applyFont="1" applyBorder="1" applyAlignment="1">
      <alignment horizontal="center"/>
    </xf>
    <xf numFmtId="0" fontId="0" fillId="6" borderId="0" xfId="0" applyFill="1" applyAlignment="1">
      <alignment horizontal="left" vertical="top" wrapText="1"/>
    </xf>
    <xf numFmtId="0" fontId="0" fillId="6" borderId="0" xfId="0" applyFill="1" applyAlignment="1">
      <alignment horizontal="left" vertical="top"/>
    </xf>
    <xf numFmtId="0" fontId="23" fillId="0" borderId="25" xfId="0" applyFont="1" applyBorder="1" applyAlignment="1">
      <alignment horizontal="left"/>
    </xf>
    <xf numFmtId="0" fontId="23" fillId="0" borderId="0" xfId="0" applyFont="1" applyAlignment="1">
      <alignment horizontal="left"/>
    </xf>
    <xf numFmtId="0" fontId="59" fillId="0" borderId="14" xfId="6" applyFont="1" applyBorder="1" applyAlignment="1">
      <alignment horizontal="center"/>
    </xf>
    <xf numFmtId="0" fontId="189" fillId="0" borderId="14" xfId="6" applyFont="1" applyBorder="1" applyAlignment="1">
      <alignment horizontal="center"/>
    </xf>
    <xf numFmtId="0" fontId="176" fillId="0" borderId="14" xfId="6" applyFont="1" applyBorder="1" applyAlignment="1">
      <alignment horizontal="center"/>
    </xf>
    <xf numFmtId="0" fontId="185" fillId="0" borderId="14" xfId="6" applyFont="1" applyBorder="1" applyAlignment="1">
      <alignment horizontal="center"/>
    </xf>
    <xf numFmtId="0" fontId="62" fillId="0" borderId="14" xfId="6" applyFont="1" applyBorder="1" applyAlignment="1">
      <alignment horizontal="center"/>
    </xf>
    <xf numFmtId="0" fontId="186" fillId="0" borderId="14" xfId="6" applyFont="1" applyBorder="1" applyAlignment="1">
      <alignment horizontal="center"/>
    </xf>
    <xf numFmtId="0" fontId="2" fillId="0" borderId="14" xfId="6" applyBorder="1" applyAlignment="1">
      <alignment horizontal="center"/>
    </xf>
    <xf numFmtId="0" fontId="187" fillId="0" borderId="14" xfId="6" applyFont="1" applyBorder="1" applyAlignment="1">
      <alignment horizontal="center"/>
    </xf>
    <xf numFmtId="0" fontId="23" fillId="0" borderId="8" xfId="0" applyFont="1" applyBorder="1" applyAlignment="1">
      <alignment horizontal="left" vertical="center" wrapText="1"/>
    </xf>
    <xf numFmtId="0" fontId="23" fillId="0" borderId="3" xfId="0" applyFont="1" applyBorder="1" applyAlignment="1">
      <alignment horizontal="left" vertical="center" wrapText="1"/>
    </xf>
    <xf numFmtId="0" fontId="23" fillId="0" borderId="286" xfId="0" applyFont="1" applyBorder="1" applyAlignment="1">
      <alignment horizontal="left" vertical="center" wrapText="1"/>
    </xf>
    <xf numFmtId="0" fontId="23" fillId="0" borderId="7" xfId="0" applyFont="1" applyBorder="1" applyAlignment="1">
      <alignment horizontal="left" vertical="center" wrapText="1"/>
    </xf>
    <xf numFmtId="0" fontId="23" fillId="0" borderId="0" xfId="0" applyFont="1" applyAlignment="1">
      <alignment horizontal="left" vertical="center" wrapText="1"/>
    </xf>
    <xf numFmtId="0" fontId="23" fillId="0" borderId="9" xfId="0" applyFont="1" applyBorder="1" applyAlignment="1">
      <alignment horizontal="left" vertical="center" wrapText="1"/>
    </xf>
    <xf numFmtId="0" fontId="23" fillId="0" borderId="11" xfId="0" applyFont="1" applyBorder="1" applyAlignment="1">
      <alignment horizontal="left" vertical="center" wrapText="1"/>
    </xf>
    <xf numFmtId="0" fontId="23" fillId="0" borderId="1" xfId="0" applyFont="1" applyBorder="1" applyAlignment="1">
      <alignment horizontal="left" vertical="center" wrapText="1"/>
    </xf>
    <xf numFmtId="0" fontId="23" fillId="0" borderId="12" xfId="0" applyFont="1" applyBorder="1" applyAlignment="1">
      <alignment horizontal="left" vertical="center" wrapText="1"/>
    </xf>
    <xf numFmtId="0" fontId="1" fillId="0" borderId="14" xfId="6" applyFont="1" applyBorder="1" applyAlignment="1">
      <alignment horizontal="center"/>
    </xf>
    <xf numFmtId="0" fontId="1" fillId="0" borderId="8" xfId="6" applyFont="1" applyBorder="1" applyAlignment="1">
      <alignment horizontal="center" vertical="center" wrapText="1"/>
    </xf>
    <xf numFmtId="0" fontId="1" fillId="0" borderId="286" xfId="6" applyFont="1" applyBorder="1" applyAlignment="1">
      <alignment horizontal="center" vertical="center" wrapText="1"/>
    </xf>
    <xf numFmtId="0" fontId="1" fillId="0" borderId="7" xfId="6" applyFont="1" applyBorder="1" applyAlignment="1">
      <alignment horizontal="center" vertical="center" wrapText="1"/>
    </xf>
    <xf numFmtId="0" fontId="1" fillId="0" borderId="9" xfId="6" applyFont="1" applyBorder="1" applyAlignment="1">
      <alignment horizontal="center" vertical="center" wrapText="1"/>
    </xf>
    <xf numFmtId="0" fontId="1" fillId="0" borderId="11" xfId="6" applyFont="1" applyBorder="1" applyAlignment="1">
      <alignment horizontal="center" vertical="center" wrapText="1"/>
    </xf>
    <xf numFmtId="0" fontId="1" fillId="0" borderId="12" xfId="6" applyFont="1" applyBorder="1" applyAlignment="1">
      <alignment horizontal="center" vertical="center" wrapText="1"/>
    </xf>
    <xf numFmtId="0" fontId="1" fillId="0" borderId="15" xfId="6" applyFont="1" applyBorder="1" applyAlignment="1">
      <alignment horizontal="center" vertical="center"/>
    </xf>
    <xf numFmtId="0" fontId="1" fillId="0" borderId="19" xfId="6" applyFont="1" applyBorder="1" applyAlignment="1">
      <alignment horizontal="center" vertical="center"/>
    </xf>
    <xf numFmtId="0" fontId="1" fillId="0" borderId="18" xfId="6" applyFont="1" applyBorder="1" applyAlignment="1">
      <alignment horizontal="center"/>
    </xf>
    <xf numFmtId="0" fontId="1" fillId="0" borderId="170" xfId="6" applyFont="1" applyBorder="1" applyAlignment="1">
      <alignment horizontal="center"/>
    </xf>
    <xf numFmtId="0" fontId="1" fillId="0" borderId="15" xfId="6" applyFont="1" applyBorder="1" applyAlignment="1">
      <alignment horizontal="center" wrapText="1"/>
    </xf>
    <xf numFmtId="0" fontId="1" fillId="0" borderId="47" xfId="6" applyFont="1" applyBorder="1" applyAlignment="1">
      <alignment horizontal="center" wrapText="1"/>
    </xf>
    <xf numFmtId="0" fontId="0" fillId="0" borderId="18" xfId="0" applyBorder="1" applyAlignment="1">
      <alignment horizontal="center"/>
    </xf>
    <xf numFmtId="0" fontId="0" fillId="0" borderId="32" xfId="0" applyBorder="1" applyAlignment="1">
      <alignment horizontal="center"/>
    </xf>
    <xf numFmtId="0" fontId="23" fillId="0" borderId="306" xfId="0" applyFont="1" applyBorder="1" applyAlignment="1">
      <alignment horizontal="left"/>
    </xf>
    <xf numFmtId="0" fontId="2" fillId="0" borderId="0" xfId="6" applyAlignment="1">
      <alignment horizontal="center" vertical="center" wrapText="1"/>
    </xf>
    <xf numFmtId="0" fontId="2" fillId="0" borderId="302" xfId="6" applyBorder="1" applyAlignment="1">
      <alignment horizontal="center" vertical="center" wrapText="1"/>
    </xf>
    <xf numFmtId="0" fontId="58" fillId="0" borderId="32" xfId="6" applyFont="1" applyBorder="1" applyAlignment="1">
      <alignment horizontal="center" vertical="center"/>
    </xf>
    <xf numFmtId="0" fontId="177" fillId="0" borderId="0" xfId="6" applyFont="1" applyAlignment="1">
      <alignment horizontal="center"/>
    </xf>
    <xf numFmtId="0" fontId="128" fillId="0" borderId="8" xfId="6" applyFont="1" applyBorder="1" applyAlignment="1">
      <alignment horizontal="center" vertical="center"/>
    </xf>
    <xf numFmtId="0" fontId="128" fillId="0" borderId="286" xfId="6" applyFont="1" applyBorder="1" applyAlignment="1">
      <alignment horizontal="center" vertical="center"/>
    </xf>
    <xf numFmtId="0" fontId="128" fillId="0" borderId="7" xfId="6" applyFont="1" applyBorder="1" applyAlignment="1">
      <alignment horizontal="center" vertical="center"/>
    </xf>
    <xf numFmtId="0" fontId="128" fillId="0" borderId="9" xfId="6" applyFont="1" applyBorder="1" applyAlignment="1">
      <alignment horizontal="center" vertical="center"/>
    </xf>
    <xf numFmtId="0" fontId="1" fillId="0" borderId="19" xfId="0" applyFont="1" applyBorder="1" applyAlignment="1">
      <alignment horizontal="center"/>
    </xf>
    <xf numFmtId="2" fontId="150" fillId="6" borderId="168" xfId="6" applyNumberFormat="1" applyFont="1" applyFill="1" applyBorder="1" applyAlignment="1" applyProtection="1">
      <alignment horizontal="center" vertical="center"/>
      <protection locked="0"/>
    </xf>
    <xf numFmtId="2" fontId="150" fillId="6" borderId="169" xfId="6" applyNumberFormat="1" applyFont="1" applyFill="1" applyBorder="1" applyAlignment="1" applyProtection="1">
      <alignment horizontal="center" vertical="center"/>
      <protection locked="0"/>
    </xf>
    <xf numFmtId="0" fontId="189" fillId="0" borderId="19" xfId="6" applyFont="1" applyBorder="1" applyAlignment="1">
      <alignment horizontal="center"/>
    </xf>
    <xf numFmtId="0" fontId="128" fillId="0" borderId="15" xfId="6" applyFont="1" applyBorder="1" applyAlignment="1">
      <alignment horizontal="center" wrapText="1"/>
    </xf>
    <xf numFmtId="0" fontId="128" fillId="0" borderId="47" xfId="6" applyFont="1" applyBorder="1" applyAlignment="1">
      <alignment horizontal="center" wrapText="1"/>
    </xf>
    <xf numFmtId="0" fontId="61" fillId="0" borderId="18" xfId="6" applyFont="1" applyBorder="1" applyAlignment="1">
      <alignment horizontal="center"/>
    </xf>
    <xf numFmtId="0" fontId="61" fillId="0" borderId="32" xfId="6" applyFont="1" applyBorder="1" applyAlignment="1">
      <alignment horizontal="center"/>
    </xf>
    <xf numFmtId="0" fontId="61" fillId="0" borderId="21" xfId="6" applyFont="1" applyBorder="1" applyAlignment="1">
      <alignment horizontal="center"/>
    </xf>
    <xf numFmtId="0" fontId="1" fillId="0" borderId="7" xfId="6" applyFont="1" applyBorder="1" applyAlignment="1">
      <alignment horizontal="center"/>
    </xf>
    <xf numFmtId="0" fontId="1" fillId="0" borderId="9" xfId="6" applyFont="1" applyBorder="1" applyAlignment="1">
      <alignment horizontal="center"/>
    </xf>
    <xf numFmtId="0" fontId="1" fillId="0" borderId="21" xfId="6" applyFont="1" applyBorder="1" applyAlignment="1">
      <alignment horizontal="center"/>
    </xf>
    <xf numFmtId="0" fontId="128" fillId="0" borderId="7" xfId="6" applyFont="1" applyBorder="1" applyAlignment="1">
      <alignment horizontal="center"/>
    </xf>
    <xf numFmtId="0" fontId="128" fillId="0" borderId="9" xfId="6" applyFont="1" applyBorder="1" applyAlignment="1">
      <alignment horizontal="center"/>
    </xf>
    <xf numFmtId="0" fontId="1" fillId="0" borderId="8" xfId="6" applyFont="1" applyBorder="1" applyAlignment="1">
      <alignment horizontal="center" vertical="center"/>
    </xf>
    <xf numFmtId="0" fontId="1" fillId="0" borderId="286" xfId="6" applyFont="1" applyBorder="1" applyAlignment="1">
      <alignment horizontal="center" vertical="center"/>
    </xf>
    <xf numFmtId="0" fontId="1" fillId="0" borderId="7" xfId="6" applyFont="1" applyBorder="1" applyAlignment="1">
      <alignment horizontal="center" vertical="center"/>
    </xf>
    <xf numFmtId="0" fontId="1" fillId="0" borderId="9" xfId="6" applyFont="1" applyBorder="1" applyAlignment="1">
      <alignment horizontal="center" vertical="center"/>
    </xf>
    <xf numFmtId="0" fontId="1" fillId="0" borderId="11" xfId="6" applyFont="1" applyBorder="1" applyAlignment="1">
      <alignment horizontal="center" vertical="center"/>
    </xf>
    <xf numFmtId="0" fontId="1" fillId="0" borderId="12" xfId="6" applyFont="1" applyBorder="1" applyAlignment="1">
      <alignment horizontal="center" vertical="center"/>
    </xf>
    <xf numFmtId="0" fontId="2" fillId="0" borderId="18" xfId="6" applyBorder="1" applyAlignment="1">
      <alignment horizontal="center"/>
    </xf>
    <xf numFmtId="0" fontId="2" fillId="0" borderId="32" xfId="6" applyBorder="1" applyAlignment="1">
      <alignment horizontal="center"/>
    </xf>
    <xf numFmtId="0" fontId="2" fillId="0" borderId="21" xfId="6" applyBorder="1" applyAlignment="1">
      <alignment horizontal="center"/>
    </xf>
    <xf numFmtId="0" fontId="86" fillId="0" borderId="8" xfId="6" applyFont="1" applyBorder="1" applyAlignment="1">
      <alignment horizontal="center" vertical="center"/>
    </xf>
    <xf numFmtId="0" fontId="86" fillId="0" borderId="286" xfId="6" applyFont="1" applyBorder="1" applyAlignment="1">
      <alignment horizontal="center" vertical="center"/>
    </xf>
    <xf numFmtId="0" fontId="86" fillId="0" borderId="11" xfId="6" applyFont="1" applyBorder="1" applyAlignment="1">
      <alignment horizontal="center" vertical="center"/>
    </xf>
    <xf numFmtId="0" fontId="86" fillId="0" borderId="12" xfId="6" applyFont="1" applyBorder="1" applyAlignment="1">
      <alignment horizontal="center" vertical="center"/>
    </xf>
    <xf numFmtId="0" fontId="178" fillId="0" borderId="8" xfId="6" applyFont="1" applyBorder="1" applyAlignment="1">
      <alignment horizontal="center" vertical="center"/>
    </xf>
    <xf numFmtId="0" fontId="178" fillId="0" borderId="286" xfId="6" applyFont="1" applyBorder="1" applyAlignment="1">
      <alignment horizontal="center" vertical="center"/>
    </xf>
    <xf numFmtId="0" fontId="178" fillId="0" borderId="11" xfId="6" applyFont="1" applyBorder="1" applyAlignment="1">
      <alignment horizontal="center" vertical="center"/>
    </xf>
    <xf numFmtId="0" fontId="178" fillId="0" borderId="12" xfId="6" applyFont="1" applyBorder="1" applyAlignment="1">
      <alignment horizontal="center" vertical="center"/>
    </xf>
    <xf numFmtId="0" fontId="77" fillId="0" borderId="8" xfId="6" applyFont="1" applyBorder="1" applyAlignment="1">
      <alignment horizontal="center" vertical="center"/>
    </xf>
    <xf numFmtId="0" fontId="77" fillId="0" borderId="286" xfId="6" applyFont="1" applyBorder="1" applyAlignment="1">
      <alignment horizontal="center" vertical="center"/>
    </xf>
    <xf numFmtId="0" fontId="77" fillId="0" borderId="11" xfId="6" applyFont="1" applyBorder="1" applyAlignment="1">
      <alignment horizontal="center" vertical="center"/>
    </xf>
    <xf numFmtId="0" fontId="77" fillId="0" borderId="12" xfId="6" applyFont="1" applyBorder="1" applyAlignment="1">
      <alignment horizontal="center" vertical="center"/>
    </xf>
    <xf numFmtId="0" fontId="179" fillId="0" borderId="8" xfId="6" applyFont="1" applyBorder="1" applyAlignment="1">
      <alignment horizontal="center" vertical="center"/>
    </xf>
    <xf numFmtId="0" fontId="179" fillId="0" borderId="286" xfId="6" applyFont="1" applyBorder="1" applyAlignment="1">
      <alignment horizontal="center" vertical="center"/>
    </xf>
    <xf numFmtId="0" fontId="179" fillId="0" borderId="11" xfId="6" applyFont="1" applyBorder="1" applyAlignment="1">
      <alignment horizontal="center" vertical="center"/>
    </xf>
    <xf numFmtId="0" fontId="179" fillId="0" borderId="12" xfId="6" applyFont="1" applyBorder="1" applyAlignment="1">
      <alignment horizontal="center" vertical="center"/>
    </xf>
    <xf numFmtId="0" fontId="2" fillId="0" borderId="1" xfId="6" applyBorder="1" applyAlignment="1">
      <alignment horizontal="left"/>
    </xf>
    <xf numFmtId="0" fontId="2" fillId="0" borderId="15" xfId="6" applyBorder="1" applyAlignment="1">
      <alignment horizontal="center" vertical="center" wrapText="1"/>
    </xf>
    <xf numFmtId="0" fontId="2" fillId="0" borderId="19" xfId="6" applyBorder="1" applyAlignment="1">
      <alignment horizontal="center" vertical="center" wrapText="1"/>
    </xf>
    <xf numFmtId="0" fontId="141" fillId="0" borderId="8" xfId="6" applyFont="1" applyBorder="1" applyAlignment="1">
      <alignment horizontal="left" vertical="center" wrapText="1"/>
    </xf>
    <xf numFmtId="0" fontId="141" fillId="0" borderId="3" xfId="6" applyFont="1" applyBorder="1" applyAlignment="1">
      <alignment horizontal="left" vertical="center" wrapText="1"/>
    </xf>
    <xf numFmtId="0" fontId="141" fillId="0" borderId="286" xfId="6" applyFont="1" applyBorder="1" applyAlignment="1">
      <alignment horizontal="left" vertical="center" wrapText="1"/>
    </xf>
    <xf numFmtId="0" fontId="141" fillId="0" borderId="7" xfId="6" applyFont="1" applyBorder="1" applyAlignment="1">
      <alignment horizontal="left" vertical="center" wrapText="1"/>
    </xf>
    <xf numFmtId="0" fontId="141" fillId="0" borderId="0" xfId="6" applyFont="1" applyAlignment="1">
      <alignment horizontal="left" vertical="center" wrapText="1"/>
    </xf>
    <xf numFmtId="0" fontId="141" fillId="0" borderId="9" xfId="6" applyFont="1" applyBorder="1" applyAlignment="1">
      <alignment horizontal="left" vertical="center" wrapText="1"/>
    </xf>
    <xf numFmtId="0" fontId="58" fillId="0" borderId="7" xfId="6" applyFont="1" applyBorder="1" applyAlignment="1">
      <alignment horizontal="left" vertical="center" wrapText="1"/>
    </xf>
    <xf numFmtId="0" fontId="58" fillId="0" borderId="0" xfId="6" applyFont="1" applyAlignment="1">
      <alignment horizontal="left" vertical="center" wrapText="1"/>
    </xf>
    <xf numFmtId="0" fontId="58" fillId="0" borderId="9" xfId="6" applyFont="1" applyBorder="1" applyAlignment="1">
      <alignment horizontal="left" vertical="center" wrapText="1"/>
    </xf>
    <xf numFmtId="0" fontId="58" fillId="0" borderId="11" xfId="6" applyFont="1" applyBorder="1" applyAlignment="1">
      <alignment horizontal="left" vertical="center" wrapText="1"/>
    </xf>
    <xf numFmtId="0" fontId="58" fillId="0" borderId="1" xfId="6" applyFont="1" applyBorder="1" applyAlignment="1">
      <alignment horizontal="left" vertical="center" wrapText="1"/>
    </xf>
    <xf numFmtId="0" fontId="58" fillId="0" borderId="12" xfId="6" applyFont="1" applyBorder="1" applyAlignment="1">
      <alignment horizontal="left" vertical="center" wrapText="1"/>
    </xf>
    <xf numFmtId="0" fontId="2" fillId="0" borderId="3" xfId="6" applyBorder="1" applyAlignment="1">
      <alignment horizontal="right"/>
    </xf>
    <xf numFmtId="0" fontId="2" fillId="0" borderId="8" xfId="6" applyBorder="1" applyAlignment="1">
      <alignment horizontal="center" vertical="center" wrapText="1"/>
    </xf>
    <xf numFmtId="0" fontId="2" fillId="0" borderId="3" xfId="6" applyBorder="1" applyAlignment="1">
      <alignment horizontal="center" vertical="center" wrapText="1"/>
    </xf>
    <xf numFmtId="0" fontId="2" fillId="0" borderId="286" xfId="6" applyBorder="1" applyAlignment="1">
      <alignment horizontal="center" vertical="center" wrapText="1"/>
    </xf>
    <xf numFmtId="0" fontId="2" fillId="0" borderId="11" xfId="6" applyBorder="1" applyAlignment="1">
      <alignment horizontal="center" vertical="center" wrapText="1"/>
    </xf>
    <xf numFmtId="0" fontId="2" fillId="0" borderId="1" xfId="6" applyBorder="1" applyAlignment="1">
      <alignment horizontal="center" vertical="center" wrapText="1"/>
    </xf>
    <xf numFmtId="0" fontId="2" fillId="0" borderId="12" xfId="6" applyBorder="1" applyAlignment="1">
      <alignment horizontal="center" vertical="center" wrapText="1"/>
    </xf>
    <xf numFmtId="0" fontId="150" fillId="0" borderId="8" xfId="6" applyFont="1" applyBorder="1" applyAlignment="1">
      <alignment horizontal="center"/>
    </xf>
    <xf numFmtId="0" fontId="150" fillId="0" borderId="3" xfId="6" applyFont="1" applyBorder="1" applyAlignment="1">
      <alignment horizontal="center"/>
    </xf>
    <xf numFmtId="0" fontId="150" fillId="0" borderId="286" xfId="6" applyFont="1" applyBorder="1" applyAlignment="1">
      <alignment horizontal="center"/>
    </xf>
    <xf numFmtId="0" fontId="2" fillId="0" borderId="11" xfId="6" applyBorder="1" applyAlignment="1">
      <alignment horizontal="center"/>
    </xf>
    <xf numFmtId="0" fontId="2" fillId="0" borderId="1" xfId="6" applyBorder="1" applyAlignment="1">
      <alignment horizontal="center"/>
    </xf>
    <xf numFmtId="0" fontId="2" fillId="0" borderId="12" xfId="6" applyBorder="1" applyAlignment="1">
      <alignment horizontal="center"/>
    </xf>
    <xf numFmtId="0" fontId="61" fillId="0" borderId="15" xfId="6" applyFont="1" applyBorder="1" applyAlignment="1">
      <alignment horizontal="center" vertical="center" wrapText="1"/>
    </xf>
    <xf numFmtId="0" fontId="61" fillId="0" borderId="47" xfId="6" applyFont="1" applyBorder="1" applyAlignment="1">
      <alignment horizontal="center" vertical="center" wrapText="1"/>
    </xf>
    <xf numFmtId="0" fontId="61" fillId="0" borderId="19" xfId="6" applyFont="1" applyBorder="1" applyAlignment="1">
      <alignment horizontal="center" vertical="center" wrapText="1"/>
    </xf>
    <xf numFmtId="0" fontId="2" fillId="0" borderId="0" xfId="6" applyAlignment="1">
      <alignment horizontal="left" vertical="top" wrapText="1"/>
    </xf>
    <xf numFmtId="168" fontId="2" fillId="0" borderId="14" xfId="6" applyNumberFormat="1" applyBorder="1" applyAlignment="1">
      <alignment horizontal="center" vertical="center"/>
    </xf>
    <xf numFmtId="0" fontId="61" fillId="0" borderId="144" xfId="6" applyFont="1" applyBorder="1" applyAlignment="1">
      <alignment horizontal="center" vertical="center"/>
    </xf>
    <xf numFmtId="0" fontId="61" fillId="0" borderId="145" xfId="6" applyFont="1" applyBorder="1" applyAlignment="1">
      <alignment horizontal="center" vertical="center"/>
    </xf>
    <xf numFmtId="0" fontId="61" fillId="0" borderId="140" xfId="6" applyFont="1" applyBorder="1" applyAlignment="1">
      <alignment horizontal="center" vertical="center"/>
    </xf>
    <xf numFmtId="0" fontId="78" fillId="0" borderId="8" xfId="6" applyFont="1" applyBorder="1" applyAlignment="1">
      <alignment horizontal="left" vertical="center" wrapText="1"/>
    </xf>
    <xf numFmtId="0" fontId="78" fillId="0" borderId="3" xfId="6" applyFont="1" applyBorder="1" applyAlignment="1">
      <alignment horizontal="left" vertical="center" wrapText="1"/>
    </xf>
    <xf numFmtId="0" fontId="78" fillId="0" borderId="286" xfId="6" applyFont="1" applyBorder="1" applyAlignment="1">
      <alignment horizontal="left" vertical="center" wrapText="1"/>
    </xf>
    <xf numFmtId="0" fontId="78" fillId="0" borderId="11" xfId="6" applyFont="1" applyBorder="1" applyAlignment="1">
      <alignment horizontal="left" vertical="center" wrapText="1"/>
    </xf>
    <xf numFmtId="0" fontId="78" fillId="0" borderId="1" xfId="6" applyFont="1" applyBorder="1" applyAlignment="1">
      <alignment horizontal="left" vertical="center" wrapText="1"/>
    </xf>
    <xf numFmtId="0" fontId="78" fillId="0" borderId="12" xfId="6" applyFont="1" applyBorder="1" applyAlignment="1">
      <alignment horizontal="left" vertical="center" wrapText="1"/>
    </xf>
    <xf numFmtId="168" fontId="2" fillId="0" borderId="14" xfId="6" quotePrefix="1" applyNumberFormat="1" applyBorder="1" applyAlignment="1">
      <alignment horizontal="center" vertical="center"/>
    </xf>
    <xf numFmtId="0" fontId="2" fillId="0" borderId="14" xfId="6" applyBorder="1" applyAlignment="1">
      <alignment horizontal="center" vertical="center" wrapText="1"/>
    </xf>
    <xf numFmtId="0" fontId="2" fillId="0" borderId="14" xfId="6" applyBorder="1" applyAlignment="1">
      <alignment horizontal="center" vertical="center"/>
    </xf>
    <xf numFmtId="0" fontId="57" fillId="0" borderId="8" xfId="6" applyFont="1" applyBorder="1" applyAlignment="1">
      <alignment horizontal="center" vertical="center" wrapText="1"/>
    </xf>
    <xf numFmtId="0" fontId="57" fillId="0" borderId="286" xfId="6" applyFont="1" applyBorder="1" applyAlignment="1">
      <alignment horizontal="center" vertical="center" wrapText="1"/>
    </xf>
    <xf numFmtId="0" fontId="57" fillId="0" borderId="11" xfId="6" applyFont="1" applyBorder="1" applyAlignment="1">
      <alignment horizontal="center" vertical="center" wrapText="1"/>
    </xf>
    <xf numFmtId="0" fontId="57" fillId="0" borderId="12" xfId="6" applyFont="1" applyBorder="1" applyAlignment="1">
      <alignment horizontal="center" vertical="center" wrapText="1"/>
    </xf>
    <xf numFmtId="0" fontId="188" fillId="0" borderId="11" xfId="6" applyFont="1" applyBorder="1" applyAlignment="1">
      <alignment horizontal="center"/>
    </xf>
    <xf numFmtId="0" fontId="188" fillId="0" borderId="12" xfId="6" applyFont="1" applyBorder="1" applyAlignment="1">
      <alignment horizontal="center"/>
    </xf>
    <xf numFmtId="0" fontId="59" fillId="0" borderId="170" xfId="6" applyFont="1" applyBorder="1" applyAlignment="1">
      <alignment horizontal="center"/>
    </xf>
    <xf numFmtId="0" fontId="57" fillId="0" borderId="8" xfId="6" applyFont="1" applyBorder="1" applyAlignment="1">
      <alignment horizontal="center"/>
    </xf>
    <xf numFmtId="0" fontId="57" fillId="0" borderId="286" xfId="6" applyFont="1" applyBorder="1" applyAlignment="1">
      <alignment horizontal="center"/>
    </xf>
    <xf numFmtId="0" fontId="128" fillId="0" borderId="14" xfId="6" applyFont="1" applyBorder="1" applyAlignment="1">
      <alignment horizontal="center"/>
    </xf>
    <xf numFmtId="0" fontId="128" fillId="0" borderId="18" xfId="6" applyFont="1" applyBorder="1" applyAlignment="1">
      <alignment horizontal="center"/>
    </xf>
    <xf numFmtId="0" fontId="176" fillId="0" borderId="170" xfId="6" applyFont="1" applyBorder="1" applyAlignment="1">
      <alignment horizontal="center"/>
    </xf>
    <xf numFmtId="0" fontId="183" fillId="20" borderId="8" xfId="6" applyFont="1" applyFill="1" applyBorder="1" applyAlignment="1">
      <alignment horizontal="left" vertical="center" wrapText="1"/>
    </xf>
    <xf numFmtId="0" fontId="183" fillId="20" borderId="3" xfId="6" applyFont="1" applyFill="1" applyBorder="1" applyAlignment="1">
      <alignment horizontal="left" vertical="center" wrapText="1"/>
    </xf>
    <xf numFmtId="0" fontId="183" fillId="20" borderId="286" xfId="6" applyFont="1" applyFill="1" applyBorder="1" applyAlignment="1">
      <alignment horizontal="left" vertical="center" wrapText="1"/>
    </xf>
    <xf numFmtId="0" fontId="183" fillId="20" borderId="11" xfId="6" applyFont="1" applyFill="1" applyBorder="1" applyAlignment="1">
      <alignment horizontal="left" vertical="center" wrapText="1"/>
    </xf>
    <xf numFmtId="0" fontId="183" fillId="20" borderId="1" xfId="6" applyFont="1" applyFill="1" applyBorder="1" applyAlignment="1">
      <alignment horizontal="left" vertical="center" wrapText="1"/>
    </xf>
    <xf numFmtId="0" fontId="183" fillId="20" borderId="12" xfId="6" applyFont="1" applyFill="1" applyBorder="1" applyAlignment="1">
      <alignment horizontal="left" vertical="center" wrapText="1"/>
    </xf>
    <xf numFmtId="0" fontId="78" fillId="20" borderId="8" xfId="6" applyFont="1" applyFill="1" applyBorder="1" applyAlignment="1">
      <alignment horizontal="left" vertical="center"/>
    </xf>
    <xf numFmtId="0" fontId="78" fillId="20" borderId="3" xfId="6" applyFont="1" applyFill="1" applyBorder="1" applyAlignment="1">
      <alignment horizontal="left" vertical="center"/>
    </xf>
    <xf numFmtId="0" fontId="78" fillId="20" borderId="286" xfId="6" applyFont="1" applyFill="1" applyBorder="1" applyAlignment="1">
      <alignment horizontal="left" vertical="center"/>
    </xf>
    <xf numFmtId="0" fontId="78" fillId="20" borderId="11" xfId="6" applyFont="1" applyFill="1" applyBorder="1" applyAlignment="1">
      <alignment horizontal="left" vertical="center"/>
    </xf>
    <xf numFmtId="0" fontId="78" fillId="20" borderId="1" xfId="6" applyFont="1" applyFill="1" applyBorder="1" applyAlignment="1">
      <alignment horizontal="left" vertical="center"/>
    </xf>
    <xf numFmtId="0" fontId="78" fillId="20" borderId="12" xfId="6" applyFont="1" applyFill="1" applyBorder="1" applyAlignment="1">
      <alignment horizontal="left" vertical="center"/>
    </xf>
    <xf numFmtId="0" fontId="141" fillId="0" borderId="14" xfId="6" applyFont="1" applyBorder="1" applyAlignment="1">
      <alignment horizontal="center"/>
    </xf>
    <xf numFmtId="0" fontId="141" fillId="0" borderId="18" xfId="6" applyFont="1" applyBorder="1" applyAlignment="1">
      <alignment horizontal="center"/>
    </xf>
    <xf numFmtId="168" fontId="2" fillId="0" borderId="14" xfId="6" applyNumberFormat="1" applyBorder="1" applyAlignment="1">
      <alignment horizontal="center"/>
    </xf>
    <xf numFmtId="0" fontId="2" fillId="0" borderId="174" xfId="6" applyBorder="1" applyAlignment="1">
      <alignment horizontal="center"/>
    </xf>
    <xf numFmtId="0" fontId="2" fillId="0" borderId="175" xfId="6" applyBorder="1" applyAlignment="1">
      <alignment horizontal="center"/>
    </xf>
    <xf numFmtId="0" fontId="2" fillId="0" borderId="30" xfId="6" applyBorder="1" applyAlignment="1">
      <alignment horizontal="center"/>
    </xf>
    <xf numFmtId="0" fontId="2" fillId="0" borderId="0" xfId="6" applyAlignment="1">
      <alignment horizontal="left" vertical="center" wrapText="1"/>
    </xf>
    <xf numFmtId="0" fontId="1" fillId="0" borderId="32" xfId="6" applyFont="1" applyBorder="1" applyAlignment="1">
      <alignment horizontal="center"/>
    </xf>
    <xf numFmtId="0" fontId="128" fillId="0" borderId="21" xfId="6" applyFont="1" applyBorder="1" applyAlignment="1">
      <alignment horizontal="center"/>
    </xf>
    <xf numFmtId="0" fontId="141" fillId="0" borderId="14" xfId="6" applyFont="1" applyBorder="1" applyAlignment="1">
      <alignment horizontal="center" vertical="center"/>
    </xf>
    <xf numFmtId="0" fontId="141" fillId="0" borderId="18" xfId="6" applyFont="1" applyBorder="1" applyAlignment="1">
      <alignment horizontal="center" vertical="center"/>
    </xf>
    <xf numFmtId="0" fontId="128" fillId="0" borderId="170" xfId="6" applyFont="1" applyBorder="1" applyAlignment="1">
      <alignment horizontal="center"/>
    </xf>
    <xf numFmtId="0" fontId="2" fillId="0" borderId="9" xfId="6" applyBorder="1" applyAlignment="1">
      <alignment horizontal="center" vertical="center" wrapText="1"/>
    </xf>
    <xf numFmtId="168" fontId="2" fillId="0" borderId="15" xfId="6" applyNumberFormat="1" applyBorder="1" applyAlignment="1">
      <alignment horizontal="center" vertical="center"/>
    </xf>
    <xf numFmtId="168" fontId="2" fillId="0" borderId="47" xfId="6" applyNumberFormat="1" applyBorder="1" applyAlignment="1">
      <alignment horizontal="center" vertical="center"/>
    </xf>
    <xf numFmtId="168" fontId="2" fillId="0" borderId="115" xfId="6" applyNumberFormat="1" applyBorder="1" applyAlignment="1">
      <alignment horizontal="center" vertical="center"/>
    </xf>
    <xf numFmtId="168" fontId="2" fillId="0" borderId="176" xfId="6" applyNumberFormat="1" applyBorder="1" applyAlignment="1">
      <alignment horizontal="center" vertical="center"/>
    </xf>
    <xf numFmtId="168" fontId="2" fillId="0" borderId="19" xfId="6" applyNumberFormat="1" applyBorder="1" applyAlignment="1">
      <alignment horizontal="center" vertical="center"/>
    </xf>
    <xf numFmtId="0" fontId="78" fillId="0" borderId="8" xfId="6" applyFont="1" applyBorder="1" applyAlignment="1">
      <alignment horizontal="center" vertical="center"/>
    </xf>
    <xf numFmtId="0" fontId="78" fillId="0" borderId="286" xfId="6" applyFont="1" applyBorder="1" applyAlignment="1">
      <alignment horizontal="center" vertical="center"/>
    </xf>
    <xf numFmtId="0" fontId="78" fillId="0" borderId="11" xfId="6" applyFont="1" applyBorder="1" applyAlignment="1">
      <alignment horizontal="center" vertical="center"/>
    </xf>
    <xf numFmtId="0" fontId="78" fillId="0" borderId="12" xfId="6" applyFont="1" applyBorder="1" applyAlignment="1">
      <alignment horizontal="center" vertical="center"/>
    </xf>
    <xf numFmtId="0" fontId="2" fillId="0" borderId="8" xfId="6" applyBorder="1" applyAlignment="1">
      <alignment horizontal="left" vertical="center" wrapText="1"/>
    </xf>
    <xf numFmtId="0" fontId="2" fillId="0" borderId="3" xfId="6" applyBorder="1" applyAlignment="1">
      <alignment horizontal="left" vertical="center" wrapText="1"/>
    </xf>
    <xf numFmtId="0" fontId="2" fillId="0" borderId="286" xfId="6" applyBorder="1" applyAlignment="1">
      <alignment horizontal="left" vertical="center" wrapText="1"/>
    </xf>
    <xf numFmtId="0" fontId="2" fillId="0" borderId="7" xfId="6" applyBorder="1" applyAlignment="1">
      <alignment horizontal="left" vertical="center" wrapText="1"/>
    </xf>
    <xf numFmtId="0" fontId="2" fillId="0" borderId="9" xfId="6" applyBorder="1" applyAlignment="1">
      <alignment horizontal="left" vertical="center" wrapText="1"/>
    </xf>
    <xf numFmtId="0" fontId="2" fillId="0" borderId="11" xfId="6" applyBorder="1" applyAlignment="1">
      <alignment horizontal="left" vertical="center" wrapText="1"/>
    </xf>
    <xf numFmtId="0" fontId="2" fillId="0" borderId="1" xfId="6" applyBorder="1" applyAlignment="1">
      <alignment horizontal="left" vertical="center" wrapText="1"/>
    </xf>
    <xf numFmtId="0" fontId="2" fillId="0" borderId="12" xfId="6" applyBorder="1" applyAlignment="1">
      <alignment horizontal="left" vertical="center" wrapText="1"/>
    </xf>
    <xf numFmtId="0" fontId="176" fillId="0" borderId="177" xfId="6" applyFont="1" applyBorder="1" applyAlignment="1">
      <alignment horizontal="center"/>
    </xf>
    <xf numFmtId="0" fontId="176" fillId="0" borderId="21" xfId="6" applyFont="1" applyBorder="1" applyAlignment="1">
      <alignment horizontal="center"/>
    </xf>
    <xf numFmtId="0" fontId="2" fillId="0" borderId="18" xfId="6" applyBorder="1" applyAlignment="1">
      <alignment horizontal="center" vertical="center"/>
    </xf>
    <xf numFmtId="0" fontId="2" fillId="0" borderId="32" xfId="6" applyBorder="1" applyAlignment="1">
      <alignment horizontal="center" vertical="center"/>
    </xf>
    <xf numFmtId="0" fontId="2" fillId="0" borderId="21" xfId="6" applyBorder="1" applyAlignment="1">
      <alignment horizontal="center" vertical="center"/>
    </xf>
    <xf numFmtId="0" fontId="59" fillId="0" borderId="15" xfId="6" applyFont="1" applyBorder="1" applyAlignment="1">
      <alignment horizontal="center" vertical="center" wrapText="1"/>
    </xf>
    <xf numFmtId="0" fontId="59" fillId="0" borderId="115" xfId="6" applyFont="1" applyBorder="1" applyAlignment="1">
      <alignment horizontal="center" vertical="center" wrapText="1"/>
    </xf>
    <xf numFmtId="0" fontId="59" fillId="0" borderId="15" xfId="6" applyFont="1" applyBorder="1" applyAlignment="1">
      <alignment horizontal="center" vertical="center"/>
    </xf>
    <xf numFmtId="0" fontId="59" fillId="0" borderId="47" xfId="6" applyFont="1" applyBorder="1" applyAlignment="1">
      <alignment horizontal="center" vertical="center"/>
    </xf>
    <xf numFmtId="0" fontId="2" fillId="0" borderId="15" xfId="6" applyBorder="1" applyAlignment="1">
      <alignment horizontal="center" vertical="center"/>
    </xf>
    <xf numFmtId="0" fontId="2" fillId="0" borderId="19" xfId="6" applyBorder="1" applyAlignment="1">
      <alignment horizontal="center" vertical="center"/>
    </xf>
    <xf numFmtId="0" fontId="1" fillId="0" borderId="3" xfId="6" applyFont="1" applyBorder="1" applyAlignment="1">
      <alignment horizontal="center" vertical="center"/>
    </xf>
    <xf numFmtId="0" fontId="2" fillId="0" borderId="179" xfId="6" applyBorder="1" applyAlignment="1">
      <alignment horizontal="center"/>
    </xf>
    <xf numFmtId="0" fontId="2" fillId="0" borderId="180" xfId="6" applyBorder="1" applyAlignment="1">
      <alignment horizontal="center"/>
    </xf>
    <xf numFmtId="0" fontId="180" fillId="0" borderId="24" xfId="6" applyFont="1" applyBorder="1" applyAlignment="1">
      <alignment horizontal="center" vertical="center"/>
    </xf>
    <xf numFmtId="0" fontId="180" fillId="0" borderId="6" xfId="6" applyFont="1" applyBorder="1" applyAlignment="1">
      <alignment horizontal="center" vertical="center"/>
    </xf>
    <xf numFmtId="0" fontId="192" fillId="0" borderId="8" xfId="6" applyFont="1" applyBorder="1" applyAlignment="1">
      <alignment horizontal="center" vertical="center" wrapText="1"/>
    </xf>
    <xf numFmtId="0" fontId="192" fillId="0" borderId="3" xfId="6" applyFont="1" applyBorder="1" applyAlignment="1">
      <alignment horizontal="center" vertical="center" wrapText="1"/>
    </xf>
    <xf numFmtId="0" fontId="150" fillId="0" borderId="22" xfId="6" applyFont="1" applyBorder="1" applyAlignment="1">
      <alignment horizontal="center" vertical="center"/>
    </xf>
    <xf numFmtId="0" fontId="150" fillId="0" borderId="18" xfId="6" applyFont="1" applyBorder="1" applyAlignment="1">
      <alignment horizontal="center" vertical="center"/>
    </xf>
    <xf numFmtId="0" fontId="150" fillId="21" borderId="22" xfId="6" applyFont="1" applyFill="1" applyBorder="1" applyAlignment="1">
      <alignment horizontal="center" vertical="center"/>
    </xf>
    <xf numFmtId="0" fontId="150" fillId="21" borderId="18" xfId="6" applyFont="1" applyFill="1" applyBorder="1" applyAlignment="1">
      <alignment horizontal="center" vertical="center"/>
    </xf>
    <xf numFmtId="0" fontId="58" fillId="22" borderId="179" xfId="6" applyFont="1" applyFill="1" applyBorder="1" applyAlignment="1">
      <alignment horizontal="center" vertical="center"/>
    </xf>
    <xf numFmtId="0" fontId="58" fillId="22" borderId="32" xfId="6" applyFont="1" applyFill="1" applyBorder="1" applyAlignment="1">
      <alignment horizontal="center" vertical="center"/>
    </xf>
    <xf numFmtId="0" fontId="58" fillId="0" borderId="179" xfId="6" applyFont="1" applyBorder="1" applyAlignment="1">
      <alignment horizontal="center" vertical="center"/>
    </xf>
    <xf numFmtId="0" fontId="58" fillId="20" borderId="179" xfId="6" applyFont="1" applyFill="1" applyBorder="1" applyAlignment="1">
      <alignment horizontal="center" vertical="center"/>
    </xf>
    <xf numFmtId="0" fontId="58" fillId="20" borderId="32" xfId="6" applyFont="1" applyFill="1" applyBorder="1" applyAlignment="1">
      <alignment horizontal="center" vertical="center"/>
    </xf>
    <xf numFmtId="0" fontId="58" fillId="20" borderId="180" xfId="6" applyFont="1" applyFill="1" applyBorder="1" applyAlignment="1">
      <alignment horizontal="center" vertical="center"/>
    </xf>
    <xf numFmtId="0" fontId="180" fillId="0" borderId="0" xfId="6" applyFont="1" applyAlignment="1">
      <alignment horizontal="center" vertical="center"/>
    </xf>
    <xf numFmtId="0" fontId="180" fillId="0" borderId="5" xfId="6" applyFont="1" applyBorder="1" applyAlignment="1">
      <alignment horizontal="center" vertical="center"/>
    </xf>
    <xf numFmtId="0" fontId="58" fillId="0" borderId="14" xfId="6" applyFont="1" applyBorder="1" applyAlignment="1">
      <alignment horizontal="center" vertical="center"/>
    </xf>
    <xf numFmtId="0" fontId="2" fillId="0" borderId="8" xfId="6" applyBorder="1" applyAlignment="1">
      <alignment horizontal="center" vertical="center"/>
    </xf>
    <xf numFmtId="0" fontId="2" fillId="0" borderId="286" xfId="6" applyBorder="1" applyAlignment="1">
      <alignment horizontal="center" vertical="center"/>
    </xf>
    <xf numFmtId="0" fontId="192" fillId="0" borderId="7" xfId="6" applyFont="1" applyBorder="1" applyAlignment="1">
      <alignment horizontal="center" vertical="center" wrapText="1"/>
    </xf>
    <xf numFmtId="0" fontId="192" fillId="0" borderId="0" xfId="6" applyFont="1" applyAlignment="1">
      <alignment horizontal="center" vertical="center" wrapText="1"/>
    </xf>
    <xf numFmtId="0" fontId="59" fillId="0" borderId="12" xfId="6" applyFont="1" applyBorder="1" applyAlignment="1">
      <alignment horizontal="center" vertical="center"/>
    </xf>
    <xf numFmtId="0" fontId="59" fillId="0" borderId="108" xfId="6" applyFont="1" applyBorder="1" applyAlignment="1">
      <alignment horizontal="center" vertical="center"/>
    </xf>
    <xf numFmtId="0" fontId="189" fillId="0" borderId="14" xfId="6" applyFont="1" applyBorder="1" applyAlignment="1">
      <alignment horizontal="center" vertical="center"/>
    </xf>
    <xf numFmtId="0" fontId="185" fillId="0" borderId="14" xfId="6" applyFont="1" applyBorder="1" applyAlignment="1">
      <alignment horizontal="center" vertical="center"/>
    </xf>
    <xf numFmtId="0" fontId="62" fillId="0" borderId="14" xfId="6" applyFont="1" applyBorder="1" applyAlignment="1">
      <alignment horizontal="center" vertical="center"/>
    </xf>
    <xf numFmtId="0" fontId="194" fillId="0" borderId="18" xfId="6" applyFont="1" applyBorder="1" applyAlignment="1">
      <alignment horizontal="center" vertical="center"/>
    </xf>
    <xf numFmtId="0" fontId="194" fillId="0" borderId="32" xfId="6" applyFont="1" applyBorder="1" applyAlignment="1">
      <alignment horizontal="center" vertical="center"/>
    </xf>
    <xf numFmtId="0" fontId="194" fillId="0" borderId="21" xfId="6" applyFont="1" applyBorder="1" applyAlignment="1">
      <alignment horizontal="center" vertical="center"/>
    </xf>
    <xf numFmtId="0" fontId="58" fillId="0" borderId="182" xfId="6" applyFont="1" applyBorder="1" applyAlignment="1">
      <alignment horizontal="center" vertical="center"/>
    </xf>
    <xf numFmtId="0" fontId="58" fillId="0" borderId="185" xfId="6" applyFont="1" applyBorder="1" applyAlignment="1">
      <alignment horizontal="center" vertical="center"/>
    </xf>
    <xf numFmtId="0" fontId="58" fillId="0" borderId="7" xfId="6" applyFont="1" applyBorder="1" applyAlignment="1">
      <alignment horizontal="center" vertical="center"/>
    </xf>
    <xf numFmtId="0" fontId="1" fillId="0" borderId="182" xfId="6" applyFont="1" applyBorder="1" applyAlignment="1">
      <alignment horizontal="center" vertical="center" wrapText="1"/>
    </xf>
    <xf numFmtId="0" fontId="1" fillId="0" borderId="185" xfId="6" applyFont="1" applyBorder="1" applyAlignment="1">
      <alignment horizontal="center" vertical="center" wrapText="1"/>
    </xf>
    <xf numFmtId="0" fontId="1" fillId="0" borderId="114" xfId="6" applyFont="1" applyBorder="1" applyAlignment="1">
      <alignment horizontal="center" vertical="center" wrapText="1"/>
    </xf>
    <xf numFmtId="0" fontId="58" fillId="0" borderId="11" xfId="6" applyFont="1" applyBorder="1" applyAlignment="1">
      <alignment horizontal="center" vertical="center"/>
    </xf>
    <xf numFmtId="0" fontId="150" fillId="0" borderId="11" xfId="6" applyFont="1" applyBorder="1" applyAlignment="1">
      <alignment horizontal="center" vertical="center" wrapText="1"/>
    </xf>
    <xf numFmtId="0" fontId="150" fillId="0" borderId="1" xfId="6" applyFont="1" applyBorder="1" applyAlignment="1">
      <alignment horizontal="center" vertical="center" wrapText="1"/>
    </xf>
    <xf numFmtId="0" fontId="187" fillId="0" borderId="14" xfId="6" applyFont="1" applyBorder="1" applyAlignment="1">
      <alignment horizontal="center" vertical="center"/>
    </xf>
    <xf numFmtId="0" fontId="60" fillId="6" borderId="19" xfId="6" applyFont="1" applyFill="1" applyBorder="1" applyAlignment="1" applyProtection="1">
      <alignment horizontal="center" vertical="center"/>
      <protection locked="0"/>
    </xf>
    <xf numFmtId="0" fontId="60" fillId="6" borderId="11" xfId="6" applyFont="1" applyFill="1" applyBorder="1" applyAlignment="1" applyProtection="1">
      <alignment horizontal="center" vertical="center"/>
      <protection locked="0"/>
    </xf>
    <xf numFmtId="168" fontId="2" fillId="0" borderId="18" xfId="6" applyNumberFormat="1" applyBorder="1" applyAlignment="1">
      <alignment horizontal="center" vertical="center"/>
    </xf>
    <xf numFmtId="168" fontId="2" fillId="0" borderId="21" xfId="6" applyNumberFormat="1" applyBorder="1" applyAlignment="1">
      <alignment horizontal="center" vertical="center"/>
    </xf>
    <xf numFmtId="0" fontId="60" fillId="6" borderId="14" xfId="6" applyFont="1" applyFill="1" applyBorder="1" applyAlignment="1" applyProtection="1">
      <alignment horizontal="center" vertical="center"/>
      <protection locked="0"/>
    </xf>
    <xf numFmtId="0" fontId="60" fillId="6" borderId="18" xfId="6" applyFont="1" applyFill="1" applyBorder="1" applyAlignment="1" applyProtection="1">
      <alignment horizontal="center" vertical="center"/>
      <protection locked="0"/>
    </xf>
    <xf numFmtId="0" fontId="2" fillId="0" borderId="7" xfId="6" applyBorder="1" applyAlignment="1">
      <alignment horizontal="center" vertical="center" wrapText="1"/>
    </xf>
    <xf numFmtId="174" fontId="35" fillId="7" borderId="3" xfId="0" applyNumberFormat="1" applyFont="1" applyFill="1" applyBorder="1" applyAlignment="1" applyProtection="1">
      <alignment horizontal="center" vertical="center"/>
      <protection locked="0"/>
    </xf>
    <xf numFmtId="174" fontId="35" fillId="7" borderId="0" xfId="0" applyNumberFormat="1" applyFont="1" applyFill="1" applyAlignment="1" applyProtection="1">
      <alignment horizontal="center" vertical="center"/>
      <protection locked="0"/>
    </xf>
    <xf numFmtId="174" fontId="35" fillId="7" borderId="1" xfId="0" applyNumberFormat="1" applyFont="1" applyFill="1" applyBorder="1" applyAlignment="1" applyProtection="1">
      <alignment horizontal="center" vertical="center"/>
      <protection locked="0"/>
    </xf>
    <xf numFmtId="2" fontId="35" fillId="7" borderId="0" xfId="0" applyNumberFormat="1" applyFont="1" applyFill="1" applyAlignment="1" applyProtection="1">
      <alignment horizontal="center" vertical="center"/>
      <protection locked="0"/>
    </xf>
    <xf numFmtId="2" fontId="35" fillId="7" borderId="1" xfId="0" applyNumberFormat="1" applyFont="1" applyFill="1" applyBorder="1" applyAlignment="1" applyProtection="1">
      <alignment horizontal="center" vertical="center"/>
      <protection locked="0"/>
    </xf>
    <xf numFmtId="167" fontId="0" fillId="0" borderId="0" xfId="0" applyNumberFormat="1" applyAlignment="1">
      <alignment horizontal="center"/>
    </xf>
    <xf numFmtId="2" fontId="55" fillId="8" borderId="22" xfId="0" applyNumberFormat="1" applyFont="1" applyFill="1" applyBorder="1" applyAlignment="1">
      <alignment horizontal="center" vertical="center"/>
    </xf>
    <xf numFmtId="2" fontId="55" fillId="8" borderId="14" xfId="0" applyNumberFormat="1" applyFont="1" applyFill="1" applyBorder="1" applyAlignment="1">
      <alignment horizontal="center" vertical="center"/>
    </xf>
    <xf numFmtId="0" fontId="43" fillId="0" borderId="14" xfId="0" applyFont="1" applyBorder="1" applyAlignment="1">
      <alignment horizontal="center" vertical="center"/>
    </xf>
    <xf numFmtId="0" fontId="43" fillId="0" borderId="18" xfId="0" applyFont="1" applyBorder="1" applyAlignment="1">
      <alignment horizontal="center" vertical="center"/>
    </xf>
    <xf numFmtId="0" fontId="24" fillId="0" borderId="8" xfId="0" applyFont="1" applyBorder="1" applyAlignment="1">
      <alignment horizontal="center" vertical="center"/>
    </xf>
    <xf numFmtId="0" fontId="24" fillId="0" borderId="3" xfId="0" applyFont="1" applyBorder="1" applyAlignment="1">
      <alignment horizontal="center" vertical="center"/>
    </xf>
    <xf numFmtId="0" fontId="24" fillId="0" borderId="10" xfId="0" applyFont="1" applyBorder="1" applyAlignment="1">
      <alignment horizontal="center" vertical="center"/>
    </xf>
    <xf numFmtId="0" fontId="24" fillId="0" borderId="7" xfId="0" applyFont="1" applyBorder="1" applyAlignment="1">
      <alignment horizontal="center" vertical="center"/>
    </xf>
    <xf numFmtId="0" fontId="24" fillId="0" borderId="0" xfId="0" applyFont="1" applyAlignment="1">
      <alignment horizontal="center" vertical="center"/>
    </xf>
    <xf numFmtId="0" fontId="24" fillId="0" borderId="9" xfId="0" applyFont="1" applyBorder="1" applyAlignment="1">
      <alignment horizontal="center" vertical="center"/>
    </xf>
    <xf numFmtId="0" fontId="24" fillId="0" borderId="11" xfId="0" applyFont="1" applyBorder="1" applyAlignment="1">
      <alignment horizontal="center" vertical="center"/>
    </xf>
    <xf numFmtId="0" fontId="24" fillId="0" borderId="1" xfId="0" applyFont="1" applyBorder="1" applyAlignment="1">
      <alignment horizontal="center" vertical="center"/>
    </xf>
    <xf numFmtId="0" fontId="24" fillId="0" borderId="12" xfId="0" applyFont="1" applyBorder="1" applyAlignment="1">
      <alignment horizontal="center" vertical="center"/>
    </xf>
    <xf numFmtId="0" fontId="0" fillId="0" borderId="9" xfId="0" applyBorder="1" applyAlignment="1">
      <alignment horizontal="right"/>
    </xf>
    <xf numFmtId="0" fontId="30" fillId="0" borderId="3" xfId="0" applyFont="1" applyBorder="1" applyAlignment="1">
      <alignment horizontal="center" wrapText="1"/>
    </xf>
    <xf numFmtId="0" fontId="30" fillId="0" borderId="0" xfId="0" applyFont="1" applyAlignment="1">
      <alignment horizontal="center" wrapText="1"/>
    </xf>
    <xf numFmtId="0" fontId="30" fillId="0" borderId="1" xfId="0" applyFont="1" applyBorder="1" applyAlignment="1">
      <alignment horizontal="center" wrapText="1"/>
    </xf>
    <xf numFmtId="0" fontId="0" fillId="0" borderId="0" xfId="0" applyAlignment="1">
      <alignment horizontal="left"/>
    </xf>
    <xf numFmtId="0" fontId="0" fillId="0" borderId="8" xfId="0" applyBorder="1" applyAlignment="1">
      <alignment horizontal="center"/>
    </xf>
    <xf numFmtId="0" fontId="0" fillId="0" borderId="3" xfId="0" applyBorder="1" applyAlignment="1">
      <alignment horizontal="center"/>
    </xf>
    <xf numFmtId="0" fontId="0" fillId="0" borderId="10" xfId="0" applyBorder="1" applyAlignment="1">
      <alignment horizontal="center"/>
    </xf>
    <xf numFmtId="0" fontId="0" fillId="0" borderId="7" xfId="0" applyBorder="1" applyAlignment="1">
      <alignment horizontal="center"/>
    </xf>
    <xf numFmtId="0" fontId="0" fillId="0" borderId="0" xfId="0" applyAlignment="1">
      <alignment horizontal="center"/>
    </xf>
    <xf numFmtId="0" fontId="0" fillId="0" borderId="9" xfId="0" applyBorder="1" applyAlignment="1">
      <alignment horizontal="center"/>
    </xf>
    <xf numFmtId="0" fontId="0" fillId="0" borderId="11" xfId="0" applyBorder="1" applyAlignment="1">
      <alignment horizontal="center"/>
    </xf>
    <xf numFmtId="0" fontId="0" fillId="0" borderId="1" xfId="0" applyBorder="1" applyAlignment="1">
      <alignment horizontal="center"/>
    </xf>
    <xf numFmtId="0" fontId="0" fillId="0" borderId="12" xfId="0" applyBorder="1" applyAlignment="1">
      <alignment horizontal="center"/>
    </xf>
    <xf numFmtId="2" fontId="0" fillId="0" borderId="15" xfId="0" applyNumberFormat="1" applyBorder="1" applyAlignment="1">
      <alignment horizontal="center" vertical="center"/>
    </xf>
    <xf numFmtId="0" fontId="0" fillId="0" borderId="47" xfId="0" applyBorder="1" applyAlignment="1">
      <alignment horizontal="center" vertical="center"/>
    </xf>
    <xf numFmtId="0" fontId="0" fillId="0" borderId="19" xfId="0" applyBorder="1" applyAlignment="1">
      <alignment horizontal="center" vertical="center"/>
    </xf>
    <xf numFmtId="0" fontId="0" fillId="0" borderId="8" xfId="0" applyBorder="1" applyAlignment="1">
      <alignment horizontal="center" vertical="center" wrapText="1"/>
    </xf>
    <xf numFmtId="0" fontId="0" fillId="0" borderId="10" xfId="0" applyBorder="1" applyAlignment="1">
      <alignment horizontal="center" vertical="center" wrapText="1"/>
    </xf>
    <xf numFmtId="0" fontId="0" fillId="0" borderId="7" xfId="0" applyBorder="1" applyAlignment="1">
      <alignment horizontal="center" vertical="center" wrapText="1"/>
    </xf>
    <xf numFmtId="0" fontId="0" fillId="0" borderId="9" xfId="0" applyBorder="1" applyAlignment="1">
      <alignment horizontal="center" vertical="center" wrapText="1"/>
    </xf>
    <xf numFmtId="0" fontId="0" fillId="0" borderId="11" xfId="0" applyBorder="1" applyAlignment="1">
      <alignment horizontal="center" vertical="center" wrapText="1"/>
    </xf>
    <xf numFmtId="0" fontId="0" fillId="0" borderId="12" xfId="0" applyBorder="1" applyAlignment="1">
      <alignment horizontal="center" vertical="center" wrapText="1"/>
    </xf>
    <xf numFmtId="2" fontId="0" fillId="0" borderId="14" xfId="0" applyNumberFormat="1" applyBorder="1" applyAlignment="1">
      <alignment horizontal="center" vertical="center"/>
    </xf>
    <xf numFmtId="0" fontId="0" fillId="0" borderId="21" xfId="0" applyBorder="1" applyAlignment="1">
      <alignment horizontal="center"/>
    </xf>
    <xf numFmtId="0" fontId="0" fillId="0" borderId="47" xfId="0" applyBorder="1" applyAlignment="1">
      <alignment horizontal="center" wrapText="1"/>
    </xf>
    <xf numFmtId="0" fontId="0" fillId="0" borderId="19" xfId="0" applyBorder="1" applyAlignment="1">
      <alignment horizontal="center" wrapText="1"/>
    </xf>
    <xf numFmtId="0" fontId="0" fillId="0" borderId="14" xfId="0" applyBorder="1" applyAlignment="1">
      <alignment horizontal="center" vertical="center" wrapText="1"/>
    </xf>
    <xf numFmtId="0" fontId="0" fillId="0" borderId="15" xfId="0" applyBorder="1" applyAlignment="1">
      <alignment horizontal="center"/>
    </xf>
    <xf numFmtId="0" fontId="0" fillId="0" borderId="47" xfId="0" applyBorder="1" applyAlignment="1">
      <alignment horizontal="center"/>
    </xf>
    <xf numFmtId="0" fontId="0" fillId="0" borderId="19" xfId="0" applyBorder="1" applyAlignment="1">
      <alignment horizontal="center"/>
    </xf>
    <xf numFmtId="0" fontId="31" fillId="0" borderId="14" xfId="0" applyFont="1" applyBorder="1" applyAlignment="1">
      <alignment horizontal="center" vertical="center" textRotation="90"/>
    </xf>
    <xf numFmtId="0" fontId="0" fillId="0" borderId="3" xfId="0" applyBorder="1" applyAlignment="1">
      <alignment horizontal="center" vertical="center" wrapText="1"/>
    </xf>
    <xf numFmtId="0" fontId="0" fillId="0" borderId="0" xfId="0" applyAlignment="1">
      <alignment horizontal="center" vertical="center" wrapText="1"/>
    </xf>
    <xf numFmtId="0" fontId="0" fillId="0" borderId="1" xfId="0" applyBorder="1" applyAlignment="1">
      <alignment horizontal="center" vertical="center" wrapText="1"/>
    </xf>
    <xf numFmtId="0" fontId="126" fillId="0" borderId="1" xfId="0" applyFont="1" applyBorder="1" applyAlignment="1">
      <alignment horizontal="center"/>
    </xf>
    <xf numFmtId="2" fontId="55" fillId="8" borderId="23" xfId="0" applyNumberFormat="1" applyFont="1" applyFill="1" applyBorder="1" applyAlignment="1">
      <alignment horizontal="center" vertical="center"/>
    </xf>
    <xf numFmtId="2" fontId="40" fillId="11" borderId="21" xfId="0" applyNumberFormat="1" applyFont="1" applyFill="1" applyBorder="1" applyAlignment="1">
      <alignment horizontal="center" vertical="center"/>
    </xf>
    <xf numFmtId="2" fontId="40" fillId="11" borderId="14" xfId="0" applyNumberFormat="1" applyFont="1" applyFill="1" applyBorder="1" applyAlignment="1">
      <alignment horizontal="center" vertical="center"/>
    </xf>
    <xf numFmtId="0" fontId="0" fillId="0" borderId="14" xfId="0" applyBorder="1" applyAlignment="1">
      <alignment horizontal="center"/>
    </xf>
    <xf numFmtId="2" fontId="31" fillId="0" borderId="14" xfId="0" applyNumberFormat="1" applyFont="1" applyBorder="1" applyAlignment="1">
      <alignment horizontal="center" vertical="center"/>
    </xf>
    <xf numFmtId="0" fontId="0" fillId="0" borderId="18" xfId="0" applyBorder="1" applyAlignment="1">
      <alignment horizontal="left"/>
    </xf>
    <xf numFmtId="0" fontId="0" fillId="0" borderId="32" xfId="0" applyBorder="1" applyAlignment="1">
      <alignment horizontal="left"/>
    </xf>
    <xf numFmtId="0" fontId="0" fillId="0" borderId="21" xfId="0" applyBorder="1" applyAlignment="1">
      <alignment horizontal="left"/>
    </xf>
    <xf numFmtId="164" fontId="0" fillId="0" borderId="18" xfId="0" applyNumberFormat="1" applyBorder="1" applyAlignment="1">
      <alignment horizontal="left"/>
    </xf>
    <xf numFmtId="164" fontId="0" fillId="0" borderId="32" xfId="0" applyNumberFormat="1" applyBorder="1" applyAlignment="1">
      <alignment horizontal="left"/>
    </xf>
    <xf numFmtId="164" fontId="0" fillId="0" borderId="21" xfId="0" applyNumberFormat="1" applyBorder="1" applyAlignment="1">
      <alignment horizontal="left"/>
    </xf>
    <xf numFmtId="0" fontId="31" fillId="0" borderId="30" xfId="0" applyFont="1" applyBorder="1" applyAlignment="1">
      <alignment horizontal="center"/>
    </xf>
    <xf numFmtId="0" fontId="31" fillId="0" borderId="105" xfId="0" applyFont="1" applyBorder="1" applyAlignment="1">
      <alignment horizontal="center"/>
    </xf>
    <xf numFmtId="2" fontId="125" fillId="0" borderId="33" xfId="0" applyNumberFormat="1" applyFont="1" applyBorder="1" applyAlignment="1">
      <alignment horizontal="center" vertical="center"/>
    </xf>
    <xf numFmtId="2" fontId="125" fillId="0" borderId="30" xfId="0" applyNumberFormat="1" applyFont="1" applyBorder="1" applyAlignment="1">
      <alignment horizontal="center" vertical="center"/>
    </xf>
    <xf numFmtId="2" fontId="125" fillId="0" borderId="34" xfId="0" applyNumberFormat="1" applyFont="1" applyBorder="1" applyAlignment="1">
      <alignment horizontal="center" vertical="center"/>
    </xf>
    <xf numFmtId="2" fontId="125" fillId="0" borderId="27" xfId="0" applyNumberFormat="1" applyFont="1" applyBorder="1" applyAlignment="1">
      <alignment horizontal="center" vertical="center"/>
    </xf>
    <xf numFmtId="2" fontId="125" fillId="0" borderId="28" xfId="0" applyNumberFormat="1" applyFont="1" applyBorder="1" applyAlignment="1">
      <alignment horizontal="center" vertical="center"/>
    </xf>
    <xf numFmtId="2" fontId="125" fillId="0" borderId="29" xfId="0" applyNumberFormat="1" applyFont="1" applyBorder="1" applyAlignment="1">
      <alignment horizontal="center" vertical="center"/>
    </xf>
    <xf numFmtId="2" fontId="125" fillId="0" borderId="152" xfId="0" applyNumberFormat="1" applyFont="1" applyBorder="1" applyAlignment="1">
      <alignment horizontal="center" vertical="center"/>
    </xf>
    <xf numFmtId="2" fontId="125" fillId="0" borderId="145" xfId="0" applyNumberFormat="1" applyFont="1" applyBorder="1" applyAlignment="1">
      <alignment horizontal="center" vertical="center"/>
    </xf>
    <xf numFmtId="2" fontId="125" fillId="0" borderId="140" xfId="0" applyNumberFormat="1" applyFont="1" applyBorder="1" applyAlignment="1">
      <alignment horizontal="center" vertical="center"/>
    </xf>
    <xf numFmtId="2" fontId="31" fillId="0" borderId="3" xfId="0" applyNumberFormat="1" applyFont="1" applyBorder="1" applyAlignment="1">
      <alignment horizontal="center" vertical="center"/>
    </xf>
    <xf numFmtId="0" fontId="27" fillId="0" borderId="3" xfId="0" applyFont="1" applyBorder="1" applyAlignment="1">
      <alignment horizontal="center" vertical="center"/>
    </xf>
    <xf numFmtId="0" fontId="27" fillId="0" borderId="0" xfId="0" applyFont="1" applyAlignment="1">
      <alignment horizontal="left" vertical="center"/>
    </xf>
    <xf numFmtId="2" fontId="39" fillId="0" borderId="3" xfId="0" applyNumberFormat="1" applyFont="1" applyBorder="1" applyAlignment="1">
      <alignment horizontal="center" vertical="center"/>
    </xf>
    <xf numFmtId="2" fontId="39" fillId="0" borderId="0" xfId="0" applyNumberFormat="1" applyFont="1" applyAlignment="1">
      <alignment horizontal="center" vertical="center"/>
    </xf>
    <xf numFmtId="2" fontId="39" fillId="0" borderId="1" xfId="0" applyNumberFormat="1" applyFont="1" applyBorder="1" applyAlignment="1">
      <alignment horizontal="center" vertical="center"/>
    </xf>
    <xf numFmtId="2" fontId="34" fillId="7" borderId="0" xfId="0" applyNumberFormat="1" applyFont="1" applyFill="1" applyAlignment="1" applyProtection="1">
      <alignment horizontal="center" vertical="center"/>
      <protection locked="0"/>
    </xf>
    <xf numFmtId="2" fontId="34" fillId="7" borderId="1" xfId="0" applyNumberFormat="1" applyFont="1" applyFill="1" applyBorder="1" applyAlignment="1" applyProtection="1">
      <alignment horizontal="center" vertical="center"/>
      <protection locked="0"/>
    </xf>
    <xf numFmtId="0" fontId="102" fillId="0" borderId="0" xfId="0" applyFont="1" applyAlignment="1">
      <alignment horizontal="right" vertical="center"/>
    </xf>
    <xf numFmtId="2" fontId="24" fillId="0" borderId="3" xfId="0" applyNumberFormat="1" applyFont="1" applyBorder="1" applyAlignment="1">
      <alignment horizontal="center" vertical="center"/>
    </xf>
    <xf numFmtId="2" fontId="24" fillId="0" borderId="0" xfId="0" applyNumberFormat="1" applyFont="1" applyAlignment="1">
      <alignment horizontal="center" vertical="center"/>
    </xf>
    <xf numFmtId="2" fontId="24" fillId="0" borderId="1" xfId="0" applyNumberFormat="1" applyFont="1" applyBorder="1" applyAlignment="1">
      <alignment horizontal="center" vertical="center"/>
    </xf>
    <xf numFmtId="0" fontId="46" fillId="0" borderId="130" xfId="0" quotePrefix="1" applyFont="1" applyBorder="1" applyAlignment="1">
      <alignment horizontal="left" vertical="center"/>
    </xf>
    <xf numFmtId="0" fontId="46" fillId="0" borderId="48" xfId="0" quotePrefix="1" applyFont="1" applyBorder="1" applyAlignment="1">
      <alignment horizontal="left" vertical="center"/>
    </xf>
    <xf numFmtId="0" fontId="46" fillId="0" borderId="50" xfId="0" quotePrefix="1" applyFont="1" applyBorder="1" applyAlignment="1">
      <alignment horizontal="left" vertical="center"/>
    </xf>
    <xf numFmtId="0" fontId="46" fillId="0" borderId="119" xfId="0" quotePrefix="1" applyFont="1" applyBorder="1" applyAlignment="1">
      <alignment horizontal="left" vertical="center"/>
    </xf>
    <xf numFmtId="0" fontId="24" fillId="0" borderId="0" xfId="0" applyFont="1" applyAlignment="1">
      <alignment horizontal="center"/>
    </xf>
    <xf numFmtId="0" fontId="35" fillId="7" borderId="0" xfId="0" applyFont="1" applyFill="1" applyAlignment="1" applyProtection="1">
      <alignment horizontal="center" vertical="center"/>
      <protection locked="0"/>
    </xf>
    <xf numFmtId="0" fontId="35" fillId="7" borderId="1" xfId="0" applyFont="1" applyFill="1" applyBorder="1" applyAlignment="1" applyProtection="1">
      <alignment horizontal="center" vertical="center"/>
      <protection locked="0"/>
    </xf>
    <xf numFmtId="0" fontId="28" fillId="0" borderId="0" xfId="0" applyFont="1" applyAlignment="1">
      <alignment horizontal="center" vertical="center"/>
    </xf>
    <xf numFmtId="0" fontId="0" fillId="0" borderId="156" xfId="0" applyBorder="1" applyAlignment="1">
      <alignment horizontal="center"/>
    </xf>
    <xf numFmtId="2" fontId="146" fillId="9" borderId="37" xfId="0" applyNumberFormat="1" applyFont="1" applyFill="1" applyBorder="1" applyAlignment="1">
      <alignment horizontal="center" vertical="center"/>
    </xf>
    <xf numFmtId="2" fontId="146" fillId="9" borderId="38" xfId="0" applyNumberFormat="1" applyFont="1" applyFill="1" applyBorder="1" applyAlignment="1">
      <alignment horizontal="center" vertical="center"/>
    </xf>
    <xf numFmtId="2" fontId="146" fillId="9" borderId="39" xfId="0" applyNumberFormat="1" applyFont="1" applyFill="1" applyBorder="1" applyAlignment="1">
      <alignment horizontal="center" vertical="center"/>
    </xf>
    <xf numFmtId="2" fontId="146" fillId="9" borderId="4" xfId="0" applyNumberFormat="1" applyFont="1" applyFill="1" applyBorder="1" applyAlignment="1">
      <alignment horizontal="center" vertical="center"/>
    </xf>
    <xf numFmtId="2" fontId="146" fillId="9" borderId="0" xfId="0" applyNumberFormat="1" applyFont="1" applyFill="1" applyAlignment="1">
      <alignment horizontal="center" vertical="center"/>
    </xf>
    <xf numFmtId="2" fontId="146" fillId="9" borderId="5" xfId="0" applyNumberFormat="1" applyFont="1" applyFill="1" applyBorder="1" applyAlignment="1">
      <alignment horizontal="center" vertical="center"/>
    </xf>
    <xf numFmtId="2" fontId="146" fillId="9" borderId="40" xfId="0" applyNumberFormat="1" applyFont="1" applyFill="1" applyBorder="1" applyAlignment="1">
      <alignment horizontal="center" vertical="center"/>
    </xf>
    <xf numFmtId="2" fontId="146" fillId="9" borderId="41" xfId="0" applyNumberFormat="1" applyFont="1" applyFill="1" applyBorder="1" applyAlignment="1">
      <alignment horizontal="center" vertical="center"/>
    </xf>
    <xf numFmtId="2" fontId="146" fillId="9" borderId="42" xfId="0" applyNumberFormat="1" applyFont="1" applyFill="1" applyBorder="1" applyAlignment="1">
      <alignment horizontal="center" vertical="center"/>
    </xf>
    <xf numFmtId="0" fontId="27" fillId="0" borderId="0" xfId="0" applyFont="1" applyAlignment="1">
      <alignment horizontal="right" vertical="center"/>
    </xf>
    <xf numFmtId="0" fontId="0" fillId="0" borderId="5" xfId="0" applyBorder="1" applyAlignment="1">
      <alignment horizontal="center"/>
    </xf>
    <xf numFmtId="18" fontId="34" fillId="7" borderId="0" xfId="0" applyNumberFormat="1" applyFont="1" applyFill="1" applyAlignment="1" applyProtection="1">
      <alignment horizontal="center" vertical="center"/>
      <protection locked="0"/>
    </xf>
    <xf numFmtId="18" fontId="34" fillId="7" borderId="1" xfId="0" applyNumberFormat="1" applyFont="1" applyFill="1" applyBorder="1" applyAlignment="1" applyProtection="1">
      <alignment horizontal="center" vertical="center"/>
      <protection locked="0"/>
    </xf>
    <xf numFmtId="0" fontId="343" fillId="7" borderId="24" xfId="0" applyFont="1" applyFill="1" applyBorder="1" applyAlignment="1" applyProtection="1">
      <alignment horizontal="left" vertical="top" wrapText="1"/>
      <protection locked="0"/>
    </xf>
    <xf numFmtId="0" fontId="343" fillId="7" borderId="3" xfId="0" applyFont="1" applyFill="1" applyBorder="1" applyAlignment="1" applyProtection="1">
      <alignment horizontal="left" vertical="top" wrapText="1"/>
      <protection locked="0"/>
    </xf>
    <xf numFmtId="0" fontId="343" fillId="7" borderId="6" xfId="0" applyFont="1" applyFill="1" applyBorder="1" applyAlignment="1" applyProtection="1">
      <alignment horizontal="left" vertical="top" wrapText="1"/>
      <protection locked="0"/>
    </xf>
    <xf numFmtId="0" fontId="343" fillId="7" borderId="221" xfId="0" applyFont="1" applyFill="1" applyBorder="1" applyAlignment="1" applyProtection="1">
      <alignment horizontal="left" vertical="top" wrapText="1"/>
      <protection locked="0"/>
    </xf>
    <xf numFmtId="0" fontId="343" fillId="7" borderId="0" xfId="0" applyFont="1" applyFill="1" applyAlignment="1" applyProtection="1">
      <alignment horizontal="left" vertical="top" wrapText="1"/>
      <protection locked="0"/>
    </xf>
    <xf numFmtId="0" fontId="343" fillId="7" borderId="5" xfId="0" applyFont="1" applyFill="1" applyBorder="1" applyAlignment="1" applyProtection="1">
      <alignment horizontal="left" vertical="top" wrapText="1"/>
      <protection locked="0"/>
    </xf>
    <xf numFmtId="0" fontId="343" fillId="7" borderId="31" xfId="0" applyFont="1" applyFill="1" applyBorder="1" applyAlignment="1" applyProtection="1">
      <alignment horizontal="left" vertical="top" wrapText="1"/>
      <protection locked="0"/>
    </xf>
    <xf numFmtId="0" fontId="343" fillId="7" borderId="1" xfId="0" applyFont="1" applyFill="1" applyBorder="1" applyAlignment="1" applyProtection="1">
      <alignment horizontal="left" vertical="top" wrapText="1"/>
      <protection locked="0"/>
    </xf>
    <xf numFmtId="0" fontId="343" fillId="7" borderId="2" xfId="0" applyFont="1" applyFill="1" applyBorder="1" applyAlignment="1" applyProtection="1">
      <alignment horizontal="left" vertical="top" wrapText="1"/>
      <protection locked="0"/>
    </xf>
    <xf numFmtId="0" fontId="143" fillId="0" borderId="41" xfId="0" applyFont="1" applyBorder="1" applyAlignment="1">
      <alignment horizontal="right"/>
    </xf>
    <xf numFmtId="0" fontId="47" fillId="0" borderId="41" xfId="0" applyFont="1" applyBorder="1" applyAlignment="1">
      <alignment horizontal="left" vertical="top"/>
    </xf>
    <xf numFmtId="2" fontId="34" fillId="7" borderId="0" xfId="0" applyNumberFormat="1" applyFont="1" applyFill="1" applyAlignment="1" applyProtection="1">
      <alignment horizontal="center"/>
      <protection locked="0"/>
    </xf>
    <xf numFmtId="2" fontId="34" fillId="7" borderId="1" xfId="0" applyNumberFormat="1" applyFont="1" applyFill="1" applyBorder="1" applyAlignment="1" applyProtection="1">
      <alignment horizontal="center"/>
      <protection locked="0"/>
    </xf>
    <xf numFmtId="18" fontId="0" fillId="0" borderId="0" xfId="0" applyNumberFormat="1" applyAlignment="1">
      <alignment horizontal="center"/>
    </xf>
    <xf numFmtId="0" fontId="24" fillId="0" borderId="156" xfId="0" applyFont="1" applyBorder="1" applyAlignment="1">
      <alignment horizontal="center"/>
    </xf>
    <xf numFmtId="0" fontId="27" fillId="0" borderId="0" xfId="0" applyFont="1" applyAlignment="1">
      <alignment horizontal="center" vertical="center"/>
    </xf>
    <xf numFmtId="0" fontId="31" fillId="36" borderId="8" xfId="0" applyFont="1" applyFill="1" applyBorder="1" applyAlignment="1">
      <alignment horizontal="center" vertical="center" wrapText="1"/>
    </xf>
    <xf numFmtId="0" fontId="31" fillId="36" borderId="3" xfId="0" applyFont="1" applyFill="1" applyBorder="1" applyAlignment="1">
      <alignment horizontal="center" vertical="center" wrapText="1"/>
    </xf>
    <xf numFmtId="0" fontId="31" fillId="36" borderId="286" xfId="0" applyFont="1" applyFill="1" applyBorder="1" applyAlignment="1">
      <alignment horizontal="center" vertical="center" wrapText="1"/>
    </xf>
    <xf numFmtId="0" fontId="31" fillId="36" borderId="7" xfId="0" applyFont="1" applyFill="1" applyBorder="1" applyAlignment="1">
      <alignment horizontal="center" vertical="center" wrapText="1"/>
    </xf>
    <xf numFmtId="0" fontId="31" fillId="36" borderId="0" xfId="0" applyFont="1" applyFill="1" applyAlignment="1">
      <alignment horizontal="center" vertical="center" wrapText="1"/>
    </xf>
    <xf numFmtId="0" fontId="31" fillId="36" borderId="9" xfId="0" applyFont="1" applyFill="1" applyBorder="1" applyAlignment="1">
      <alignment horizontal="center" vertical="center" wrapText="1"/>
    </xf>
    <xf numFmtId="0" fontId="31" fillId="36" borderId="11" xfId="0" applyFont="1" applyFill="1" applyBorder="1" applyAlignment="1">
      <alignment horizontal="center" vertical="center" wrapText="1"/>
    </xf>
    <xf numFmtId="0" fontId="31" fillId="36" borderId="1" xfId="0" applyFont="1" applyFill="1" applyBorder="1" applyAlignment="1">
      <alignment horizontal="center" vertical="center" wrapText="1"/>
    </xf>
    <xf numFmtId="0" fontId="31" fillId="36" borderId="12" xfId="0" applyFont="1" applyFill="1" applyBorder="1" applyAlignment="1">
      <alignment horizontal="center" vertical="center" wrapText="1"/>
    </xf>
    <xf numFmtId="2" fontId="120" fillId="0" borderId="100" xfId="0" applyNumberFormat="1" applyFont="1" applyBorder="1" applyAlignment="1">
      <alignment horizontal="center" vertical="center"/>
    </xf>
    <xf numFmtId="2" fontId="120" fillId="0" borderId="101" xfId="0" applyNumberFormat="1" applyFont="1" applyBorder="1" applyAlignment="1">
      <alignment horizontal="center" vertical="center"/>
    </xf>
    <xf numFmtId="2" fontId="120" fillId="0" borderId="26" xfId="0" applyNumberFormat="1" applyFont="1" applyBorder="1" applyAlignment="1">
      <alignment horizontal="center" vertical="center"/>
    </xf>
    <xf numFmtId="2" fontId="120" fillId="0" borderId="16" xfId="0" applyNumberFormat="1" applyFont="1" applyBorder="1" applyAlignment="1">
      <alignment horizontal="center" vertical="center"/>
    </xf>
    <xf numFmtId="2" fontId="120" fillId="0" borderId="29" xfId="0" applyNumberFormat="1" applyFont="1" applyBorder="1" applyAlignment="1">
      <alignment horizontal="center" vertical="center"/>
    </xf>
    <xf numFmtId="2" fontId="120" fillId="0" borderId="17" xfId="0" applyNumberFormat="1" applyFont="1" applyBorder="1" applyAlignment="1">
      <alignment horizontal="center" vertical="center"/>
    </xf>
    <xf numFmtId="2" fontId="34" fillId="7" borderId="14" xfId="0" applyNumberFormat="1" applyFont="1" applyFill="1" applyBorder="1" applyAlignment="1" applyProtection="1">
      <alignment horizontal="center" vertical="center"/>
      <protection locked="0"/>
    </xf>
    <xf numFmtId="2" fontId="124" fillId="0" borderId="103" xfId="0" applyNumberFormat="1" applyFont="1" applyBorder="1" applyAlignment="1">
      <alignment horizontal="center" vertical="center"/>
    </xf>
    <xf numFmtId="2" fontId="124" fillId="0" borderId="101" xfId="0" applyNumberFormat="1" applyFont="1" applyBorder="1" applyAlignment="1">
      <alignment horizontal="center" vertical="center"/>
    </xf>
    <xf numFmtId="2" fontId="124" fillId="0" borderId="35" xfId="0" applyNumberFormat="1" applyFont="1" applyBorder="1" applyAlignment="1">
      <alignment horizontal="center" vertical="center"/>
    </xf>
    <xf numFmtId="2" fontId="124" fillId="0" borderId="16" xfId="0" applyNumberFormat="1" applyFont="1" applyBorder="1" applyAlignment="1">
      <alignment horizontal="center" vertical="center"/>
    </xf>
    <xf numFmtId="2" fontId="34" fillId="7" borderId="96" xfId="0" applyNumberFormat="1" applyFont="1" applyFill="1" applyBorder="1" applyAlignment="1" applyProtection="1">
      <alignment horizontal="center" vertical="center"/>
      <protection locked="0"/>
    </xf>
    <xf numFmtId="2" fontId="40" fillId="15" borderId="93" xfId="0" applyNumberFormat="1" applyFont="1" applyFill="1" applyBorder="1" applyAlignment="1">
      <alignment horizontal="center" vertical="center"/>
    </xf>
    <xf numFmtId="2" fontId="40" fillId="15" borderId="38" xfId="0" applyNumberFormat="1" applyFont="1" applyFill="1" applyBorder="1" applyAlignment="1">
      <alignment horizontal="center" vertical="center"/>
    </xf>
    <xf numFmtId="2" fontId="40" fillId="15" borderId="92" xfId="0" applyNumberFormat="1" applyFont="1" applyFill="1" applyBorder="1" applyAlignment="1">
      <alignment horizontal="center" vertical="center"/>
    </xf>
    <xf numFmtId="2" fontId="40" fillId="15" borderId="7" xfId="0" applyNumberFormat="1" applyFont="1" applyFill="1" applyBorder="1" applyAlignment="1">
      <alignment horizontal="center" vertical="center"/>
    </xf>
    <xf numFmtId="2" fontId="40" fillId="15" borderId="0" xfId="0" applyNumberFormat="1" applyFont="1" applyFill="1" applyAlignment="1">
      <alignment horizontal="center" vertical="center"/>
    </xf>
    <xf numFmtId="2" fontId="40" fillId="15" borderId="9" xfId="0" applyNumberFormat="1" applyFont="1" applyFill="1" applyBorder="1" applyAlignment="1">
      <alignment horizontal="center" vertical="center"/>
    </xf>
    <xf numFmtId="0" fontId="36" fillId="7" borderId="3" xfId="0" applyFont="1" applyFill="1" applyBorder="1" applyAlignment="1" applyProtection="1">
      <alignment horizontal="left" vertical="top" wrapText="1"/>
      <protection locked="0"/>
    </xf>
    <xf numFmtId="0" fontId="36" fillId="7" borderId="6" xfId="0" applyFont="1" applyFill="1" applyBorder="1" applyAlignment="1" applyProtection="1">
      <alignment horizontal="left" vertical="top" wrapText="1"/>
      <protection locked="0"/>
    </xf>
    <xf numFmtId="0" fontId="36" fillId="7" borderId="0" xfId="0" applyFont="1" applyFill="1" applyAlignment="1" applyProtection="1">
      <alignment horizontal="left" vertical="top" wrapText="1"/>
      <protection locked="0"/>
    </xf>
    <xf numFmtId="0" fontId="36" fillId="7" borderId="5" xfId="0" applyFont="1" applyFill="1" applyBorder="1" applyAlignment="1" applyProtection="1">
      <alignment horizontal="left" vertical="top" wrapText="1"/>
      <protection locked="0"/>
    </xf>
    <xf numFmtId="0" fontId="36" fillId="7" borderId="1" xfId="0" applyFont="1" applyFill="1" applyBorder="1" applyAlignment="1" applyProtection="1">
      <alignment horizontal="left" vertical="top" wrapText="1"/>
      <protection locked="0"/>
    </xf>
    <xf numFmtId="0" fontId="36" fillId="7" borderId="2" xfId="0" applyFont="1" applyFill="1" applyBorder="1" applyAlignment="1" applyProtection="1">
      <alignment horizontal="left" vertical="top" wrapText="1"/>
      <protection locked="0"/>
    </xf>
    <xf numFmtId="2" fontId="34" fillId="7" borderId="23" xfId="0" applyNumberFormat="1" applyFont="1" applyFill="1" applyBorder="1" applyAlignment="1" applyProtection="1">
      <alignment horizontal="center" vertical="center"/>
      <protection locked="0"/>
    </xf>
    <xf numFmtId="2" fontId="40" fillId="0" borderId="14" xfId="0" applyNumberFormat="1" applyFont="1" applyBorder="1" applyAlignment="1">
      <alignment horizontal="center" vertical="center"/>
    </xf>
    <xf numFmtId="2" fontId="40" fillId="0" borderId="23" xfId="0" applyNumberFormat="1" applyFont="1" applyBorder="1" applyAlignment="1">
      <alignment horizontal="center" vertical="center"/>
    </xf>
    <xf numFmtId="2" fontId="120" fillId="0" borderId="102" xfId="0" applyNumberFormat="1" applyFont="1" applyBorder="1" applyAlignment="1">
      <alignment horizontal="center" vertical="center"/>
    </xf>
    <xf numFmtId="2" fontId="120" fillId="0" borderId="25" xfId="0" applyNumberFormat="1" applyFont="1" applyBorder="1" applyAlignment="1">
      <alignment horizontal="center" vertical="center"/>
    </xf>
    <xf numFmtId="2" fontId="120" fillId="0" borderId="27" xfId="0" applyNumberFormat="1" applyFont="1" applyBorder="1" applyAlignment="1">
      <alignment horizontal="center" vertical="center"/>
    </xf>
    <xf numFmtId="2" fontId="40" fillId="15" borderId="95" xfId="0" applyNumberFormat="1" applyFont="1" applyFill="1" applyBorder="1" applyAlignment="1">
      <alignment horizontal="center" vertical="center"/>
    </xf>
    <xf numFmtId="2" fontId="40" fillId="15" borderId="41" xfId="0" applyNumberFormat="1" applyFont="1" applyFill="1" applyBorder="1" applyAlignment="1">
      <alignment horizontal="center" vertical="center"/>
    </xf>
    <xf numFmtId="2" fontId="40" fillId="15" borderId="94" xfId="0" applyNumberFormat="1" applyFont="1" applyFill="1" applyBorder="1" applyAlignment="1">
      <alignment horizontal="center" vertical="center"/>
    </xf>
    <xf numFmtId="0" fontId="46" fillId="0" borderId="4" xfId="0" applyFont="1" applyBorder="1" applyAlignment="1">
      <alignment horizontal="center" vertical="center"/>
    </xf>
    <xf numFmtId="0" fontId="46" fillId="0" borderId="0" xfId="0" applyFont="1" applyAlignment="1">
      <alignment horizontal="center" vertical="center"/>
    </xf>
    <xf numFmtId="0" fontId="46" fillId="0" borderId="26" xfId="0" applyFont="1" applyBorder="1" applyAlignment="1">
      <alignment horizontal="center" vertical="center"/>
    </xf>
    <xf numFmtId="0" fontId="24" fillId="0" borderId="0" xfId="0" quotePrefix="1" applyFont="1" applyAlignment="1">
      <alignment horizontal="center" vertical="center"/>
    </xf>
    <xf numFmtId="0" fontId="24" fillId="0" borderId="0" xfId="0" applyFont="1" applyAlignment="1" applyProtection="1">
      <alignment horizontal="center"/>
      <protection locked="0"/>
    </xf>
    <xf numFmtId="0" fontId="27" fillId="0" borderId="156" xfId="0" applyFont="1" applyBorder="1" applyAlignment="1">
      <alignment horizontal="center"/>
    </xf>
    <xf numFmtId="0" fontId="27" fillId="0" borderId="0" xfId="0" applyFont="1" applyAlignment="1">
      <alignment horizontal="center"/>
    </xf>
    <xf numFmtId="0" fontId="48" fillId="0" borderId="0" xfId="0" applyFont="1" applyAlignment="1">
      <alignment horizontal="center" vertical="center"/>
    </xf>
    <xf numFmtId="166" fontId="34" fillId="7" borderId="0" xfId="0" applyNumberFormat="1" applyFont="1" applyFill="1" applyAlignment="1" applyProtection="1">
      <alignment horizontal="center" vertical="center"/>
      <protection locked="0"/>
    </xf>
    <xf numFmtId="166" fontId="34" fillId="7" borderId="1" xfId="0" applyNumberFormat="1" applyFont="1" applyFill="1" applyBorder="1" applyAlignment="1" applyProtection="1">
      <alignment horizontal="center" vertical="center"/>
      <protection locked="0"/>
    </xf>
    <xf numFmtId="0" fontId="27" fillId="0" borderId="118" xfId="0" applyFont="1" applyBorder="1" applyAlignment="1">
      <alignment horizontal="right" vertical="center"/>
    </xf>
    <xf numFmtId="2" fontId="34" fillId="7" borderId="97" xfId="0" applyNumberFormat="1" applyFont="1" applyFill="1" applyBorder="1" applyAlignment="1" applyProtection="1">
      <alignment horizontal="center" vertical="center"/>
      <protection locked="0"/>
    </xf>
    <xf numFmtId="2" fontId="144" fillId="0" borderId="43" xfId="0" applyNumberFormat="1" applyFont="1" applyBorder="1" applyAlignment="1" applyProtection="1">
      <alignment horizontal="center"/>
      <protection locked="0"/>
    </xf>
    <xf numFmtId="2" fontId="144" fillId="0" borderId="44" xfId="0" applyNumberFormat="1" applyFont="1" applyBorder="1" applyAlignment="1" applyProtection="1">
      <alignment horizontal="center"/>
      <protection locked="0"/>
    </xf>
    <xf numFmtId="2" fontId="144" fillId="0" borderId="4" xfId="0" applyNumberFormat="1" applyFont="1" applyBorder="1" applyAlignment="1" applyProtection="1">
      <alignment horizontal="center"/>
      <protection locked="0"/>
    </xf>
    <xf numFmtId="2" fontId="144" fillId="0" borderId="5" xfId="0" applyNumberFormat="1" applyFont="1" applyBorder="1" applyAlignment="1" applyProtection="1">
      <alignment horizontal="center"/>
      <protection locked="0"/>
    </xf>
    <xf numFmtId="0" fontId="102" fillId="0" borderId="0" xfId="0" applyFont="1" applyAlignment="1">
      <alignment horizontal="left" vertical="center"/>
    </xf>
    <xf numFmtId="2" fontId="25" fillId="0" borderId="303" xfId="0" applyNumberFormat="1" applyFont="1" applyBorder="1" applyAlignment="1">
      <alignment horizontal="center" wrapText="1"/>
    </xf>
    <xf numFmtId="2" fontId="25" fillId="0" borderId="264" xfId="0" applyNumberFormat="1" applyFont="1" applyBorder="1" applyAlignment="1">
      <alignment horizontal="center" wrapText="1"/>
    </xf>
    <xf numFmtId="2" fontId="25" fillId="0" borderId="263" xfId="0" applyNumberFormat="1" applyFont="1" applyBorder="1" applyAlignment="1">
      <alignment horizontal="center" wrapText="1"/>
    </xf>
    <xf numFmtId="2" fontId="25" fillId="0" borderId="118" xfId="0" applyNumberFormat="1" applyFont="1" applyBorder="1" applyAlignment="1">
      <alignment horizontal="center" wrapText="1"/>
    </xf>
    <xf numFmtId="2" fontId="25" fillId="0" borderId="0" xfId="0" applyNumberFormat="1" applyFont="1" applyAlignment="1">
      <alignment horizontal="center" wrapText="1"/>
    </xf>
    <xf numFmtId="2" fontId="25" fillId="0" borderId="5" xfId="0" applyNumberFormat="1" applyFont="1" applyBorder="1" applyAlignment="1">
      <alignment horizontal="center" wrapText="1"/>
    </xf>
    <xf numFmtId="0" fontId="28" fillId="0" borderId="5" xfId="0" applyFont="1" applyBorder="1" applyAlignment="1">
      <alignment horizontal="center" vertical="center"/>
    </xf>
    <xf numFmtId="2" fontId="40" fillId="0" borderId="96" xfId="0" applyNumberFormat="1" applyFont="1" applyBorder="1" applyAlignment="1">
      <alignment horizontal="center" vertical="center"/>
    </xf>
    <xf numFmtId="2" fontId="40" fillId="0" borderId="97" xfId="0" applyNumberFormat="1" applyFont="1" applyBorder="1" applyAlignment="1">
      <alignment horizontal="center" vertical="center"/>
    </xf>
    <xf numFmtId="0" fontId="25" fillId="6" borderId="0" xfId="0" applyFont="1" applyFill="1" applyAlignment="1">
      <alignment horizontal="left" vertical="center"/>
    </xf>
    <xf numFmtId="2" fontId="40" fillId="0" borderId="21" xfId="0" applyNumberFormat="1" applyFont="1" applyBorder="1" applyAlignment="1">
      <alignment horizontal="center" vertical="center"/>
    </xf>
    <xf numFmtId="2" fontId="24" fillId="15" borderId="103" xfId="0" applyNumberFormat="1" applyFont="1" applyFill="1" applyBorder="1" applyAlignment="1">
      <alignment horizontal="center" vertical="center"/>
    </xf>
    <xf numFmtId="2" fontId="24" fillId="15" borderId="101" xfId="0" applyNumberFormat="1" applyFont="1" applyFill="1" applyBorder="1" applyAlignment="1">
      <alignment horizontal="center" vertical="center"/>
    </xf>
    <xf numFmtId="2" fontId="24" fillId="15" borderId="104" xfId="0" applyNumberFormat="1" applyFont="1" applyFill="1" applyBorder="1" applyAlignment="1">
      <alignment horizontal="center" vertical="center"/>
    </xf>
    <xf numFmtId="2" fontId="24" fillId="15" borderId="35" xfId="0" applyNumberFormat="1" applyFont="1" applyFill="1" applyBorder="1" applyAlignment="1">
      <alignment horizontal="center" vertical="center"/>
    </xf>
    <xf numFmtId="2" fontId="24" fillId="15" borderId="16" xfId="0" applyNumberFormat="1" applyFont="1" applyFill="1" applyBorder="1" applyAlignment="1">
      <alignment horizontal="center" vertical="center"/>
    </xf>
    <xf numFmtId="2" fontId="24" fillId="15" borderId="36" xfId="0" applyNumberFormat="1" applyFont="1" applyFill="1" applyBorder="1" applyAlignment="1">
      <alignment horizontal="center" vertical="center"/>
    </xf>
    <xf numFmtId="2" fontId="24" fillId="15" borderId="110" xfId="0" applyNumberFormat="1" applyFont="1" applyFill="1" applyBorder="1" applyAlignment="1">
      <alignment horizontal="center" vertical="center"/>
    </xf>
    <xf numFmtId="2" fontId="24" fillId="15" borderId="111" xfId="0" applyNumberFormat="1" applyFont="1" applyFill="1" applyBorder="1" applyAlignment="1">
      <alignment horizontal="center" vertical="center"/>
    </xf>
    <xf numFmtId="2" fontId="24" fillId="15" borderId="112" xfId="0" applyNumberFormat="1" applyFont="1" applyFill="1" applyBorder="1" applyAlignment="1">
      <alignment horizontal="center" vertical="center"/>
    </xf>
    <xf numFmtId="2" fontId="34" fillId="7" borderId="8" xfId="0" applyNumberFormat="1" applyFont="1" applyFill="1" applyBorder="1" applyAlignment="1" applyProtection="1">
      <alignment horizontal="center" vertical="center"/>
      <protection locked="0"/>
    </xf>
    <xf numFmtId="2" fontId="34" fillId="7" borderId="3" xfId="0" applyNumberFormat="1" applyFont="1" applyFill="1" applyBorder="1" applyAlignment="1" applyProtection="1">
      <alignment horizontal="center" vertical="center"/>
      <protection locked="0"/>
    </xf>
    <xf numFmtId="2" fontId="34" fillId="7" borderId="7" xfId="0" applyNumberFormat="1" applyFont="1" applyFill="1" applyBorder="1" applyAlignment="1" applyProtection="1">
      <alignment horizontal="center" vertical="center"/>
      <protection locked="0"/>
    </xf>
    <xf numFmtId="2" fontId="34" fillId="7" borderId="95" xfId="0" applyNumberFormat="1" applyFont="1" applyFill="1" applyBorder="1" applyAlignment="1" applyProtection="1">
      <alignment horizontal="center" vertical="center"/>
      <protection locked="0"/>
    </xf>
    <xf numFmtId="2" fontId="34" fillId="7" borderId="41" xfId="0" applyNumberFormat="1" applyFont="1" applyFill="1" applyBorder="1" applyAlignment="1" applyProtection="1">
      <alignment horizontal="center" vertical="center"/>
      <protection locked="0"/>
    </xf>
    <xf numFmtId="2" fontId="144" fillId="0" borderId="30" xfId="0" applyNumberFormat="1" applyFont="1" applyBorder="1" applyAlignment="1" applyProtection="1">
      <alignment horizontal="center"/>
      <protection locked="0"/>
    </xf>
    <xf numFmtId="2" fontId="144" fillId="0" borderId="0" xfId="0" applyNumberFormat="1" applyFont="1" applyAlignment="1" applyProtection="1">
      <alignment horizontal="center"/>
      <protection locked="0"/>
    </xf>
    <xf numFmtId="2" fontId="24" fillId="15" borderId="8" xfId="0" applyNumberFormat="1" applyFont="1" applyFill="1" applyBorder="1" applyAlignment="1">
      <alignment horizontal="center" vertical="center"/>
    </xf>
    <xf numFmtId="2" fontId="24" fillId="15" borderId="3" xfId="0" applyNumberFormat="1" applyFont="1" applyFill="1" applyBorder="1" applyAlignment="1">
      <alignment horizontal="center" vertical="center"/>
    </xf>
    <xf numFmtId="2" fontId="24" fillId="15" borderId="10" xfId="0" applyNumberFormat="1" applyFont="1" applyFill="1" applyBorder="1" applyAlignment="1">
      <alignment horizontal="center" vertical="center"/>
    </xf>
    <xf numFmtId="2" fontId="24" fillId="15" borderId="11" xfId="0" applyNumberFormat="1" applyFont="1" applyFill="1" applyBorder="1" applyAlignment="1">
      <alignment horizontal="center" vertical="center"/>
    </xf>
    <xf numFmtId="2" fontId="24" fillId="15" borderId="1" xfId="0" applyNumberFormat="1" applyFont="1" applyFill="1" applyBorder="1" applyAlignment="1">
      <alignment horizontal="center" vertical="center"/>
    </xf>
    <xf numFmtId="2" fontId="24" fillId="15" borderId="12" xfId="0" applyNumberFormat="1" applyFont="1" applyFill="1" applyBorder="1" applyAlignment="1">
      <alignment horizontal="center" vertical="center"/>
    </xf>
    <xf numFmtId="0" fontId="143" fillId="0" borderId="40" xfId="0" quotePrefix="1" applyFont="1" applyBorder="1" applyAlignment="1">
      <alignment horizontal="center"/>
    </xf>
    <xf numFmtId="0" fontId="143" fillId="0" borderId="41" xfId="0" quotePrefix="1" applyFont="1" applyBorder="1" applyAlignment="1">
      <alignment horizontal="center"/>
    </xf>
    <xf numFmtId="0" fontId="33" fillId="0" borderId="4" xfId="0" applyFont="1" applyBorder="1" applyAlignment="1">
      <alignment horizontal="center" vertical="center"/>
    </xf>
    <xf numFmtId="0" fontId="41" fillId="0" borderId="0" xfId="0" applyFont="1" applyAlignment="1">
      <alignment horizontal="center" vertical="center"/>
    </xf>
    <xf numFmtId="2" fontId="40" fillId="0" borderId="18" xfId="0" applyNumberFormat="1" applyFont="1" applyBorder="1" applyAlignment="1">
      <alignment horizontal="center" vertical="center"/>
    </xf>
    <xf numFmtId="2" fontId="34" fillId="7" borderId="21" xfId="0" applyNumberFormat="1" applyFont="1" applyFill="1" applyBorder="1" applyAlignment="1" applyProtection="1">
      <alignment horizontal="center" vertical="center"/>
      <protection locked="0"/>
    </xf>
    <xf numFmtId="2" fontId="34" fillId="7" borderId="11" xfId="0" applyNumberFormat="1" applyFont="1" applyFill="1" applyBorder="1" applyAlignment="1" applyProtection="1">
      <alignment horizontal="center" vertical="center"/>
      <protection locked="0"/>
    </xf>
    <xf numFmtId="2" fontId="34" fillId="7" borderId="24" xfId="0" applyNumberFormat="1" applyFont="1" applyFill="1" applyBorder="1" applyAlignment="1" applyProtection="1">
      <alignment horizontal="center" vertical="center"/>
      <protection locked="0"/>
    </xf>
    <xf numFmtId="2" fontId="34" fillId="7" borderId="6" xfId="0" applyNumberFormat="1" applyFont="1" applyFill="1" applyBorder="1" applyAlignment="1" applyProtection="1">
      <alignment horizontal="center" vertical="center"/>
      <protection locked="0"/>
    </xf>
    <xf numFmtId="2" fontId="34" fillId="7" borderId="306" xfId="0" applyNumberFormat="1" applyFont="1" applyFill="1" applyBorder="1" applyAlignment="1" applyProtection="1">
      <alignment horizontal="center" vertical="center"/>
      <protection locked="0"/>
    </xf>
    <xf numFmtId="2" fontId="34" fillId="7" borderId="220" xfId="0" applyNumberFormat="1" applyFont="1" applyFill="1" applyBorder="1" applyAlignment="1" applyProtection="1">
      <alignment horizontal="center" vertical="center"/>
      <protection locked="0"/>
    </xf>
    <xf numFmtId="2" fontId="34" fillId="7" borderId="31" xfId="0" applyNumberFormat="1" applyFont="1" applyFill="1" applyBorder="1" applyAlignment="1" applyProtection="1">
      <alignment horizontal="center" vertical="center"/>
      <protection locked="0"/>
    </xf>
    <xf numFmtId="2" fontId="34" fillId="7" borderId="2" xfId="0" applyNumberFormat="1" applyFont="1" applyFill="1" applyBorder="1" applyAlignment="1" applyProtection="1">
      <alignment horizontal="center" vertical="center"/>
      <protection locked="0"/>
    </xf>
    <xf numFmtId="2" fontId="34" fillId="7" borderId="4" xfId="0" applyNumberFormat="1" applyFont="1" applyFill="1" applyBorder="1" applyAlignment="1" applyProtection="1">
      <alignment horizontal="center" vertical="center"/>
      <protection locked="0"/>
    </xf>
    <xf numFmtId="2" fontId="34" fillId="7" borderId="5" xfId="0" applyNumberFormat="1" applyFont="1" applyFill="1" applyBorder="1" applyAlignment="1" applyProtection="1">
      <alignment horizontal="center" vertical="center"/>
      <protection locked="0"/>
    </xf>
    <xf numFmtId="0" fontId="144" fillId="9" borderId="4" xfId="0" applyFont="1" applyFill="1" applyBorder="1" applyAlignment="1">
      <alignment horizontal="left" vertical="center"/>
    </xf>
    <xf numFmtId="0" fontId="144" fillId="9" borderId="0" xfId="0" applyFont="1" applyFill="1" applyAlignment="1">
      <alignment horizontal="left" vertical="center"/>
    </xf>
    <xf numFmtId="2" fontId="34" fillId="7" borderId="286" xfId="0" applyNumberFormat="1" applyFont="1" applyFill="1" applyBorder="1" applyAlignment="1" applyProtection="1">
      <alignment horizontal="center" vertical="center"/>
      <protection locked="0"/>
    </xf>
    <xf numFmtId="2" fontId="34" fillId="7" borderId="9" xfId="0" applyNumberFormat="1" applyFont="1" applyFill="1" applyBorder="1" applyAlignment="1" applyProtection="1">
      <alignment horizontal="center" vertical="center"/>
      <protection locked="0"/>
    </xf>
    <xf numFmtId="2" fontId="34" fillId="7" borderId="12" xfId="0" applyNumberFormat="1" applyFont="1" applyFill="1" applyBorder="1" applyAlignment="1" applyProtection="1">
      <alignment horizontal="center" vertical="center"/>
      <protection locked="0"/>
    </xf>
    <xf numFmtId="2" fontId="116" fillId="0" borderId="102" xfId="0" applyNumberFormat="1" applyFont="1" applyBorder="1" applyAlignment="1">
      <alignment horizontal="center" vertical="center"/>
    </xf>
    <xf numFmtId="0" fontId="116" fillId="0" borderId="38" xfId="0" applyFont="1" applyBorder="1" applyAlignment="1">
      <alignment horizontal="center" vertical="center"/>
    </xf>
    <xf numFmtId="0" fontId="116" fillId="0" borderId="100" xfId="0" applyFont="1" applyBorder="1" applyAlignment="1">
      <alignment horizontal="center" vertical="center"/>
    </xf>
    <xf numFmtId="0" fontId="116" fillId="0" borderId="25" xfId="0" applyFont="1" applyBorder="1" applyAlignment="1">
      <alignment horizontal="center" vertical="center"/>
    </xf>
    <xf numFmtId="0" fontId="116" fillId="0" borderId="0" xfId="0" applyFont="1" applyAlignment="1">
      <alignment horizontal="center" vertical="center"/>
    </xf>
    <xf numFmtId="0" fontId="116" fillId="0" borderId="26" xfId="0" applyFont="1" applyBorder="1" applyAlignment="1">
      <alignment horizontal="center" vertical="center"/>
    </xf>
    <xf numFmtId="0" fontId="116" fillId="0" borderId="27" xfId="0" applyFont="1" applyBorder="1" applyAlignment="1">
      <alignment horizontal="center" vertical="center"/>
    </xf>
    <xf numFmtId="0" fontId="116" fillId="0" borderId="28" xfId="0" applyFont="1" applyBorder="1" applyAlignment="1">
      <alignment horizontal="center" vertical="center"/>
    </xf>
    <xf numFmtId="0" fontId="116" fillId="0" borderId="29" xfId="0" applyFont="1" applyBorder="1" applyAlignment="1">
      <alignment horizontal="center" vertical="center"/>
    </xf>
    <xf numFmtId="0" fontId="24" fillId="0" borderId="38" xfId="0" quotePrefix="1" applyFont="1" applyBorder="1" applyAlignment="1">
      <alignment horizontal="center" vertical="center" wrapText="1"/>
    </xf>
    <xf numFmtId="0" fontId="24" fillId="0" borderId="0" xfId="0" applyFont="1" applyAlignment="1">
      <alignment horizontal="center" vertical="center" wrapText="1"/>
    </xf>
    <xf numFmtId="0" fontId="25" fillId="0" borderId="0" xfId="0" applyFont="1" applyAlignment="1">
      <alignment horizontal="center"/>
    </xf>
    <xf numFmtId="2" fontId="46" fillId="0" borderId="0" xfId="0" applyNumberFormat="1" applyFont="1" applyAlignment="1" applyProtection="1">
      <alignment horizontal="right"/>
      <protection locked="0"/>
    </xf>
    <xf numFmtId="0" fontId="40" fillId="0" borderId="38" xfId="0" quotePrefix="1" applyFont="1" applyBorder="1" applyAlignment="1">
      <alignment horizontal="right" vertical="center" wrapText="1"/>
    </xf>
    <xf numFmtId="0" fontId="46" fillId="0" borderId="38" xfId="0" applyFont="1" applyBorder="1" applyAlignment="1">
      <alignment horizontal="right" vertical="center" wrapText="1"/>
    </xf>
    <xf numFmtId="0" fontId="46" fillId="0" borderId="92" xfId="0" applyFont="1" applyBorder="1" applyAlignment="1">
      <alignment horizontal="right" vertical="center" wrapText="1"/>
    </xf>
    <xf numFmtId="0" fontId="46" fillId="0" borderId="0" xfId="0" applyFont="1" applyAlignment="1">
      <alignment horizontal="right" vertical="center" wrapText="1"/>
    </xf>
    <xf numFmtId="0" fontId="46" fillId="0" borderId="9" xfId="0" applyFont="1" applyBorder="1" applyAlignment="1">
      <alignment horizontal="right" vertical="center" wrapText="1"/>
    </xf>
    <xf numFmtId="0" fontId="27" fillId="0" borderId="4" xfId="0" applyFont="1" applyBorder="1" applyAlignment="1">
      <alignment horizontal="center" vertical="center"/>
    </xf>
    <xf numFmtId="2" fontId="34" fillId="7" borderId="40" xfId="0" applyNumberFormat="1" applyFont="1" applyFill="1" applyBorder="1" applyAlignment="1" applyProtection="1">
      <alignment horizontal="center" vertical="center"/>
      <protection locked="0"/>
    </xf>
    <xf numFmtId="2" fontId="34" fillId="7" borderId="42" xfId="0" applyNumberFormat="1" applyFont="1" applyFill="1" applyBorder="1" applyAlignment="1" applyProtection="1">
      <alignment horizontal="center" vertical="center"/>
      <protection locked="0"/>
    </xf>
    <xf numFmtId="18" fontId="36" fillId="7" borderId="8" xfId="0" applyNumberFormat="1" applyFont="1" applyFill="1" applyBorder="1" applyAlignment="1" applyProtection="1">
      <alignment horizontal="center" vertical="center" shrinkToFit="1"/>
      <protection locked="0"/>
    </xf>
    <xf numFmtId="18" fontId="36" fillId="7" borderId="3" xfId="0" applyNumberFormat="1" applyFont="1" applyFill="1" applyBorder="1" applyAlignment="1" applyProtection="1">
      <alignment horizontal="center" vertical="center" shrinkToFit="1"/>
      <protection locked="0"/>
    </xf>
    <xf numFmtId="18" fontId="36" fillId="7" borderId="286" xfId="0" applyNumberFormat="1" applyFont="1" applyFill="1" applyBorder="1" applyAlignment="1" applyProtection="1">
      <alignment horizontal="center" vertical="center" shrinkToFit="1"/>
      <protection locked="0"/>
    </xf>
    <xf numFmtId="18" fontId="36" fillId="7" borderId="7" xfId="0" applyNumberFormat="1" applyFont="1" applyFill="1" applyBorder="1" applyAlignment="1" applyProtection="1">
      <alignment horizontal="center" vertical="center" shrinkToFit="1"/>
      <protection locked="0"/>
    </xf>
    <xf numFmtId="18" fontId="36" fillId="7" borderId="0" xfId="0" applyNumberFormat="1" applyFont="1" applyFill="1" applyAlignment="1" applyProtection="1">
      <alignment horizontal="center" vertical="center" shrinkToFit="1"/>
      <protection locked="0"/>
    </xf>
    <xf numFmtId="18" fontId="36" fillId="7" borderId="9" xfId="0" applyNumberFormat="1" applyFont="1" applyFill="1" applyBorder="1" applyAlignment="1" applyProtection="1">
      <alignment horizontal="center" vertical="center" shrinkToFit="1"/>
      <protection locked="0"/>
    </xf>
    <xf numFmtId="18" fontId="36" fillId="7" borderId="11" xfId="0" applyNumberFormat="1" applyFont="1" applyFill="1" applyBorder="1" applyAlignment="1" applyProtection="1">
      <alignment horizontal="center" vertical="center" shrinkToFit="1"/>
      <protection locked="0"/>
    </xf>
    <xf numFmtId="18" fontId="36" fillId="7" borderId="1" xfId="0" applyNumberFormat="1" applyFont="1" applyFill="1" applyBorder="1" applyAlignment="1" applyProtection="1">
      <alignment horizontal="center" vertical="center" shrinkToFit="1"/>
      <protection locked="0"/>
    </xf>
    <xf numFmtId="18" fontId="36" fillId="7" borderId="12" xfId="0" applyNumberFormat="1" applyFont="1" applyFill="1" applyBorder="1" applyAlignment="1" applyProtection="1">
      <alignment horizontal="center" vertical="center" shrinkToFit="1"/>
      <protection locked="0"/>
    </xf>
    <xf numFmtId="2" fontId="34" fillId="7" borderId="10" xfId="0" applyNumberFormat="1" applyFont="1" applyFill="1" applyBorder="1" applyAlignment="1" applyProtection="1">
      <alignment horizontal="center" vertical="center"/>
      <protection locked="0"/>
    </xf>
    <xf numFmtId="2" fontId="34" fillId="7" borderId="15" xfId="0" applyNumberFormat="1" applyFont="1" applyFill="1" applyBorder="1" applyAlignment="1" applyProtection="1">
      <alignment horizontal="center" vertical="center"/>
      <protection locked="0"/>
    </xf>
    <xf numFmtId="2" fontId="34" fillId="7" borderId="47" xfId="0" applyNumberFormat="1" applyFont="1" applyFill="1" applyBorder="1" applyAlignment="1" applyProtection="1">
      <alignment horizontal="center" vertical="center"/>
      <protection locked="0"/>
    </xf>
    <xf numFmtId="2" fontId="34" fillId="7" borderId="94" xfId="0" applyNumberFormat="1" applyFont="1" applyFill="1" applyBorder="1" applyAlignment="1" applyProtection="1">
      <alignment horizontal="center" vertical="center"/>
      <protection locked="0"/>
    </xf>
    <xf numFmtId="2" fontId="34" fillId="7" borderId="115" xfId="0" applyNumberFormat="1" applyFont="1" applyFill="1" applyBorder="1" applyAlignment="1" applyProtection="1">
      <alignment horizontal="center" vertical="center"/>
      <protection locked="0"/>
    </xf>
    <xf numFmtId="0" fontId="24" fillId="10" borderId="37" xfId="0" applyFont="1" applyFill="1" applyBorder="1" applyAlignment="1">
      <alignment horizontal="left" vertical="center"/>
    </xf>
    <xf numFmtId="0" fontId="24" fillId="10" borderId="38" xfId="0" applyFont="1" applyFill="1" applyBorder="1" applyAlignment="1">
      <alignment horizontal="left" vertical="center"/>
    </xf>
    <xf numFmtId="0" fontId="24" fillId="10" borderId="4" xfId="0" applyFont="1" applyFill="1" applyBorder="1" applyAlignment="1">
      <alignment horizontal="left" vertical="center"/>
    </xf>
    <xf numFmtId="0" fontId="24" fillId="10" borderId="0" xfId="0" applyFont="1" applyFill="1" applyAlignment="1">
      <alignment horizontal="left" vertical="center"/>
    </xf>
    <xf numFmtId="0" fontId="37" fillId="6" borderId="4" xfId="0" applyFont="1" applyFill="1" applyBorder="1" applyAlignment="1">
      <alignment horizontal="center" vertical="center"/>
    </xf>
    <xf numFmtId="0" fontId="37" fillId="6" borderId="0" xfId="0" applyFont="1" applyFill="1" applyAlignment="1">
      <alignment horizontal="center" vertical="center"/>
    </xf>
    <xf numFmtId="2" fontId="31" fillId="0" borderId="102" xfId="0" applyNumberFormat="1" applyFont="1" applyBorder="1" applyAlignment="1">
      <alignment horizontal="center" vertical="center" wrapText="1"/>
    </xf>
    <xf numFmtId="2" fontId="31" fillId="0" borderId="38" xfId="0" applyNumberFormat="1" applyFont="1" applyBorder="1" applyAlignment="1">
      <alignment horizontal="center" vertical="center" wrapText="1"/>
    </xf>
    <xf numFmtId="2" fontId="31" fillId="0" borderId="100" xfId="0" applyNumberFormat="1" applyFont="1" applyBorder="1" applyAlignment="1">
      <alignment horizontal="center" vertical="center" wrapText="1"/>
    </xf>
    <xf numFmtId="2" fontId="31" fillId="0" borderId="25" xfId="0" applyNumberFormat="1" applyFont="1" applyBorder="1" applyAlignment="1">
      <alignment horizontal="center" vertical="center" wrapText="1"/>
    </xf>
    <xf numFmtId="2" fontId="31" fillId="0" borderId="0" xfId="0" applyNumberFormat="1" applyFont="1" applyAlignment="1">
      <alignment horizontal="center" vertical="center" wrapText="1"/>
    </xf>
    <xf numFmtId="2" fontId="31" fillId="0" borderId="26" xfId="0" applyNumberFormat="1" applyFont="1" applyBorder="1" applyAlignment="1">
      <alignment horizontal="center" vertical="center" wrapText="1"/>
    </xf>
    <xf numFmtId="2" fontId="31" fillId="0" borderId="27" xfId="0" applyNumberFormat="1" applyFont="1" applyBorder="1" applyAlignment="1">
      <alignment horizontal="center" vertical="center" wrapText="1"/>
    </xf>
    <xf numFmtId="2" fontId="31" fillId="0" borderId="28" xfId="0" applyNumberFormat="1" applyFont="1" applyBorder="1" applyAlignment="1">
      <alignment horizontal="center" vertical="center" wrapText="1"/>
    </xf>
    <xf numFmtId="2" fontId="31" fillId="0" borderId="29" xfId="0" applyNumberFormat="1" applyFont="1" applyBorder="1" applyAlignment="1">
      <alignment horizontal="center" vertical="center" wrapText="1"/>
    </xf>
    <xf numFmtId="166" fontId="36" fillId="7" borderId="8" xfId="0" applyNumberFormat="1" applyFont="1" applyFill="1" applyBorder="1" applyAlignment="1" applyProtection="1">
      <alignment horizontal="center" vertical="center" shrinkToFit="1"/>
      <protection locked="0"/>
    </xf>
    <xf numFmtId="166" fontId="36" fillId="7" borderId="3" xfId="0" applyNumberFormat="1" applyFont="1" applyFill="1" applyBorder="1" applyAlignment="1" applyProtection="1">
      <alignment horizontal="center" vertical="center" shrinkToFit="1"/>
      <protection locked="0"/>
    </xf>
    <xf numFmtId="166" fontId="36" fillId="7" borderId="286" xfId="0" applyNumberFormat="1" applyFont="1" applyFill="1" applyBorder="1" applyAlignment="1" applyProtection="1">
      <alignment horizontal="center" vertical="center" shrinkToFit="1"/>
      <protection locked="0"/>
    </xf>
    <xf numFmtId="166" fontId="36" fillId="7" borderId="7" xfId="0" applyNumberFormat="1" applyFont="1" applyFill="1" applyBorder="1" applyAlignment="1" applyProtection="1">
      <alignment horizontal="center" vertical="center" shrinkToFit="1"/>
      <protection locked="0"/>
    </xf>
    <xf numFmtId="166" fontId="36" fillId="7" borderId="0" xfId="0" applyNumberFormat="1" applyFont="1" applyFill="1" applyAlignment="1" applyProtection="1">
      <alignment horizontal="center" vertical="center" shrinkToFit="1"/>
      <protection locked="0"/>
    </xf>
    <xf numFmtId="166" fontId="36" fillId="7" borderId="9" xfId="0" applyNumberFormat="1" applyFont="1" applyFill="1" applyBorder="1" applyAlignment="1" applyProtection="1">
      <alignment horizontal="center" vertical="center" shrinkToFit="1"/>
      <protection locked="0"/>
    </xf>
    <xf numFmtId="166" fontId="36" fillId="7" borderId="11" xfId="0" applyNumberFormat="1" applyFont="1" applyFill="1" applyBorder="1" applyAlignment="1" applyProtection="1">
      <alignment horizontal="center" vertical="center" shrinkToFit="1"/>
      <protection locked="0"/>
    </xf>
    <xf numFmtId="166" fontId="36" fillId="7" borderId="1" xfId="0" applyNumberFormat="1" applyFont="1" applyFill="1" applyBorder="1" applyAlignment="1" applyProtection="1">
      <alignment horizontal="center" vertical="center" shrinkToFit="1"/>
      <protection locked="0"/>
    </xf>
    <xf numFmtId="166" fontId="36" fillId="7" borderId="12" xfId="0" applyNumberFormat="1" applyFont="1" applyFill="1" applyBorder="1" applyAlignment="1" applyProtection="1">
      <alignment horizontal="center" vertical="center" shrinkToFit="1"/>
      <protection locked="0"/>
    </xf>
    <xf numFmtId="2" fontId="147" fillId="0" borderId="33" xfId="0" applyNumberFormat="1" applyFont="1" applyBorder="1" applyAlignment="1">
      <alignment horizontal="center" vertical="center"/>
    </xf>
    <xf numFmtId="2" fontId="147" fillId="0" borderId="30" xfId="0" applyNumberFormat="1" applyFont="1" applyBorder="1" applyAlignment="1">
      <alignment horizontal="center" vertical="center"/>
    </xf>
    <xf numFmtId="2" fontId="147" fillId="0" borderId="34" xfId="0" applyNumberFormat="1" applyFont="1" applyBorder="1" applyAlignment="1">
      <alignment horizontal="center" vertical="center"/>
    </xf>
    <xf numFmtId="2" fontId="147" fillId="0" borderId="27" xfId="0" applyNumberFormat="1" applyFont="1" applyBorder="1" applyAlignment="1">
      <alignment horizontal="center" vertical="center"/>
    </xf>
    <xf numFmtId="2" fontId="147" fillId="0" borderId="28" xfId="0" applyNumberFormat="1" applyFont="1" applyBorder="1" applyAlignment="1">
      <alignment horizontal="center" vertical="center"/>
    </xf>
    <xf numFmtId="2" fontId="147" fillId="0" borderId="29" xfId="0" applyNumberFormat="1" applyFont="1" applyBorder="1" applyAlignment="1">
      <alignment horizontal="center" vertical="center"/>
    </xf>
    <xf numFmtId="0" fontId="100" fillId="0" borderId="0" xfId="0" applyFont="1" applyAlignment="1">
      <alignment horizontal="center" vertical="center"/>
    </xf>
    <xf numFmtId="0" fontId="34" fillId="7" borderId="24" xfId="0" quotePrefix="1" applyFont="1" applyFill="1" applyBorder="1" applyAlignment="1" applyProtection="1">
      <alignment horizontal="center" vertical="center"/>
      <protection locked="0"/>
    </xf>
    <xf numFmtId="0" fontId="34" fillId="7" borderId="3" xfId="0" applyFont="1" applyFill="1" applyBorder="1" applyAlignment="1" applyProtection="1">
      <alignment horizontal="center" vertical="center"/>
      <protection locked="0"/>
    </xf>
    <xf numFmtId="0" fontId="34" fillId="7" borderId="306" xfId="0" applyFont="1" applyFill="1" applyBorder="1" applyAlignment="1" applyProtection="1">
      <alignment horizontal="center" vertical="center"/>
      <protection locked="0"/>
    </xf>
    <xf numFmtId="0" fontId="34" fillId="7" borderId="0" xfId="0" applyFont="1" applyFill="1" applyAlignment="1" applyProtection="1">
      <alignment horizontal="center" vertical="center"/>
      <protection locked="0"/>
    </xf>
    <xf numFmtId="0" fontId="34" fillId="7" borderId="31" xfId="0" applyFont="1" applyFill="1" applyBorder="1" applyAlignment="1" applyProtection="1">
      <alignment horizontal="center" vertical="center"/>
      <protection locked="0"/>
    </xf>
    <xf numFmtId="0" fontId="34" fillId="7" borderId="1" xfId="0" applyFont="1" applyFill="1" applyBorder="1" applyAlignment="1" applyProtection="1">
      <alignment horizontal="center" vertical="center"/>
      <protection locked="0"/>
    </xf>
    <xf numFmtId="0" fontId="34" fillId="7" borderId="24" xfId="0" applyFont="1" applyFill="1" applyBorder="1" applyAlignment="1" applyProtection="1">
      <alignment horizontal="center" vertical="center"/>
      <protection locked="0"/>
    </xf>
    <xf numFmtId="0" fontId="34" fillId="7" borderId="286" xfId="0" applyFont="1" applyFill="1" applyBorder="1" applyAlignment="1" applyProtection="1">
      <alignment horizontal="center" vertical="center"/>
      <protection locked="0"/>
    </xf>
    <xf numFmtId="0" fontId="34" fillId="7" borderId="9" xfId="0" applyFont="1" applyFill="1" applyBorder="1" applyAlignment="1" applyProtection="1">
      <alignment horizontal="center" vertical="center"/>
      <protection locked="0"/>
    </xf>
    <xf numFmtId="0" fontId="34" fillId="7" borderId="12" xfId="0" applyFont="1" applyFill="1" applyBorder="1" applyAlignment="1" applyProtection="1">
      <alignment horizontal="center" vertical="center"/>
      <protection locked="0"/>
    </xf>
    <xf numFmtId="0" fontId="34" fillId="7" borderId="10" xfId="0" applyFont="1" applyFill="1" applyBorder="1" applyAlignment="1" applyProtection="1">
      <alignment horizontal="center" vertical="center"/>
      <protection locked="0"/>
    </xf>
    <xf numFmtId="0" fontId="34" fillId="7" borderId="4" xfId="0" applyFont="1" applyFill="1" applyBorder="1" applyAlignment="1" applyProtection="1">
      <alignment horizontal="center" vertical="center"/>
      <protection locked="0"/>
    </xf>
    <xf numFmtId="20" fontId="36" fillId="7" borderId="8" xfId="0" applyNumberFormat="1" applyFont="1" applyFill="1" applyBorder="1" applyAlignment="1" applyProtection="1">
      <alignment horizontal="center" vertical="center" shrinkToFit="1"/>
      <protection locked="0"/>
    </xf>
    <xf numFmtId="0" fontId="25" fillId="0" borderId="24" xfId="0" applyFont="1" applyBorder="1" applyAlignment="1">
      <alignment horizontal="center" vertical="center" wrapText="1"/>
    </xf>
    <xf numFmtId="0" fontId="25" fillId="0" borderId="3" xfId="0" applyFont="1" applyBorder="1" applyAlignment="1">
      <alignment horizontal="center" vertical="center" wrapText="1"/>
    </xf>
    <xf numFmtId="0" fontId="25" fillId="0" borderId="286" xfId="0" applyFont="1" applyBorder="1" applyAlignment="1">
      <alignment horizontal="center" vertical="center" wrapText="1"/>
    </xf>
    <xf numFmtId="0" fontId="25" fillId="0" borderId="31" xfId="0" applyFont="1" applyBorder="1" applyAlignment="1">
      <alignment horizontal="center" vertical="center" wrapText="1"/>
    </xf>
    <xf numFmtId="0" fontId="25" fillId="0" borderId="1" xfId="0" applyFont="1" applyBorder="1" applyAlignment="1">
      <alignment horizontal="center" vertical="center" wrapText="1"/>
    </xf>
    <xf numFmtId="0" fontId="25" fillId="0" borderId="12" xfId="0" applyFont="1" applyBorder="1" applyAlignment="1">
      <alignment horizontal="center" vertical="center" wrapText="1"/>
    </xf>
    <xf numFmtId="49" fontId="264" fillId="28" borderId="24" xfId="0" applyNumberFormat="1" applyFont="1" applyFill="1" applyBorder="1" applyAlignment="1" applyProtection="1">
      <alignment horizontal="center" wrapText="1"/>
      <protection locked="0"/>
    </xf>
    <xf numFmtId="49" fontId="0" fillId="28" borderId="3" xfId="0" applyNumberFormat="1" applyFill="1" applyBorder="1" applyAlignment="1" applyProtection="1">
      <alignment horizontal="center" wrapText="1"/>
      <protection locked="0"/>
    </xf>
    <xf numFmtId="49" fontId="0" fillId="28" borderId="286" xfId="0" applyNumberFormat="1" applyFill="1" applyBorder="1" applyAlignment="1" applyProtection="1">
      <alignment horizontal="center" wrapText="1"/>
      <protection locked="0"/>
    </xf>
    <xf numFmtId="49" fontId="0" fillId="0" borderId="31" xfId="0" applyNumberFormat="1" applyBorder="1" applyAlignment="1" applyProtection="1">
      <alignment horizontal="center" wrapText="1"/>
      <protection locked="0"/>
    </xf>
    <xf numFmtId="49" fontId="0" fillId="0" borderId="1" xfId="0" applyNumberFormat="1" applyBorder="1" applyAlignment="1" applyProtection="1">
      <alignment horizontal="center" wrapText="1"/>
      <protection locked="0"/>
    </xf>
    <xf numFmtId="49" fontId="0" fillId="0" borderId="12" xfId="0" applyNumberFormat="1" applyBorder="1" applyAlignment="1" applyProtection="1">
      <alignment horizontal="center" wrapText="1"/>
      <protection locked="0"/>
    </xf>
    <xf numFmtId="0" fontId="33" fillId="0" borderId="221" xfId="0" applyFont="1" applyBorder="1" applyAlignment="1">
      <alignment horizontal="center" wrapText="1"/>
    </xf>
    <xf numFmtId="0" fontId="33" fillId="0" borderId="0" xfId="0" applyFont="1" applyAlignment="1">
      <alignment horizontal="center" wrapText="1"/>
    </xf>
    <xf numFmtId="0" fontId="33" fillId="0" borderId="9" xfId="0" applyFont="1" applyBorder="1" applyAlignment="1">
      <alignment horizontal="center" wrapText="1"/>
    </xf>
    <xf numFmtId="0" fontId="33" fillId="0" borderId="31" xfId="0" applyFont="1" applyBorder="1" applyAlignment="1">
      <alignment horizontal="center" wrapText="1"/>
    </xf>
    <xf numFmtId="0" fontId="33" fillId="0" borderId="1" xfId="0" applyFont="1" applyBorder="1" applyAlignment="1">
      <alignment horizontal="center" wrapText="1"/>
    </xf>
    <xf numFmtId="0" fontId="33" fillId="0" borderId="12" xfId="0" applyFont="1" applyBorder="1" applyAlignment="1">
      <alignment horizontal="center" wrapText="1"/>
    </xf>
    <xf numFmtId="0" fontId="30" fillId="0" borderId="0" xfId="0" applyFont="1" applyAlignment="1">
      <alignment horizontal="center" vertical="top" wrapText="1"/>
    </xf>
    <xf numFmtId="0" fontId="144" fillId="0" borderId="0" xfId="0" applyFont="1" applyAlignment="1">
      <alignment horizontal="center" wrapText="1"/>
    </xf>
    <xf numFmtId="0" fontId="144" fillId="0" borderId="5" xfId="0" applyFont="1" applyBorder="1" applyAlignment="1">
      <alignment horizontal="center" wrapText="1"/>
    </xf>
    <xf numFmtId="0" fontId="118" fillId="0" borderId="0" xfId="0" applyFont="1" applyAlignment="1">
      <alignment horizontal="left" vertical="top"/>
    </xf>
    <xf numFmtId="0" fontId="31" fillId="0" borderId="4" xfId="0" applyFont="1" applyBorder="1"/>
    <xf numFmtId="0" fontId="31" fillId="0" borderId="0" xfId="0" applyFont="1"/>
    <xf numFmtId="0" fontId="116" fillId="0" borderId="0" xfId="0" applyFont="1" applyAlignment="1">
      <alignment horizontal="center" vertical="center" wrapText="1"/>
    </xf>
    <xf numFmtId="0" fontId="113" fillId="0" borderId="0" xfId="0" applyFont="1" applyAlignment="1">
      <alignment horizontal="center" vertical="top"/>
    </xf>
    <xf numFmtId="2" fontId="46" fillId="0" borderId="33" xfId="0" applyNumberFormat="1" applyFont="1" applyBorder="1" applyAlignment="1">
      <alignment horizontal="center" vertical="center"/>
    </xf>
    <xf numFmtId="2" fontId="46" fillId="0" borderId="30" xfId="0" applyNumberFormat="1" applyFont="1" applyBorder="1" applyAlignment="1">
      <alignment horizontal="center" vertical="center"/>
    </xf>
    <xf numFmtId="2" fontId="46" fillId="0" borderId="34" xfId="0" applyNumberFormat="1" applyFont="1" applyBorder="1" applyAlignment="1">
      <alignment horizontal="center" vertical="center"/>
    </xf>
    <xf numFmtId="2" fontId="46" fillId="0" borderId="27" xfId="0" applyNumberFormat="1" applyFont="1" applyBorder="1" applyAlignment="1">
      <alignment horizontal="center" vertical="center"/>
    </xf>
    <xf numFmtId="2" fontId="46" fillId="0" borderId="28" xfId="0" applyNumberFormat="1" applyFont="1" applyBorder="1" applyAlignment="1">
      <alignment horizontal="center" vertical="center"/>
    </xf>
    <xf numFmtId="2" fontId="46" fillId="0" borderId="29" xfId="0" applyNumberFormat="1" applyFont="1" applyBorder="1" applyAlignment="1">
      <alignment horizontal="center" vertical="center"/>
    </xf>
    <xf numFmtId="2" fontId="116" fillId="0" borderId="33" xfId="0" applyNumberFormat="1" applyFont="1" applyBorder="1" applyAlignment="1">
      <alignment horizontal="center" vertical="center"/>
    </xf>
    <xf numFmtId="2" fontId="116" fillId="0" borderId="30" xfId="0" applyNumberFormat="1" applyFont="1" applyBorder="1" applyAlignment="1">
      <alignment horizontal="center" vertical="center"/>
    </xf>
    <xf numFmtId="2" fontId="116" fillId="0" borderId="34" xfId="0" applyNumberFormat="1" applyFont="1" applyBorder="1" applyAlignment="1">
      <alignment horizontal="center" vertical="center"/>
    </xf>
    <xf numFmtId="2" fontId="116" fillId="0" borderId="27" xfId="0" applyNumberFormat="1" applyFont="1" applyBorder="1" applyAlignment="1">
      <alignment horizontal="center" vertical="center"/>
    </xf>
    <xf numFmtId="2" fontId="116" fillId="0" borderId="28" xfId="0" applyNumberFormat="1" applyFont="1" applyBorder="1" applyAlignment="1">
      <alignment horizontal="center" vertical="center"/>
    </xf>
    <xf numFmtId="2" fontId="116" fillId="0" borderId="29" xfId="0" applyNumberFormat="1" applyFont="1" applyBorder="1" applyAlignment="1">
      <alignment horizontal="center" vertical="center"/>
    </xf>
    <xf numFmtId="0" fontId="42" fillId="0" borderId="93" xfId="0" applyFont="1" applyBorder="1" applyAlignment="1">
      <alignment horizontal="center" vertical="center" wrapText="1"/>
    </xf>
    <xf numFmtId="0" fontId="42" fillId="0" borderId="38" xfId="0" applyFont="1" applyBorder="1" applyAlignment="1">
      <alignment horizontal="center" vertical="center" wrapText="1"/>
    </xf>
    <xf numFmtId="0" fontId="42" fillId="0" borderId="7" xfId="0" applyFont="1" applyBorder="1" applyAlignment="1">
      <alignment horizontal="center" vertical="center" wrapText="1"/>
    </xf>
    <xf numFmtId="0" fontId="42" fillId="0" borderId="0" xfId="0" applyFont="1" applyAlignment="1">
      <alignment horizontal="center" vertical="center" wrapText="1"/>
    </xf>
    <xf numFmtId="0" fontId="24" fillId="0" borderId="0" xfId="0" applyFont="1" applyAlignment="1" applyProtection="1">
      <alignment horizontal="center" vertical="center"/>
      <protection locked="0"/>
    </xf>
    <xf numFmtId="0" fontId="45" fillId="0" borderId="0" xfId="0" applyFont="1" applyAlignment="1">
      <alignment horizontal="right" vertical="top" wrapText="1"/>
    </xf>
    <xf numFmtId="2" fontId="39" fillId="0" borderId="13" xfId="0" applyNumberFormat="1" applyFont="1" applyBorder="1" applyAlignment="1">
      <alignment horizontal="center" vertical="center"/>
    </xf>
    <xf numFmtId="0" fontId="36" fillId="7" borderId="3" xfId="0" quotePrefix="1" applyFont="1" applyFill="1" applyBorder="1" applyAlignment="1" applyProtection="1">
      <alignment horizontal="left" vertical="top" wrapText="1"/>
      <protection locked="0"/>
    </xf>
    <xf numFmtId="0" fontId="33" fillId="0" borderId="21" xfId="0" applyFont="1" applyBorder="1" applyAlignment="1">
      <alignment horizontal="center" vertical="center"/>
    </xf>
    <xf numFmtId="0" fontId="33" fillId="0" borderId="14" xfId="0" applyFont="1" applyBorder="1" applyAlignment="1">
      <alignment horizontal="center" vertical="center"/>
    </xf>
    <xf numFmtId="0" fontId="33" fillId="0" borderId="153" xfId="0" applyFont="1" applyBorder="1" applyAlignment="1">
      <alignment horizontal="center" vertical="center"/>
    </xf>
    <xf numFmtId="0" fontId="33" fillId="0" borderId="116" xfId="0" applyFont="1" applyBorder="1" applyAlignment="1">
      <alignment horizontal="center" vertical="center"/>
    </xf>
    <xf numFmtId="0" fontId="25" fillId="0" borderId="7" xfId="0" applyFont="1" applyBorder="1" applyAlignment="1">
      <alignment horizontal="center" vertical="center" wrapText="1"/>
    </xf>
    <xf numFmtId="0" fontId="25" fillId="0" borderId="0" xfId="0" applyFont="1" applyAlignment="1">
      <alignment horizontal="center" vertical="center" wrapText="1"/>
    </xf>
    <xf numFmtId="0" fontId="25" fillId="0" borderId="11" xfId="0" applyFont="1" applyBorder="1" applyAlignment="1">
      <alignment horizontal="center" vertical="center" wrapText="1"/>
    </xf>
    <xf numFmtId="0" fontId="24" fillId="0" borderId="9" xfId="0" applyFont="1" applyBorder="1" applyAlignment="1">
      <alignment horizontal="center" vertical="center" wrapText="1"/>
    </xf>
    <xf numFmtId="0" fontId="24" fillId="0" borderId="1" xfId="0" applyFont="1" applyBorder="1" applyAlignment="1">
      <alignment horizontal="center" vertical="center" wrapText="1"/>
    </xf>
    <xf numFmtId="0" fontId="24" fillId="0" borderId="12" xfId="0" applyFont="1" applyBorder="1" applyAlignment="1">
      <alignment horizontal="center" vertical="center" wrapText="1"/>
    </xf>
    <xf numFmtId="0" fontId="24" fillId="0" borderId="5" xfId="0" applyFont="1" applyBorder="1" applyAlignment="1" applyProtection="1">
      <alignment horizontal="center" vertical="top" wrapText="1"/>
      <protection locked="0"/>
    </xf>
    <xf numFmtId="0" fontId="24" fillId="0" borderId="3" xfId="0" applyFont="1" applyBorder="1" applyAlignment="1">
      <alignment horizontal="left"/>
    </xf>
    <xf numFmtId="0" fontId="24" fillId="0" borderId="0" xfId="0" applyFont="1" applyAlignment="1">
      <alignment horizontal="left"/>
    </xf>
    <xf numFmtId="0" fontId="36" fillId="7" borderId="0" xfId="0" applyFont="1" applyFill="1" applyAlignment="1" applyProtection="1">
      <alignment horizontal="left" vertical="center"/>
      <protection locked="0"/>
    </xf>
    <xf numFmtId="0" fontId="36" fillId="7" borderId="1" xfId="0" applyFont="1" applyFill="1" applyBorder="1" applyAlignment="1" applyProtection="1">
      <alignment horizontal="left" vertical="center"/>
      <protection locked="0"/>
    </xf>
    <xf numFmtId="0" fontId="36" fillId="7" borderId="3" xfId="0" applyFont="1" applyFill="1" applyBorder="1" applyAlignment="1" applyProtection="1">
      <alignment horizontal="left" vertical="center"/>
      <protection locked="0"/>
    </xf>
    <xf numFmtId="2" fontId="39" fillId="0" borderId="20" xfId="0" applyNumberFormat="1" applyFont="1" applyBorder="1" applyAlignment="1">
      <alignment horizontal="center" vertical="center"/>
    </xf>
    <xf numFmtId="0" fontId="25" fillId="0" borderId="0" xfId="0" applyFont="1" applyAlignment="1">
      <alignment horizontal="right" vertical="center"/>
    </xf>
    <xf numFmtId="0" fontId="43" fillId="0" borderId="0" xfId="0" applyFont="1" applyAlignment="1">
      <alignment horizontal="center" vertical="center"/>
    </xf>
    <xf numFmtId="0" fontId="27" fillId="0" borderId="0" xfId="0" quotePrefix="1" applyFont="1" applyAlignment="1">
      <alignment horizontal="right" vertical="center"/>
    </xf>
    <xf numFmtId="2" fontId="28" fillId="0" borderId="0" xfId="0" applyNumberFormat="1" applyFont="1" applyAlignment="1">
      <alignment horizontal="center" vertical="center"/>
    </xf>
    <xf numFmtId="2" fontId="28" fillId="0" borderId="1" xfId="0" applyNumberFormat="1" applyFont="1" applyBorder="1" applyAlignment="1">
      <alignment horizontal="center" vertical="center"/>
    </xf>
    <xf numFmtId="0" fontId="27" fillId="0" borderId="0" xfId="0" applyFont="1" applyAlignment="1">
      <alignment horizontal="right" wrapText="1"/>
    </xf>
    <xf numFmtId="1" fontId="35" fillId="7" borderId="0" xfId="0" applyNumberFormat="1" applyFont="1" applyFill="1" applyAlignment="1" applyProtection="1">
      <alignment horizontal="center" vertical="center"/>
      <protection locked="0"/>
    </xf>
    <xf numFmtId="1" fontId="35" fillId="7" borderId="1" xfId="0" applyNumberFormat="1" applyFont="1" applyFill="1" applyBorder="1" applyAlignment="1" applyProtection="1">
      <alignment horizontal="center" vertical="center"/>
      <protection locked="0"/>
    </xf>
    <xf numFmtId="0" fontId="32" fillId="0" borderId="0" xfId="0" applyFont="1" applyAlignment="1">
      <alignment horizontal="left" vertical="center"/>
    </xf>
    <xf numFmtId="0" fontId="111" fillId="0" borderId="37" xfId="0" applyFont="1" applyBorder="1" applyAlignment="1">
      <alignment horizontal="center" vertical="center"/>
    </xf>
    <xf numFmtId="0" fontId="111" fillId="0" borderId="38" xfId="0" applyFont="1" applyBorder="1" applyAlignment="1">
      <alignment horizontal="center" vertical="center"/>
    </xf>
    <xf numFmtId="0" fontId="111" fillId="0" borderId="92" xfId="0" applyFont="1" applyBorder="1" applyAlignment="1">
      <alignment horizontal="center" vertical="center"/>
    </xf>
    <xf numFmtId="0" fontId="111" fillId="0" borderId="31" xfId="0" applyFont="1" applyBorder="1" applyAlignment="1">
      <alignment horizontal="center" vertical="center"/>
    </xf>
    <xf numFmtId="0" fontId="111" fillId="0" borderId="1" xfId="0" applyFont="1" applyBorder="1" applyAlignment="1">
      <alignment horizontal="center" vertical="center"/>
    </xf>
    <xf numFmtId="0" fontId="111" fillId="0" borderId="12" xfId="0" applyFont="1" applyBorder="1" applyAlignment="1">
      <alignment horizontal="center" vertical="center"/>
    </xf>
    <xf numFmtId="0" fontId="25" fillId="0" borderId="265" xfId="0" applyFont="1" applyBorder="1" applyAlignment="1">
      <alignment horizontal="center" vertical="center" wrapText="1"/>
    </xf>
    <xf numFmtId="0" fontId="25" fillId="0" borderId="268" xfId="0" applyFont="1" applyBorder="1" applyAlignment="1">
      <alignment horizontal="center" vertical="center" wrapText="1"/>
    </xf>
    <xf numFmtId="0" fontId="25" fillId="0" borderId="263" xfId="0" applyFont="1" applyBorder="1" applyAlignment="1">
      <alignment horizontal="center" vertical="center" wrapText="1"/>
    </xf>
    <xf numFmtId="0" fontId="25" fillId="0" borderId="221" xfId="0" applyFont="1" applyBorder="1" applyAlignment="1">
      <alignment horizontal="center" vertical="center" wrapText="1"/>
    </xf>
    <xf numFmtId="0" fontId="25" fillId="0" borderId="220" xfId="0" applyFont="1" applyBorder="1" applyAlignment="1">
      <alignment horizontal="center" vertical="center" wrapText="1"/>
    </xf>
    <xf numFmtId="0" fontId="25" fillId="0" borderId="93" xfId="0" applyFont="1" applyBorder="1" applyAlignment="1">
      <alignment horizontal="center" vertical="center" wrapText="1"/>
    </xf>
    <xf numFmtId="0" fontId="25" fillId="0" borderId="38" xfId="0" applyFont="1" applyBorder="1" applyAlignment="1">
      <alignment horizontal="center" vertical="center" wrapText="1"/>
    </xf>
    <xf numFmtId="0" fontId="25" fillId="0" borderId="92" xfId="0" applyFont="1" applyBorder="1" applyAlignment="1">
      <alignment horizontal="center" vertical="center" wrapText="1"/>
    </xf>
    <xf numFmtId="0" fontId="25" fillId="0" borderId="9" xfId="0" applyFont="1" applyBorder="1" applyAlignment="1">
      <alignment horizontal="center" vertical="center" wrapText="1"/>
    </xf>
    <xf numFmtId="0" fontId="33" fillId="0" borderId="0" xfId="0" applyFont="1" applyAlignment="1">
      <alignment horizontal="center" vertical="center"/>
    </xf>
    <xf numFmtId="0" fontId="33" fillId="0" borderId="0" xfId="0" quotePrefix="1" applyFont="1" applyAlignment="1">
      <alignment horizontal="center" vertical="center"/>
    </xf>
    <xf numFmtId="0" fontId="33" fillId="0" borderId="9" xfId="0" quotePrefix="1" applyFont="1" applyBorder="1" applyAlignment="1">
      <alignment horizontal="center" vertical="center"/>
    </xf>
    <xf numFmtId="0" fontId="33" fillId="0" borderId="1" xfId="0" quotePrefix="1" applyFont="1" applyBorder="1" applyAlignment="1">
      <alignment horizontal="center" vertical="center"/>
    </xf>
    <xf numFmtId="0" fontId="33" fillId="0" borderId="12" xfId="0" quotePrefix="1" applyFont="1" applyBorder="1" applyAlignment="1">
      <alignment horizontal="center" vertical="center"/>
    </xf>
    <xf numFmtId="0" fontId="113" fillId="0" borderId="38" xfId="0" applyFont="1" applyBorder="1" applyAlignment="1">
      <alignment horizontal="center"/>
    </xf>
    <xf numFmtId="0" fontId="113" fillId="0" borderId="100" xfId="0" applyFont="1" applyBorder="1" applyAlignment="1">
      <alignment horizontal="center"/>
    </xf>
    <xf numFmtId="0" fontId="113" fillId="0" borderId="1" xfId="0" applyFont="1" applyBorder="1" applyAlignment="1">
      <alignment horizontal="center"/>
    </xf>
    <xf numFmtId="0" fontId="113" fillId="0" borderId="136" xfId="0" applyFont="1" applyBorder="1" applyAlignment="1">
      <alignment horizontal="center"/>
    </xf>
    <xf numFmtId="0" fontId="0" fillId="0" borderId="7" xfId="0" applyBorder="1" applyAlignment="1">
      <alignment horizontal="center" wrapText="1"/>
    </xf>
    <xf numFmtId="0" fontId="0" fillId="0" borderId="9" xfId="0" applyBorder="1" applyAlignment="1">
      <alignment horizontal="center" wrapText="1"/>
    </xf>
    <xf numFmtId="0" fontId="27" fillId="0" borderId="7" xfId="0" applyFont="1" applyBorder="1" applyAlignment="1">
      <alignment horizontal="left" vertical="center"/>
    </xf>
    <xf numFmtId="0" fontId="24" fillId="0" borderId="0" xfId="0" applyFont="1" applyAlignment="1" applyProtection="1">
      <alignment vertical="center"/>
      <protection locked="0"/>
    </xf>
    <xf numFmtId="164" fontId="35" fillId="7" borderId="0" xfId="0" applyNumberFormat="1" applyFont="1" applyFill="1" applyAlignment="1" applyProtection="1">
      <alignment horizontal="center" vertical="center"/>
      <protection locked="0"/>
    </xf>
    <xf numFmtId="164" fontId="35" fillId="7" borderId="1" xfId="0" applyNumberFormat="1" applyFont="1" applyFill="1" applyBorder="1" applyAlignment="1" applyProtection="1">
      <alignment horizontal="center" vertical="center"/>
      <protection locked="0"/>
    </xf>
    <xf numFmtId="0" fontId="0" fillId="24" borderId="5" xfId="0" applyFill="1" applyBorder="1" applyAlignment="1">
      <alignment horizontal="center"/>
    </xf>
    <xf numFmtId="0" fontId="35" fillId="24" borderId="0" xfId="0" applyFont="1" applyFill="1" applyAlignment="1">
      <alignment horizontal="left" vertical="center"/>
    </xf>
    <xf numFmtId="0" fontId="35" fillId="24" borderId="1" xfId="0" applyFont="1" applyFill="1" applyBorder="1" applyAlignment="1">
      <alignment horizontal="left" vertical="center"/>
    </xf>
    <xf numFmtId="0" fontId="24" fillId="24" borderId="0" xfId="0" applyFont="1" applyFill="1" applyAlignment="1">
      <alignment horizontal="right" vertical="center"/>
    </xf>
    <xf numFmtId="0" fontId="27" fillId="24" borderId="4" xfId="0" applyFont="1" applyFill="1" applyBorder="1" applyAlignment="1">
      <alignment horizontal="left" vertical="center"/>
    </xf>
    <xf numFmtId="0" fontId="27" fillId="24" borderId="0" xfId="0" applyFont="1" applyFill="1" applyAlignment="1">
      <alignment horizontal="left" vertical="center"/>
    </xf>
    <xf numFmtId="0" fontId="27" fillId="0" borderId="3" xfId="0" applyFont="1" applyBorder="1" applyAlignment="1">
      <alignment horizontal="right" vertical="center"/>
    </xf>
    <xf numFmtId="0" fontId="34" fillId="7" borderId="0" xfId="0" applyFont="1" applyFill="1" applyAlignment="1" applyProtection="1">
      <alignment horizontal="left" vertical="center"/>
      <protection locked="0"/>
    </xf>
    <xf numFmtId="0" fontId="34" fillId="7" borderId="1" xfId="0" applyFont="1" applyFill="1" applyBorder="1" applyAlignment="1" applyProtection="1">
      <alignment horizontal="left" vertical="center"/>
      <protection locked="0"/>
    </xf>
    <xf numFmtId="0" fontId="0" fillId="0" borderId="37" xfId="0" applyBorder="1" applyAlignment="1">
      <alignment horizontal="center"/>
    </xf>
    <xf numFmtId="0" fontId="0" fillId="0" borderId="38" xfId="0" applyBorder="1" applyAlignment="1">
      <alignment horizontal="center"/>
    </xf>
    <xf numFmtId="0" fontId="0" fillId="0" borderId="39" xfId="0" applyBorder="1" applyAlignment="1">
      <alignment horizontal="center"/>
    </xf>
    <xf numFmtId="0" fontId="34" fillId="24" borderId="5" xfId="0" applyFont="1" applyFill="1" applyBorder="1" applyAlignment="1" applyProtection="1">
      <alignment horizontal="center" vertical="center"/>
      <protection locked="0"/>
    </xf>
    <xf numFmtId="0" fontId="35" fillId="7" borderId="3" xfId="0" applyFont="1" applyFill="1" applyBorder="1" applyAlignment="1" applyProtection="1">
      <alignment horizontal="left" vertical="center"/>
      <protection locked="0"/>
    </xf>
    <xf numFmtId="0" fontId="35" fillId="7" borderId="0" xfId="0" applyFont="1" applyFill="1" applyAlignment="1" applyProtection="1">
      <alignment horizontal="left" vertical="center"/>
      <protection locked="0"/>
    </xf>
    <xf numFmtId="0" fontId="35" fillId="7" borderId="1" xfId="0" applyFont="1" applyFill="1" applyBorder="1" applyAlignment="1" applyProtection="1">
      <alignment horizontal="left" vertical="center"/>
      <protection locked="0"/>
    </xf>
    <xf numFmtId="0" fontId="0" fillId="0" borderId="40" xfId="0" applyBorder="1" applyAlignment="1">
      <alignment horizontal="center"/>
    </xf>
    <xf numFmtId="0" fontId="0" fillId="0" borderId="41" xfId="0" applyBorder="1" applyAlignment="1">
      <alignment horizontal="center"/>
    </xf>
    <xf numFmtId="0" fontId="0" fillId="0" borderId="42" xfId="0" applyBorder="1" applyAlignment="1">
      <alignment horizontal="center"/>
    </xf>
    <xf numFmtId="0" fontId="27" fillId="24" borderId="0" xfId="0" applyFont="1" applyFill="1" applyAlignment="1">
      <alignment horizontal="center" vertical="center"/>
    </xf>
    <xf numFmtId="0" fontId="35" fillId="24" borderId="0" xfId="0" quotePrefix="1" applyFont="1" applyFill="1" applyAlignment="1">
      <alignment horizontal="left" vertical="center"/>
    </xf>
    <xf numFmtId="0" fontId="35" fillId="24" borderId="3" xfId="0" applyFont="1" applyFill="1" applyBorder="1" applyAlignment="1">
      <alignment horizontal="center" vertical="center"/>
    </xf>
    <xf numFmtId="0" fontId="35" fillId="24" borderId="0" xfId="0" applyFont="1" applyFill="1" applyAlignment="1">
      <alignment horizontal="center" vertical="center"/>
    </xf>
    <xf numFmtId="0" fontId="35" fillId="24" borderId="1" xfId="0" applyFont="1" applyFill="1" applyBorder="1" applyAlignment="1">
      <alignment horizontal="center" vertical="center"/>
    </xf>
    <xf numFmtId="0" fontId="26" fillId="0" borderId="0" xfId="0" applyFont="1" applyAlignment="1">
      <alignment horizontal="center" vertical="center"/>
    </xf>
    <xf numFmtId="0" fontId="115" fillId="0" borderId="0" xfId="0" applyFont="1" applyAlignment="1">
      <alignment horizontal="center" vertical="center"/>
    </xf>
    <xf numFmtId="0" fontId="39" fillId="5" borderId="0" xfId="0" applyFont="1" applyFill="1" applyAlignment="1" applyProtection="1">
      <alignment horizontal="center" vertical="center"/>
      <protection locked="0"/>
    </xf>
    <xf numFmtId="0" fontId="39" fillId="5" borderId="1" xfId="0" applyFont="1" applyFill="1" applyBorder="1" applyAlignment="1" applyProtection="1">
      <alignment horizontal="center" vertical="center"/>
      <protection locked="0"/>
    </xf>
    <xf numFmtId="0" fontId="24" fillId="24" borderId="0" xfId="0" applyFont="1" applyFill="1" applyAlignment="1">
      <alignment horizontal="center" vertical="center"/>
    </xf>
    <xf numFmtId="0" fontId="0" fillId="0" borderId="0" xfId="0" applyAlignment="1">
      <alignment horizontal="right" vertical="center"/>
    </xf>
    <xf numFmtId="173" fontId="0" fillId="0" borderId="0" xfId="0" quotePrefix="1" applyNumberFormat="1" applyAlignment="1">
      <alignment horizontal="right" vertical="center"/>
    </xf>
    <xf numFmtId="173" fontId="0" fillId="0" borderId="0" xfId="0" applyNumberFormat="1" applyAlignment="1">
      <alignment horizontal="right" vertical="center"/>
    </xf>
    <xf numFmtId="0" fontId="0" fillId="24" borderId="37" xfId="0" applyFill="1" applyBorder="1" applyAlignment="1">
      <alignment horizontal="center"/>
    </xf>
    <xf numFmtId="0" fontId="0" fillId="24" borderId="38" xfId="0" applyFill="1" applyBorder="1" applyAlignment="1">
      <alignment horizontal="center"/>
    </xf>
    <xf numFmtId="0" fontId="0" fillId="24" borderId="39" xfId="0" applyFill="1" applyBorder="1" applyAlignment="1">
      <alignment horizontal="center"/>
    </xf>
    <xf numFmtId="0" fontId="27" fillId="24" borderId="0" xfId="0" applyFont="1" applyFill="1" applyAlignment="1">
      <alignment horizontal="center"/>
    </xf>
    <xf numFmtId="0" fontId="27" fillId="24" borderId="5" xfId="0" applyFont="1" applyFill="1" applyBorder="1" applyAlignment="1">
      <alignment horizontal="center"/>
    </xf>
    <xf numFmtId="0" fontId="35" fillId="24" borderId="0" xfId="0" quotePrefix="1" applyFont="1" applyFill="1" applyAlignment="1">
      <alignment horizontal="center" vertical="center"/>
    </xf>
    <xf numFmtId="2" fontId="46" fillId="0" borderId="0" xfId="0" applyNumberFormat="1" applyFont="1" applyAlignment="1">
      <alignment horizontal="center" vertical="center"/>
    </xf>
    <xf numFmtId="0" fontId="144" fillId="0" borderId="4" xfId="0" applyFont="1" applyBorder="1" applyAlignment="1">
      <alignment horizontal="left" wrapText="1"/>
    </xf>
    <xf numFmtId="0" fontId="144" fillId="0" borderId="0" xfId="0" applyFont="1" applyAlignment="1">
      <alignment horizontal="left" wrapText="1"/>
    </xf>
    <xf numFmtId="0" fontId="31" fillId="0" borderId="8" xfId="0" applyFont="1" applyBorder="1" applyAlignment="1">
      <alignment horizontal="center" vertical="center" wrapText="1"/>
    </xf>
    <xf numFmtId="0" fontId="31" fillId="0" borderId="3" xfId="0" applyFont="1" applyBorder="1" applyAlignment="1">
      <alignment horizontal="center" vertical="center" wrapText="1"/>
    </xf>
    <xf numFmtId="0" fontId="31" fillId="0" borderId="10" xfId="0" applyFont="1" applyBorder="1" applyAlignment="1">
      <alignment horizontal="center" vertical="center" wrapText="1"/>
    </xf>
    <xf numFmtId="0" fontId="31" fillId="0" borderId="7" xfId="0" applyFont="1" applyBorder="1" applyAlignment="1">
      <alignment horizontal="center" vertical="center" wrapText="1"/>
    </xf>
    <xf numFmtId="0" fontId="31" fillId="0" borderId="0" xfId="0" applyFont="1" applyAlignment="1">
      <alignment horizontal="center" vertical="center" wrapText="1"/>
    </xf>
    <xf numFmtId="0" fontId="31" fillId="0" borderId="9" xfId="0" applyFont="1" applyBorder="1" applyAlignment="1">
      <alignment horizontal="center" vertical="center" wrapText="1"/>
    </xf>
    <xf numFmtId="0" fontId="31" fillId="0" borderId="11" xfId="0" applyFont="1" applyBorder="1" applyAlignment="1">
      <alignment horizontal="center" vertical="center" wrapText="1"/>
    </xf>
    <xf numFmtId="0" fontId="31" fillId="0" borderId="1" xfId="0" applyFont="1" applyBorder="1" applyAlignment="1">
      <alignment horizontal="center" vertical="center" wrapText="1"/>
    </xf>
    <xf numFmtId="0" fontId="31" fillId="0" borderId="12" xfId="0" applyFont="1" applyBorder="1" applyAlignment="1">
      <alignment horizontal="center" vertical="center" wrapText="1"/>
    </xf>
    <xf numFmtId="2" fontId="46" fillId="0" borderId="7" xfId="0" applyNumberFormat="1" applyFont="1" applyBorder="1" applyAlignment="1">
      <alignment horizontal="left" vertical="top" wrapText="1"/>
    </xf>
    <xf numFmtId="2" fontId="46" fillId="0" borderId="0" xfId="0" applyNumberFormat="1" applyFont="1" applyAlignment="1">
      <alignment horizontal="left" vertical="top" wrapText="1"/>
    </xf>
    <xf numFmtId="0" fontId="25" fillId="0" borderId="0" xfId="0" applyFont="1" applyAlignment="1">
      <alignment horizontal="left" vertical="center"/>
    </xf>
    <xf numFmtId="0" fontId="29" fillId="0" borderId="93" xfId="0" applyFont="1" applyBorder="1" applyAlignment="1">
      <alignment horizontal="center" vertical="center" wrapText="1"/>
    </xf>
    <xf numFmtId="0" fontId="29" fillId="0" borderId="38" xfId="0" applyFont="1" applyBorder="1" applyAlignment="1">
      <alignment horizontal="center" vertical="center" wrapText="1"/>
    </xf>
    <xf numFmtId="0" fontId="29" fillId="0" borderId="39" xfId="0" applyFont="1" applyBorder="1" applyAlignment="1">
      <alignment horizontal="center" vertical="center" wrapText="1"/>
    </xf>
    <xf numFmtId="0" fontId="29" fillId="0" borderId="7" xfId="0" applyFont="1" applyBorder="1" applyAlignment="1">
      <alignment horizontal="center" vertical="center" wrapText="1"/>
    </xf>
    <xf numFmtId="0" fontId="29" fillId="0" borderId="0" xfId="0" applyFont="1" applyAlignment="1">
      <alignment horizontal="center" vertical="center" wrapText="1"/>
    </xf>
    <xf numFmtId="0" fontId="29" fillId="0" borderId="5" xfId="0" applyFont="1" applyBorder="1" applyAlignment="1">
      <alignment horizontal="center" vertical="center" wrapText="1"/>
    </xf>
    <xf numFmtId="2" fontId="52" fillId="0" borderId="37" xfId="0" applyNumberFormat="1" applyFont="1" applyBorder="1" applyAlignment="1">
      <alignment horizontal="center" vertical="center"/>
    </xf>
    <xf numFmtId="2" fontId="52" fillId="0" borderId="38" xfId="0" applyNumberFormat="1" applyFont="1" applyBorder="1" applyAlignment="1">
      <alignment horizontal="center" vertical="center"/>
    </xf>
    <xf numFmtId="2" fontId="52" fillId="0" borderId="39" xfId="0" applyNumberFormat="1" applyFont="1" applyBorder="1" applyAlignment="1">
      <alignment horizontal="center" vertical="center"/>
    </xf>
    <xf numFmtId="2" fontId="52" fillId="0" borderId="4" xfId="0" applyNumberFormat="1" applyFont="1" applyBorder="1" applyAlignment="1">
      <alignment horizontal="center" vertical="center"/>
    </xf>
    <xf numFmtId="2" fontId="52" fillId="0" borderId="0" xfId="0" applyNumberFormat="1" applyFont="1" applyAlignment="1">
      <alignment horizontal="center" vertical="center"/>
    </xf>
    <xf numFmtId="2" fontId="52" fillId="0" borderId="5" xfId="0" applyNumberFormat="1" applyFont="1" applyBorder="1" applyAlignment="1">
      <alignment horizontal="center" vertical="center"/>
    </xf>
    <xf numFmtId="2" fontId="52" fillId="0" borderId="40" xfId="0" applyNumberFormat="1" applyFont="1" applyBorder="1" applyAlignment="1">
      <alignment horizontal="center" vertical="center"/>
    </xf>
    <xf numFmtId="2" fontId="52" fillId="0" borderId="41" xfId="0" applyNumberFormat="1" applyFont="1" applyBorder="1" applyAlignment="1">
      <alignment horizontal="center" vertical="center"/>
    </xf>
    <xf numFmtId="2" fontId="52" fillId="0" borderId="42" xfId="0" applyNumberFormat="1" applyFont="1" applyBorder="1" applyAlignment="1">
      <alignment horizontal="center" vertical="center"/>
    </xf>
    <xf numFmtId="0" fontId="100" fillId="0" borderId="0" xfId="0" applyFont="1" applyAlignment="1">
      <alignment horizontal="left" vertical="center" wrapText="1"/>
    </xf>
    <xf numFmtId="0" fontId="27" fillId="0" borderId="38" xfId="0" applyFont="1" applyBorder="1" applyAlignment="1">
      <alignment horizontal="center" vertical="center"/>
    </xf>
    <xf numFmtId="0" fontId="27" fillId="0" borderId="39" xfId="0" applyFont="1" applyBorder="1" applyAlignment="1">
      <alignment horizontal="center" vertical="center"/>
    </xf>
    <xf numFmtId="0" fontId="27" fillId="0" borderId="5" xfId="0" applyFont="1" applyBorder="1" applyAlignment="1">
      <alignment horizontal="center" vertical="center"/>
    </xf>
    <xf numFmtId="0" fontId="27" fillId="0" borderId="1" xfId="0" applyFont="1" applyBorder="1" applyAlignment="1">
      <alignment horizontal="center" vertical="center"/>
    </xf>
    <xf numFmtId="0" fontId="27" fillId="0" borderId="2" xfId="0" applyFont="1" applyBorder="1" applyAlignment="1">
      <alignment horizontal="center" vertical="center"/>
    </xf>
    <xf numFmtId="0" fontId="126" fillId="0" borderId="0" xfId="0" applyFont="1" applyAlignment="1">
      <alignment horizontal="center"/>
    </xf>
    <xf numFmtId="0" fontId="28" fillId="0" borderId="18" xfId="0" applyFont="1" applyBorder="1" applyAlignment="1">
      <alignment horizontal="left" vertical="center"/>
    </xf>
    <xf numFmtId="0" fontId="28" fillId="0" borderId="32" xfId="0" applyFont="1" applyBorder="1" applyAlignment="1">
      <alignment horizontal="left" vertical="center"/>
    </xf>
    <xf numFmtId="0" fontId="28" fillId="0" borderId="21" xfId="0" applyFont="1" applyBorder="1" applyAlignment="1">
      <alignment horizontal="left" vertical="center"/>
    </xf>
    <xf numFmtId="0" fontId="126" fillId="0" borderId="1" xfId="0" applyFont="1" applyBorder="1" applyAlignment="1">
      <alignment horizontal="left"/>
    </xf>
    <xf numFmtId="2" fontId="46" fillId="0" borderId="14" xfId="0" applyNumberFormat="1" applyFont="1" applyBorder="1" applyAlignment="1">
      <alignment horizontal="center" vertical="center"/>
    </xf>
    <xf numFmtId="2" fontId="40" fillId="0" borderId="11" xfId="0" applyNumberFormat="1" applyFont="1" applyBorder="1" applyAlignment="1">
      <alignment horizontal="center" vertical="center"/>
    </xf>
    <xf numFmtId="2" fontId="40" fillId="0" borderId="1" xfId="0" applyNumberFormat="1" applyFont="1" applyBorder="1" applyAlignment="1">
      <alignment horizontal="center" vertical="center"/>
    </xf>
    <xf numFmtId="0" fontId="0" fillId="0" borderId="14" xfId="0" applyBorder="1" applyAlignment="1">
      <alignment horizontal="center" vertical="center"/>
    </xf>
    <xf numFmtId="0" fontId="0" fillId="0" borderId="286" xfId="0" applyBorder="1" applyAlignment="1">
      <alignment horizontal="center"/>
    </xf>
    <xf numFmtId="0" fontId="126" fillId="0" borderId="0" xfId="0" applyFont="1" applyAlignment="1">
      <alignment horizontal="left"/>
    </xf>
    <xf numFmtId="2" fontId="40" fillId="7" borderId="8" xfId="0" applyNumberFormat="1" applyFont="1" applyFill="1" applyBorder="1" applyAlignment="1">
      <alignment horizontal="center" vertical="center"/>
    </xf>
    <xf numFmtId="2" fontId="40" fillId="7" borderId="3" xfId="0" applyNumberFormat="1" applyFont="1" applyFill="1" applyBorder="1" applyAlignment="1">
      <alignment horizontal="center" vertical="center"/>
    </xf>
    <xf numFmtId="2" fontId="40" fillId="7" borderId="10" xfId="0" applyNumberFormat="1" applyFont="1" applyFill="1" applyBorder="1" applyAlignment="1">
      <alignment horizontal="center" vertical="center"/>
    </xf>
    <xf numFmtId="2" fontId="40" fillId="7" borderId="11" xfId="0" applyNumberFormat="1" applyFont="1" applyFill="1" applyBorder="1" applyAlignment="1">
      <alignment horizontal="center" vertical="center"/>
    </xf>
    <xf numFmtId="2" fontId="40" fillId="7" borderId="1" xfId="0" applyNumberFormat="1" applyFont="1" applyFill="1" applyBorder="1" applyAlignment="1">
      <alignment horizontal="center" vertical="center"/>
    </xf>
    <xf numFmtId="2" fontId="40" fillId="7" borderId="12" xfId="0" applyNumberFormat="1" applyFont="1" applyFill="1" applyBorder="1" applyAlignment="1">
      <alignment horizontal="center" vertical="center"/>
    </xf>
    <xf numFmtId="0" fontId="0" fillId="0" borderId="3" xfId="0" applyBorder="1" applyAlignment="1">
      <alignment horizontal="center" vertical="center"/>
    </xf>
    <xf numFmtId="0" fontId="0" fillId="5" borderId="8" xfId="0" applyFill="1" applyBorder="1" applyAlignment="1">
      <alignment horizontal="center"/>
    </xf>
    <xf numFmtId="0" fontId="0" fillId="5" borderId="10" xfId="0" applyFill="1" applyBorder="1" applyAlignment="1">
      <alignment horizontal="center"/>
    </xf>
    <xf numFmtId="0" fontId="0" fillId="5" borderId="7" xfId="0" applyFill="1" applyBorder="1" applyAlignment="1">
      <alignment horizontal="center"/>
    </xf>
    <xf numFmtId="0" fontId="0" fillId="5" borderId="9" xfId="0" applyFill="1" applyBorder="1" applyAlignment="1">
      <alignment horizontal="center"/>
    </xf>
    <xf numFmtId="0" fontId="0" fillId="5" borderId="11" xfId="0" applyFill="1" applyBorder="1" applyAlignment="1">
      <alignment horizontal="center"/>
    </xf>
    <xf numFmtId="0" fontId="0" fillId="5" borderId="12" xfId="0" applyFill="1" applyBorder="1" applyAlignment="1">
      <alignment horizontal="center"/>
    </xf>
    <xf numFmtId="0" fontId="31" fillId="0" borderId="0" xfId="0" applyFont="1" applyAlignment="1">
      <alignment horizontal="left" vertical="center" wrapText="1"/>
    </xf>
    <xf numFmtId="0" fontId="54" fillId="0" borderId="8" xfId="0" applyFont="1" applyBorder="1" applyAlignment="1">
      <alignment horizontal="center" vertical="center" wrapText="1"/>
    </xf>
    <xf numFmtId="0" fontId="54" fillId="0" borderId="3" xfId="0" applyFont="1" applyBorder="1" applyAlignment="1">
      <alignment horizontal="center" vertical="center" wrapText="1"/>
    </xf>
    <xf numFmtId="0" fontId="54" fillId="0" borderId="10" xfId="0" applyFont="1" applyBorder="1" applyAlignment="1">
      <alignment horizontal="center" vertical="center" wrapText="1"/>
    </xf>
    <xf numFmtId="0" fontId="54" fillId="0" borderId="7" xfId="0" applyFont="1" applyBorder="1" applyAlignment="1">
      <alignment horizontal="center" vertical="center" wrapText="1"/>
    </xf>
    <xf numFmtId="0" fontId="54" fillId="0" borderId="0" xfId="0" applyFont="1" applyAlignment="1">
      <alignment horizontal="center" vertical="center" wrapText="1"/>
    </xf>
    <xf numFmtId="0" fontId="54" fillId="0" borderId="9" xfId="0" applyFont="1" applyBorder="1" applyAlignment="1">
      <alignment horizontal="center" vertical="center" wrapText="1"/>
    </xf>
    <xf numFmtId="0" fontId="54" fillId="0" borderId="11" xfId="0" applyFont="1" applyBorder="1" applyAlignment="1">
      <alignment horizontal="center" vertical="center" wrapText="1"/>
    </xf>
    <xf numFmtId="0" fontId="54" fillId="0" borderId="1" xfId="0" applyFont="1" applyBorder="1" applyAlignment="1">
      <alignment horizontal="center" vertical="center" wrapText="1"/>
    </xf>
    <xf numFmtId="0" fontId="54" fillId="0" borderId="12" xfId="0" applyFont="1" applyBorder="1" applyAlignment="1">
      <alignment horizontal="center" vertical="center" wrapText="1"/>
    </xf>
    <xf numFmtId="1" fontId="40" fillId="7" borderId="7" xfId="0" applyNumberFormat="1" applyFont="1" applyFill="1" applyBorder="1" applyAlignment="1">
      <alignment horizontal="center" vertical="center" shrinkToFit="1"/>
    </xf>
    <xf numFmtId="1" fontId="40" fillId="7" borderId="0" xfId="0" applyNumberFormat="1" applyFont="1" applyFill="1" applyAlignment="1">
      <alignment horizontal="center" vertical="center" shrinkToFit="1"/>
    </xf>
    <xf numFmtId="1" fontId="40" fillId="7" borderId="9" xfId="0" applyNumberFormat="1" applyFont="1" applyFill="1" applyBorder="1" applyAlignment="1">
      <alignment horizontal="center" vertical="center" shrinkToFit="1"/>
    </xf>
    <xf numFmtId="1" fontId="40" fillId="7" borderId="11" xfId="0" applyNumberFormat="1" applyFont="1" applyFill="1" applyBorder="1" applyAlignment="1">
      <alignment horizontal="center" vertical="center" shrinkToFit="1"/>
    </xf>
    <xf numFmtId="1" fontId="40" fillId="7" borderId="1" xfId="0" applyNumberFormat="1" applyFont="1" applyFill="1" applyBorder="1" applyAlignment="1">
      <alignment horizontal="center" vertical="center" shrinkToFit="1"/>
    </xf>
    <xf numFmtId="1" fontId="40" fillId="7" borderId="12" xfId="0" applyNumberFormat="1" applyFont="1" applyFill="1" applyBorder="1" applyAlignment="1">
      <alignment horizontal="center" vertical="center" shrinkToFit="1"/>
    </xf>
    <xf numFmtId="2" fontId="31" fillId="0" borderId="7" xfId="0" applyNumberFormat="1" applyFont="1" applyBorder="1" applyAlignment="1">
      <alignment horizontal="center" vertical="center"/>
    </xf>
    <xf numFmtId="2" fontId="31" fillId="0" borderId="0" xfId="0" applyNumberFormat="1" applyFont="1" applyAlignment="1">
      <alignment horizontal="center" vertical="center"/>
    </xf>
    <xf numFmtId="2" fontId="31" fillId="0" borderId="9" xfId="0" applyNumberFormat="1" applyFont="1" applyBorder="1" applyAlignment="1">
      <alignment horizontal="center" vertical="center"/>
    </xf>
    <xf numFmtId="2" fontId="31" fillId="0" borderId="11" xfId="0" applyNumberFormat="1" applyFont="1" applyBorder="1" applyAlignment="1">
      <alignment horizontal="center" vertical="center"/>
    </xf>
    <xf numFmtId="2" fontId="31" fillId="0" borderId="1" xfId="0" applyNumberFormat="1" applyFont="1" applyBorder="1" applyAlignment="1">
      <alignment horizontal="center" vertical="center"/>
    </xf>
    <xf numFmtId="2" fontId="31" fillId="0" borderId="12" xfId="0" applyNumberFormat="1" applyFont="1" applyBorder="1" applyAlignment="1">
      <alignment horizontal="center" vertical="center"/>
    </xf>
    <xf numFmtId="2" fontId="24" fillId="0" borderId="8" xfId="0" applyNumberFormat="1" applyFont="1" applyBorder="1" applyAlignment="1">
      <alignment horizontal="center" vertical="center"/>
    </xf>
    <xf numFmtId="2" fontId="24" fillId="0" borderId="286" xfId="0" applyNumberFormat="1" applyFont="1" applyBorder="1" applyAlignment="1">
      <alignment horizontal="center" vertical="center"/>
    </xf>
    <xf numFmtId="2" fontId="24" fillId="0" borderId="7" xfId="0" applyNumberFormat="1" applyFont="1" applyBorder="1" applyAlignment="1">
      <alignment horizontal="center" vertical="center"/>
    </xf>
    <xf numFmtId="2" fontId="24" fillId="0" borderId="9" xfId="0" applyNumberFormat="1" applyFont="1" applyBorder="1" applyAlignment="1">
      <alignment horizontal="center" vertical="center"/>
    </xf>
    <xf numFmtId="0" fontId="31" fillId="0" borderId="8" xfId="0" applyFont="1" applyBorder="1" applyAlignment="1">
      <alignment horizontal="center" vertical="top"/>
    </xf>
    <xf numFmtId="0" fontId="31" fillId="0" borderId="3" xfId="0" applyFont="1" applyBorder="1" applyAlignment="1">
      <alignment horizontal="center" vertical="top"/>
    </xf>
    <xf numFmtId="0" fontId="31" fillId="0" borderId="286" xfId="0" applyFont="1" applyBorder="1" applyAlignment="1">
      <alignment horizontal="center" vertical="top"/>
    </xf>
    <xf numFmtId="0" fontId="31" fillId="0" borderId="7" xfId="0" applyFont="1" applyBorder="1" applyAlignment="1">
      <alignment horizontal="center" vertical="top"/>
    </xf>
    <xf numFmtId="0" fontId="31" fillId="0" borderId="0" xfId="0" applyFont="1" applyAlignment="1">
      <alignment horizontal="center" vertical="top"/>
    </xf>
    <xf numFmtId="0" fontId="31" fillId="0" borderId="9" xfId="0" applyFont="1" applyBorder="1" applyAlignment="1">
      <alignment horizontal="center" vertical="top"/>
    </xf>
    <xf numFmtId="0" fontId="24" fillId="0" borderId="38" xfId="0" applyFont="1" applyBorder="1" applyAlignment="1">
      <alignment horizontal="left" vertical="center"/>
    </xf>
    <xf numFmtId="0" fontId="24" fillId="0" borderId="92" xfId="0" applyFont="1" applyBorder="1" applyAlignment="1">
      <alignment horizontal="left" vertical="center"/>
    </xf>
    <xf numFmtId="0" fontId="24" fillId="0" borderId="1" xfId="0" applyFont="1" applyBorder="1" applyAlignment="1">
      <alignment horizontal="left" vertical="center"/>
    </xf>
    <xf numFmtId="0" fontId="24" fillId="0" borderId="12" xfId="0" applyFont="1" applyBorder="1" applyAlignment="1">
      <alignment horizontal="left" vertical="center"/>
    </xf>
    <xf numFmtId="0" fontId="24" fillId="0" borderId="8" xfId="0" applyFont="1" applyBorder="1" applyAlignment="1">
      <alignment horizontal="center" vertical="center" wrapText="1"/>
    </xf>
    <xf numFmtId="0" fontId="24" fillId="0" borderId="3" xfId="0" applyFont="1" applyBorder="1" applyAlignment="1">
      <alignment horizontal="center" vertical="center" wrapText="1"/>
    </xf>
    <xf numFmtId="0" fontId="24" fillId="0" borderId="286" xfId="0" applyFont="1" applyBorder="1" applyAlignment="1">
      <alignment horizontal="center" vertical="center" wrapText="1"/>
    </xf>
    <xf numFmtId="0" fontId="24" fillId="0" borderId="7" xfId="0" applyFont="1" applyBorder="1" applyAlignment="1">
      <alignment horizontal="center" vertical="center" wrapText="1"/>
    </xf>
    <xf numFmtId="0" fontId="24" fillId="0" borderId="11" xfId="0" applyFont="1" applyBorder="1" applyAlignment="1">
      <alignment horizontal="center" vertical="center" wrapText="1"/>
    </xf>
    <xf numFmtId="0" fontId="31" fillId="11" borderId="21" xfId="0" applyFont="1" applyFill="1" applyBorder="1" applyAlignment="1">
      <alignment horizontal="center"/>
    </xf>
    <xf numFmtId="0" fontId="31" fillId="11" borderId="14" xfId="0" applyFont="1" applyFill="1" applyBorder="1" applyAlignment="1">
      <alignment horizontal="center"/>
    </xf>
    <xf numFmtId="0" fontId="31" fillId="0" borderId="113" xfId="0" applyFont="1" applyBorder="1" applyAlignment="1">
      <alignment horizontal="center"/>
    </xf>
    <xf numFmtId="0" fontId="31" fillId="0" borderId="109" xfId="0" applyFont="1" applyBorder="1" applyAlignment="1">
      <alignment horizontal="center"/>
    </xf>
    <xf numFmtId="0" fontId="31" fillId="0" borderId="14" xfId="0" applyFont="1" applyBorder="1" applyAlignment="1">
      <alignment horizontal="center"/>
    </xf>
    <xf numFmtId="0" fontId="31" fillId="0" borderId="23" xfId="0" applyFont="1" applyBorder="1" applyAlignment="1">
      <alignment horizontal="center"/>
    </xf>
    <xf numFmtId="0" fontId="43" fillId="0" borderId="23" xfId="0" applyFont="1" applyBorder="1" applyAlignment="1">
      <alignment horizontal="center" vertical="center"/>
    </xf>
    <xf numFmtId="0" fontId="43" fillId="0" borderId="96" xfId="0" applyFont="1" applyBorder="1" applyAlignment="1">
      <alignment horizontal="center" vertical="center"/>
    </xf>
    <xf numFmtId="0" fontId="43" fillId="0" borderId="97" xfId="0" applyFont="1" applyBorder="1" applyAlignment="1">
      <alignment horizontal="center" vertical="center"/>
    </xf>
    <xf numFmtId="0" fontId="43" fillId="0" borderId="21" xfId="0" applyFont="1" applyBorder="1" applyAlignment="1">
      <alignment horizontal="center" vertical="center"/>
    </xf>
    <xf numFmtId="0" fontId="103" fillId="0" borderId="8" xfId="0" applyFont="1" applyBorder="1" applyAlignment="1">
      <alignment horizontal="center" vertical="center"/>
    </xf>
    <xf numFmtId="0" fontId="103" fillId="0" borderId="3" xfId="0" applyFont="1" applyBorder="1" applyAlignment="1">
      <alignment horizontal="center" vertical="center"/>
    </xf>
    <xf numFmtId="0" fontId="103" fillId="0" borderId="7" xfId="0" applyFont="1" applyBorder="1" applyAlignment="1">
      <alignment horizontal="center" vertical="center"/>
    </xf>
    <xf numFmtId="0" fontId="103" fillId="0" borderId="0" xfId="0" applyFont="1" applyAlignment="1">
      <alignment horizontal="center" vertical="center"/>
    </xf>
    <xf numFmtId="0" fontId="103" fillId="0" borderId="11" xfId="0" applyFont="1" applyBorder="1" applyAlignment="1">
      <alignment horizontal="center" vertical="center"/>
    </xf>
    <xf numFmtId="0" fontId="103" fillId="0" borderId="1" xfId="0" applyFont="1" applyBorder="1" applyAlignment="1">
      <alignment horizontal="center" vertical="center"/>
    </xf>
    <xf numFmtId="1" fontId="40" fillId="8" borderId="19" xfId="0" applyNumberFormat="1" applyFont="1" applyFill="1" applyBorder="1" applyAlignment="1">
      <alignment horizontal="center" vertical="center"/>
    </xf>
    <xf numFmtId="1" fontId="40" fillId="8" borderId="108" xfId="0" applyNumberFormat="1" applyFont="1" applyFill="1" applyBorder="1" applyAlignment="1">
      <alignment horizontal="center" vertical="center"/>
    </xf>
    <xf numFmtId="1" fontId="40" fillId="8" borderId="14" xfId="0" applyNumberFormat="1" applyFont="1" applyFill="1" applyBorder="1" applyAlignment="1">
      <alignment horizontal="center" vertical="center"/>
    </xf>
    <xf numFmtId="1" fontId="40" fillId="8" borderId="23" xfId="0" applyNumberFormat="1" applyFont="1" applyFill="1" applyBorder="1" applyAlignment="1">
      <alignment horizontal="center" vertical="center"/>
    </xf>
    <xf numFmtId="0" fontId="33" fillId="0" borderId="22" xfId="0" applyFont="1" applyBorder="1" applyAlignment="1">
      <alignment horizontal="center" vertical="center"/>
    </xf>
    <xf numFmtId="0" fontId="33" fillId="0" borderId="117" xfId="0" applyFont="1" applyBorder="1" applyAlignment="1">
      <alignment horizontal="center" vertical="center"/>
    </xf>
    <xf numFmtId="2" fontId="40" fillId="0" borderId="8" xfId="0" applyNumberFormat="1" applyFont="1" applyBorder="1" applyAlignment="1">
      <alignment horizontal="center" vertical="center"/>
    </xf>
    <xf numFmtId="2" fontId="40" fillId="0" borderId="3" xfId="0" applyNumberFormat="1" applyFont="1" applyBorder="1" applyAlignment="1">
      <alignment horizontal="center" vertical="center"/>
    </xf>
    <xf numFmtId="2" fontId="40" fillId="0" borderId="6" xfId="0" applyNumberFormat="1" applyFont="1" applyBorder="1" applyAlignment="1">
      <alignment horizontal="center" vertical="center"/>
    </xf>
    <xf numFmtId="2" fontId="40" fillId="0" borderId="7" xfId="0" applyNumberFormat="1" applyFont="1" applyBorder="1" applyAlignment="1">
      <alignment horizontal="center" vertical="center"/>
    </xf>
    <xf numFmtId="2" fontId="40" fillId="0" borderId="0" xfId="0" applyNumberFormat="1" applyFont="1" applyAlignment="1">
      <alignment horizontal="center" vertical="center"/>
    </xf>
    <xf numFmtId="2" fontId="40" fillId="0" borderId="5" xfId="0" applyNumberFormat="1" applyFont="1" applyBorder="1" applyAlignment="1">
      <alignment horizontal="center" vertical="center"/>
    </xf>
    <xf numFmtId="2" fontId="40" fillId="0" borderId="2" xfId="0" applyNumberFormat="1" applyFont="1" applyBorder="1" applyAlignment="1">
      <alignment horizontal="center" vertical="center"/>
    </xf>
    <xf numFmtId="0" fontId="24" fillId="0" borderId="4" xfId="0" applyFont="1" applyBorder="1" applyAlignment="1">
      <alignment horizontal="center" vertical="center" wrapText="1"/>
    </xf>
    <xf numFmtId="0" fontId="24" fillId="0" borderId="5" xfId="0" applyFont="1" applyBorder="1" applyAlignment="1">
      <alignment horizontal="center" vertical="center" wrapText="1"/>
    </xf>
    <xf numFmtId="0" fontId="24" fillId="0" borderId="31" xfId="0" applyFont="1" applyBorder="1" applyAlignment="1">
      <alignment horizontal="center" vertical="center" wrapText="1"/>
    </xf>
    <xf numFmtId="0" fontId="24" fillId="0" borderId="2" xfId="0" applyFont="1" applyBorder="1" applyAlignment="1">
      <alignment horizontal="center" vertical="center" wrapText="1"/>
    </xf>
    <xf numFmtId="0" fontId="40" fillId="0" borderId="7" xfId="0" applyFont="1" applyBorder="1" applyAlignment="1">
      <alignment horizontal="center" vertical="center" wrapText="1"/>
    </xf>
    <xf numFmtId="0" fontId="40" fillId="0" borderId="0" xfId="0" applyFont="1" applyAlignment="1">
      <alignment horizontal="center" vertical="center" wrapText="1"/>
    </xf>
    <xf numFmtId="0" fontId="40" fillId="0" borderId="11" xfId="0" applyFont="1" applyBorder="1" applyAlignment="1">
      <alignment horizontal="center" vertical="center" wrapText="1"/>
    </xf>
    <xf numFmtId="0" fontId="40" fillId="0" borderId="1" xfId="0" applyFont="1" applyBorder="1" applyAlignment="1">
      <alignment horizontal="center" vertical="center" wrapText="1"/>
    </xf>
    <xf numFmtId="2" fontId="34" fillId="2" borderId="8" xfId="0" applyNumberFormat="1" applyFont="1" applyFill="1" applyBorder="1" applyAlignment="1" applyProtection="1">
      <alignment horizontal="center" vertical="center"/>
      <protection locked="0"/>
    </xf>
    <xf numFmtId="2" fontId="34" fillId="2" borderId="3" xfId="0" applyNumberFormat="1" applyFont="1" applyFill="1" applyBorder="1" applyAlignment="1" applyProtection="1">
      <alignment horizontal="center" vertical="center"/>
      <protection locked="0"/>
    </xf>
    <xf numFmtId="2" fontId="34" fillId="2" borderId="286" xfId="0" applyNumberFormat="1" applyFont="1" applyFill="1" applyBorder="1" applyAlignment="1" applyProtection="1">
      <alignment horizontal="center" vertical="center"/>
      <protection locked="0"/>
    </xf>
    <xf numFmtId="2" fontId="34" fillId="2" borderId="7" xfId="0" applyNumberFormat="1" applyFont="1" applyFill="1" applyBorder="1" applyAlignment="1" applyProtection="1">
      <alignment horizontal="center" vertical="center"/>
      <protection locked="0"/>
    </xf>
    <xf numFmtId="2" fontId="34" fillId="2" borderId="0" xfId="0" applyNumberFormat="1" applyFont="1" applyFill="1" applyAlignment="1" applyProtection="1">
      <alignment horizontal="center" vertical="center"/>
      <protection locked="0"/>
    </xf>
    <xf numFmtId="2" fontId="34" fillId="2" borderId="9" xfId="0" applyNumberFormat="1" applyFont="1" applyFill="1" applyBorder="1" applyAlignment="1" applyProtection="1">
      <alignment horizontal="center" vertical="center"/>
      <protection locked="0"/>
    </xf>
    <xf numFmtId="2" fontId="34" fillId="2" borderId="11" xfId="0" applyNumberFormat="1" applyFont="1" applyFill="1" applyBorder="1" applyAlignment="1" applyProtection="1">
      <alignment horizontal="center" vertical="center"/>
      <protection locked="0"/>
    </xf>
    <xf numFmtId="2" fontId="34" fillId="2" borderId="1" xfId="0" applyNumberFormat="1" applyFont="1" applyFill="1" applyBorder="1" applyAlignment="1" applyProtection="1">
      <alignment horizontal="center" vertical="center"/>
      <protection locked="0"/>
    </xf>
    <xf numFmtId="2" fontId="34" fillId="2" borderId="12" xfId="0" applyNumberFormat="1" applyFont="1" applyFill="1" applyBorder="1" applyAlignment="1" applyProtection="1">
      <alignment horizontal="center" vertical="center"/>
      <protection locked="0"/>
    </xf>
    <xf numFmtId="0" fontId="25" fillId="0" borderId="264" xfId="0" applyFont="1" applyBorder="1" applyAlignment="1">
      <alignment horizontal="center" vertical="center" wrapText="1"/>
    </xf>
    <xf numFmtId="0" fontId="23" fillId="0" borderId="41" xfId="0" applyFont="1" applyBorder="1" applyAlignment="1">
      <alignment horizontal="center" vertical="top"/>
    </xf>
    <xf numFmtId="0" fontId="23" fillId="0" borderId="42" xfId="0" applyFont="1" applyBorder="1" applyAlignment="1">
      <alignment horizontal="center" vertical="top"/>
    </xf>
    <xf numFmtId="0" fontId="143" fillId="0" borderId="7" xfId="0" applyFont="1" applyBorder="1" applyAlignment="1">
      <alignment horizontal="center" wrapText="1"/>
    </xf>
    <xf numFmtId="0" fontId="143" fillId="0" borderId="0" xfId="0" applyFont="1" applyAlignment="1">
      <alignment horizontal="center" wrapText="1"/>
    </xf>
    <xf numFmtId="0" fontId="143" fillId="0" borderId="9" xfId="0" applyFont="1" applyBorder="1" applyAlignment="1">
      <alignment horizontal="center" wrapText="1"/>
    </xf>
    <xf numFmtId="0" fontId="143" fillId="0" borderId="11" xfId="0" applyFont="1" applyBorder="1" applyAlignment="1">
      <alignment horizontal="center" wrapText="1"/>
    </xf>
    <xf numFmtId="0" fontId="143" fillId="0" borderId="1" xfId="0" applyFont="1" applyBorder="1" applyAlignment="1">
      <alignment horizontal="center" wrapText="1"/>
    </xf>
    <xf numFmtId="0" fontId="143" fillId="0" borderId="12" xfId="0" applyFont="1" applyBorder="1" applyAlignment="1">
      <alignment horizontal="center" wrapText="1"/>
    </xf>
    <xf numFmtId="0" fontId="25" fillId="0" borderId="39" xfId="0" applyFont="1" applyBorder="1" applyAlignment="1">
      <alignment horizontal="center" vertical="center" wrapText="1"/>
    </xf>
    <xf numFmtId="0" fontId="25" fillId="0" borderId="5" xfId="0" applyFont="1" applyBorder="1" applyAlignment="1">
      <alignment horizontal="center" vertical="center" wrapText="1"/>
    </xf>
    <xf numFmtId="0" fontId="25" fillId="0" borderId="24" xfId="0" applyFont="1" applyBorder="1" applyAlignment="1">
      <alignment horizontal="center" vertical="center" textRotation="255"/>
    </xf>
    <xf numFmtId="0" fontId="25" fillId="0" borderId="10" xfId="0" applyFont="1" applyBorder="1" applyAlignment="1">
      <alignment horizontal="center" vertical="center" textRotation="255"/>
    </xf>
    <xf numFmtId="0" fontId="25" fillId="0" borderId="4" xfId="0" applyFont="1" applyBorder="1" applyAlignment="1">
      <alignment horizontal="center" vertical="center" textRotation="255"/>
    </xf>
    <xf numFmtId="0" fontId="25" fillId="0" borderId="9" xfId="0" applyFont="1" applyBorder="1" applyAlignment="1">
      <alignment horizontal="center" vertical="center" textRotation="255"/>
    </xf>
    <xf numFmtId="0" fontId="25" fillId="0" borderId="31" xfId="0" applyFont="1" applyBorder="1" applyAlignment="1">
      <alignment horizontal="center" vertical="center" textRotation="255"/>
    </xf>
    <xf numFmtId="0" fontId="25" fillId="0" borderId="12" xfId="0" applyFont="1" applyBorder="1" applyAlignment="1">
      <alignment horizontal="center" vertical="center" textRotation="255"/>
    </xf>
    <xf numFmtId="0" fontId="0" fillId="0" borderId="38" xfId="0" applyBorder="1"/>
    <xf numFmtId="0" fontId="0" fillId="0" borderId="92" xfId="0" applyBorder="1"/>
    <xf numFmtId="0" fontId="0" fillId="0" borderId="7" xfId="0" applyBorder="1"/>
    <xf numFmtId="0" fontId="0" fillId="0" borderId="9" xfId="0" applyBorder="1"/>
    <xf numFmtId="0" fontId="0" fillId="0" borderId="164" xfId="0" applyBorder="1"/>
    <xf numFmtId="0" fontId="0" fillId="0" borderId="165" xfId="0" applyBorder="1"/>
    <xf numFmtId="0" fontId="0" fillId="0" borderId="166" xfId="0" applyBorder="1"/>
    <xf numFmtId="49" fontId="264" fillId="28" borderId="24" xfId="0" applyNumberFormat="1" applyFont="1" applyFill="1" applyBorder="1" applyAlignment="1" applyProtection="1">
      <alignment horizontal="center" vertical="center" wrapText="1"/>
      <protection locked="0"/>
    </xf>
    <xf numFmtId="49" fontId="0" fillId="28" borderId="3" xfId="0" applyNumberFormat="1" applyFill="1" applyBorder="1" applyAlignment="1" applyProtection="1">
      <alignment horizontal="center" vertical="center" wrapText="1"/>
      <protection locked="0"/>
    </xf>
    <xf numFmtId="49" fontId="0" fillId="28" borderId="286" xfId="0" applyNumberFormat="1" applyFill="1" applyBorder="1" applyAlignment="1" applyProtection="1">
      <alignment horizontal="center" vertical="center" wrapText="1"/>
      <protection locked="0"/>
    </xf>
    <xf numFmtId="49" fontId="0" fillId="0" borderId="31" xfId="0" applyNumberFormat="1" applyBorder="1" applyAlignment="1" applyProtection="1">
      <alignment horizontal="center" vertical="center" wrapText="1"/>
      <protection locked="0"/>
    </xf>
    <xf numFmtId="49" fontId="0" fillId="0" borderId="1" xfId="0" applyNumberFormat="1" applyBorder="1" applyAlignment="1" applyProtection="1">
      <alignment horizontal="center" vertical="center" wrapText="1"/>
      <protection locked="0"/>
    </xf>
    <xf numFmtId="49" fontId="0" fillId="0" borderId="12" xfId="0" applyNumberFormat="1" applyBorder="1" applyAlignment="1" applyProtection="1">
      <alignment horizontal="center" vertical="center" wrapText="1"/>
      <protection locked="0"/>
    </xf>
    <xf numFmtId="0" fontId="29" fillId="0" borderId="265" xfId="0" applyFont="1" applyBorder="1" applyAlignment="1">
      <alignment horizontal="center" wrapText="1"/>
    </xf>
    <xf numFmtId="0" fontId="29" fillId="0" borderId="264" xfId="0" applyFont="1" applyBorder="1" applyAlignment="1">
      <alignment horizontal="center" wrapText="1"/>
    </xf>
    <xf numFmtId="0" fontId="29" fillId="0" borderId="92" xfId="0" applyFont="1" applyBorder="1" applyAlignment="1">
      <alignment horizontal="center" wrapText="1"/>
    </xf>
    <xf numFmtId="0" fontId="29" fillId="0" borderId="31" xfId="0" applyFont="1" applyBorder="1" applyAlignment="1">
      <alignment horizontal="center" wrapText="1"/>
    </xf>
    <xf numFmtId="0" fontId="29" fillId="0" borderId="1" xfId="0" applyFont="1" applyBorder="1" applyAlignment="1">
      <alignment horizontal="center" wrapText="1"/>
    </xf>
    <xf numFmtId="0" fontId="29" fillId="0" borderId="12" xfId="0" applyFont="1" applyBorder="1" applyAlignment="1">
      <alignment horizontal="center" wrapText="1"/>
    </xf>
    <xf numFmtId="0" fontId="29" fillId="0" borderId="0" xfId="0" quotePrefix="1" applyFont="1" applyAlignment="1">
      <alignment horizontal="center" vertical="center" wrapText="1"/>
    </xf>
    <xf numFmtId="0" fontId="29" fillId="0" borderId="9" xfId="0" quotePrefix="1" applyFont="1" applyBorder="1" applyAlignment="1">
      <alignment horizontal="center" vertical="center" wrapText="1"/>
    </xf>
    <xf numFmtId="0" fontId="149" fillId="0" borderId="0" xfId="0" quotePrefix="1" applyFont="1" applyAlignment="1">
      <alignment horizontal="center" vertical="center"/>
    </xf>
    <xf numFmtId="0" fontId="148" fillId="0" borderId="0" xfId="0" applyFont="1" applyAlignment="1">
      <alignment horizontal="center" vertical="center" wrapText="1"/>
    </xf>
    <xf numFmtId="0" fontId="31" fillId="0" borderId="107" xfId="0" applyFont="1" applyBorder="1" applyAlignment="1">
      <alignment horizontal="center"/>
    </xf>
    <xf numFmtId="0" fontId="31" fillId="0" borderId="22" xfId="0" applyFont="1" applyBorder="1" applyAlignment="1">
      <alignment horizontal="center"/>
    </xf>
    <xf numFmtId="0" fontId="43" fillId="0" borderId="22" xfId="0" applyFont="1" applyBorder="1" applyAlignment="1">
      <alignment horizontal="center" vertical="center"/>
    </xf>
    <xf numFmtId="0" fontId="43" fillId="0" borderId="98" xfId="0" applyFont="1" applyBorder="1" applyAlignment="1">
      <alignment horizontal="center" vertical="center"/>
    </xf>
    <xf numFmtId="1" fontId="40" fillId="8" borderId="114" xfId="0" applyNumberFormat="1" applyFont="1" applyFill="1" applyBorder="1" applyAlignment="1">
      <alignment horizontal="center" vertical="center"/>
    </xf>
    <xf numFmtId="1" fontId="40" fillId="8" borderId="22" xfId="0" applyNumberFormat="1" applyFont="1" applyFill="1" applyBorder="1" applyAlignment="1">
      <alignment horizontal="center" vertical="center"/>
    </xf>
    <xf numFmtId="0" fontId="43" fillId="0" borderId="8" xfId="0" applyFont="1" applyBorder="1" applyAlignment="1">
      <alignment horizontal="center"/>
    </xf>
    <xf numFmtId="0" fontId="43" fillId="0" borderId="3" xfId="0" applyFont="1" applyBorder="1" applyAlignment="1">
      <alignment horizontal="center"/>
    </xf>
    <xf numFmtId="0" fontId="43" fillId="0" borderId="7" xfId="0" applyFont="1" applyBorder="1" applyAlignment="1">
      <alignment horizontal="center"/>
    </xf>
    <xf numFmtId="0" fontId="43" fillId="0" borderId="0" xfId="0" applyFont="1" applyAlignment="1">
      <alignment horizontal="center"/>
    </xf>
    <xf numFmtId="0" fontId="43" fillId="0" borderId="11" xfId="0" applyFont="1" applyBorder="1" applyAlignment="1">
      <alignment horizontal="center"/>
    </xf>
    <xf numFmtId="0" fontId="43" fillId="0" borderId="1" xfId="0" applyFont="1" applyBorder="1" applyAlignment="1">
      <alignment horizontal="center"/>
    </xf>
    <xf numFmtId="0" fontId="275" fillId="0" borderId="304" xfId="0" applyFont="1" applyBorder="1" applyAlignment="1">
      <alignment horizontal="right" vertical="center" shrinkToFit="1"/>
    </xf>
    <xf numFmtId="0" fontId="275" fillId="0" borderId="156" xfId="0" applyFont="1" applyBorder="1" applyAlignment="1">
      <alignment horizontal="right" vertical="center" shrinkToFit="1"/>
    </xf>
    <xf numFmtId="0" fontId="51" fillId="18" borderId="0" xfId="0" applyFont="1" applyFill="1" applyAlignment="1">
      <alignment horizontal="left" vertical="center"/>
    </xf>
    <xf numFmtId="0" fontId="55" fillId="0" borderId="4" xfId="0" applyFont="1" applyBorder="1" applyAlignment="1">
      <alignment horizontal="center" vertical="top"/>
    </xf>
    <xf numFmtId="0" fontId="55" fillId="0" borderId="0" xfId="0" applyFont="1" applyAlignment="1">
      <alignment horizontal="center" vertical="top"/>
    </xf>
    <xf numFmtId="0" fontId="55" fillId="0" borderId="40" xfId="0" applyFont="1" applyBorder="1" applyAlignment="1">
      <alignment horizontal="center" vertical="top"/>
    </xf>
    <xf numFmtId="0" fontId="55" fillId="0" borderId="41" xfId="0" applyFont="1" applyBorder="1" applyAlignment="1">
      <alignment horizontal="center" vertical="top"/>
    </xf>
    <xf numFmtId="0" fontId="111" fillId="0" borderId="0" xfId="0" applyFont="1" applyAlignment="1">
      <alignment horizontal="center" vertical="top"/>
    </xf>
    <xf numFmtId="0" fontId="111" fillId="0" borderId="41" xfId="0" applyFont="1" applyBorder="1" applyAlignment="1">
      <alignment horizontal="center" vertical="top"/>
    </xf>
    <xf numFmtId="2" fontId="34" fillId="7" borderId="18" xfId="0" applyNumberFormat="1" applyFont="1" applyFill="1" applyBorder="1" applyAlignment="1" applyProtection="1">
      <alignment horizontal="center" vertical="center"/>
      <protection locked="0"/>
    </xf>
    <xf numFmtId="2" fontId="40" fillId="0" borderId="14" xfId="0" applyNumberFormat="1" applyFont="1" applyBorder="1" applyAlignment="1">
      <alignment horizontal="center" vertical="center" shrinkToFit="1"/>
    </xf>
    <xf numFmtId="2" fontId="40" fillId="0" borderId="18" xfId="0" applyNumberFormat="1" applyFont="1" applyBorder="1" applyAlignment="1">
      <alignment horizontal="center" vertical="center" shrinkToFit="1"/>
    </xf>
    <xf numFmtId="0" fontId="25" fillId="0" borderId="37" xfId="0" applyFont="1" applyBorder="1" applyAlignment="1">
      <alignment horizontal="center" vertical="center" wrapText="1"/>
    </xf>
    <xf numFmtId="0" fontId="25" fillId="0" borderId="4" xfId="0" applyFont="1" applyBorder="1" applyAlignment="1">
      <alignment horizontal="center" vertical="center" wrapText="1"/>
    </xf>
    <xf numFmtId="2" fontId="40" fillId="0" borderId="22" xfId="0" applyNumberFormat="1" applyFont="1" applyBorder="1" applyAlignment="1">
      <alignment horizontal="center" vertical="center"/>
    </xf>
    <xf numFmtId="0" fontId="101" fillId="0" borderId="0" xfId="0" applyFont="1" applyAlignment="1">
      <alignment horizontal="left" vertical="center"/>
    </xf>
    <xf numFmtId="174" fontId="39" fillId="27" borderId="3" xfId="0" applyNumberFormat="1" applyFont="1" applyFill="1" applyBorder="1" applyAlignment="1">
      <alignment horizontal="center" vertical="center"/>
    </xf>
    <xf numFmtId="174" fontId="39" fillId="27" borderId="0" xfId="0" applyNumberFormat="1" applyFont="1" applyFill="1" applyAlignment="1">
      <alignment horizontal="center" vertical="center"/>
    </xf>
    <xf numFmtId="174" fontId="39" fillId="27" borderId="1" xfId="0" applyNumberFormat="1" applyFont="1" applyFill="1" applyBorder="1" applyAlignment="1">
      <alignment horizontal="center" vertical="center"/>
    </xf>
    <xf numFmtId="0" fontId="34" fillId="7" borderId="3" xfId="0" applyFont="1" applyFill="1" applyBorder="1" applyAlignment="1" applyProtection="1">
      <alignment horizontal="left" vertical="center"/>
      <protection locked="0"/>
    </xf>
    <xf numFmtId="0" fontId="39" fillId="24" borderId="0" xfId="0" applyFont="1" applyFill="1" applyAlignment="1">
      <alignment horizontal="left" vertical="center"/>
    </xf>
    <xf numFmtId="0" fontId="39" fillId="24" borderId="1" xfId="0" applyFont="1" applyFill="1" applyBorder="1" applyAlignment="1">
      <alignment horizontal="left" vertical="center"/>
    </xf>
    <xf numFmtId="0" fontId="39" fillId="24" borderId="0" xfId="0" applyFont="1" applyFill="1" applyAlignment="1">
      <alignment horizontal="center" vertical="center"/>
    </xf>
    <xf numFmtId="0" fontId="39" fillId="24" borderId="1" xfId="0" applyFont="1" applyFill="1" applyBorder="1" applyAlignment="1">
      <alignment horizontal="center" vertical="center"/>
    </xf>
    <xf numFmtId="0" fontId="161" fillId="7" borderId="3" xfId="0" applyFont="1" applyFill="1" applyBorder="1" applyAlignment="1" applyProtection="1">
      <alignment horizontal="center" vertical="center"/>
      <protection locked="0"/>
    </xf>
    <xf numFmtId="0" fontId="161" fillId="7" borderId="0" xfId="0" applyFont="1" applyFill="1" applyAlignment="1" applyProtection="1">
      <alignment horizontal="center" vertical="center"/>
      <protection locked="0"/>
    </xf>
    <xf numFmtId="0" fontId="161" fillId="7" borderId="1" xfId="0" applyFont="1" applyFill="1" applyBorder="1" applyAlignment="1" applyProtection="1">
      <alignment horizontal="center" vertical="center"/>
      <protection locked="0"/>
    </xf>
    <xf numFmtId="164" fontId="161" fillId="7" borderId="0" xfId="0" applyNumberFormat="1" applyFont="1" applyFill="1" applyAlignment="1" applyProtection="1">
      <alignment horizontal="center" vertical="center"/>
      <protection locked="0"/>
    </xf>
    <xf numFmtId="164" fontId="161" fillId="7" borderId="1" xfId="0" applyNumberFormat="1" applyFont="1" applyFill="1" applyBorder="1" applyAlignment="1" applyProtection="1">
      <alignment horizontal="center" vertical="center"/>
      <protection locked="0"/>
    </xf>
    <xf numFmtId="0" fontId="39" fillId="24" borderId="3" xfId="0" applyFont="1" applyFill="1" applyBorder="1" applyAlignment="1">
      <alignment horizontal="center" vertical="center"/>
    </xf>
    <xf numFmtId="0" fontId="161" fillId="7" borderId="3" xfId="0" applyFont="1" applyFill="1" applyBorder="1" applyAlignment="1" applyProtection="1">
      <alignment horizontal="left" vertical="center"/>
      <protection locked="0"/>
    </xf>
    <xf numFmtId="0" fontId="161" fillId="7" borderId="0" xfId="0" applyFont="1" applyFill="1" applyAlignment="1" applyProtection="1">
      <alignment horizontal="left" vertical="center"/>
      <protection locked="0"/>
    </xf>
    <xf numFmtId="0" fontId="161" fillId="7" borderId="1" xfId="0" applyFont="1" applyFill="1" applyBorder="1" applyAlignment="1" applyProtection="1">
      <alignment horizontal="left" vertical="center"/>
      <protection locked="0"/>
    </xf>
    <xf numFmtId="0" fontId="34" fillId="0" borderId="5" xfId="0" applyFont="1" applyBorder="1" applyAlignment="1" applyProtection="1">
      <alignment horizontal="center" vertical="center"/>
      <protection locked="0"/>
    </xf>
    <xf numFmtId="0" fontId="33" fillId="0" borderId="0" xfId="0" applyFont="1" applyAlignment="1">
      <alignment horizontal="center" vertical="center" textRotation="255"/>
    </xf>
    <xf numFmtId="0" fontId="0" fillId="0" borderId="4" xfId="0" applyBorder="1" applyAlignment="1">
      <alignment horizontal="center"/>
    </xf>
    <xf numFmtId="0" fontId="40" fillId="0" borderId="0" xfId="0" applyFont="1" applyAlignment="1">
      <alignment horizontal="left" vertical="center"/>
    </xf>
    <xf numFmtId="0" fontId="40" fillId="0" borderId="1" xfId="0" applyFont="1" applyBorder="1" applyAlignment="1">
      <alignment horizontal="left" vertical="center"/>
    </xf>
    <xf numFmtId="0" fontId="31" fillId="24" borderId="0" xfId="0" applyFont="1" applyFill="1" applyAlignment="1">
      <alignment horizontal="right" vertical="center"/>
    </xf>
    <xf numFmtId="0" fontId="24" fillId="0" borderId="0" xfId="0" applyFont="1" applyAlignment="1">
      <alignment horizontal="left" vertical="center"/>
    </xf>
    <xf numFmtId="166" fontId="36" fillId="7" borderId="14" xfId="0" applyNumberFormat="1" applyFont="1" applyFill="1" applyBorder="1" applyAlignment="1" applyProtection="1">
      <alignment horizontal="center" vertical="center" shrinkToFit="1"/>
      <protection locked="0"/>
    </xf>
    <xf numFmtId="18" fontId="36" fillId="7" borderId="14" xfId="0" applyNumberFormat="1" applyFont="1" applyFill="1" applyBorder="1" applyAlignment="1" applyProtection="1">
      <alignment horizontal="center" vertical="center" shrinkToFit="1"/>
      <protection locked="0"/>
    </xf>
    <xf numFmtId="0" fontId="36" fillId="7" borderId="14" xfId="0" applyFont="1" applyFill="1" applyBorder="1" applyAlignment="1" applyProtection="1">
      <alignment horizontal="center" vertical="center" shrinkToFit="1"/>
      <protection locked="0"/>
    </xf>
    <xf numFmtId="0" fontId="36" fillId="7" borderId="41" xfId="0" applyFont="1" applyFill="1" applyBorder="1" applyAlignment="1" applyProtection="1">
      <alignment horizontal="left" vertical="top" wrapText="1"/>
      <protection locked="0"/>
    </xf>
    <xf numFmtId="0" fontId="36" fillId="7" borderId="42" xfId="0" applyFont="1" applyFill="1" applyBorder="1" applyAlignment="1" applyProtection="1">
      <alignment horizontal="left" vertical="top" wrapText="1"/>
      <protection locked="0"/>
    </xf>
    <xf numFmtId="2" fontId="40" fillId="0" borderId="98" xfId="0" applyNumberFormat="1" applyFont="1" applyBorder="1" applyAlignment="1">
      <alignment horizontal="center" vertical="center"/>
    </xf>
    <xf numFmtId="2" fontId="34" fillId="7" borderId="99" xfId="0" applyNumberFormat="1" applyFont="1" applyFill="1" applyBorder="1" applyAlignment="1" applyProtection="1">
      <alignment horizontal="center" vertical="center"/>
      <protection locked="0"/>
    </xf>
    <xf numFmtId="0" fontId="113" fillId="0" borderId="30" xfId="0" applyFont="1" applyBorder="1" applyAlignment="1">
      <alignment horizontal="right" vertical="center"/>
    </xf>
    <xf numFmtId="0" fontId="113" fillId="0" borderId="105" xfId="0" applyFont="1" applyBorder="1" applyAlignment="1">
      <alignment horizontal="right" vertical="center"/>
    </xf>
    <xf numFmtId="0" fontId="111" fillId="0" borderId="30" xfId="0" applyFont="1" applyBorder="1" applyAlignment="1">
      <alignment horizontal="center"/>
    </xf>
    <xf numFmtId="2" fontId="120" fillId="0" borderId="38" xfId="0" applyNumberFormat="1" applyFont="1" applyBorder="1" applyAlignment="1">
      <alignment horizontal="center" vertical="center"/>
    </xf>
    <xf numFmtId="2" fontId="120" fillId="0" borderId="0" xfId="0" applyNumberFormat="1" applyFont="1" applyAlignment="1">
      <alignment horizontal="center" vertical="center"/>
    </xf>
    <xf numFmtId="2" fontId="120" fillId="0" borderId="28" xfId="0" applyNumberFormat="1" applyFont="1" applyBorder="1" applyAlignment="1">
      <alignment horizontal="center" vertical="center"/>
    </xf>
    <xf numFmtId="2" fontId="124" fillId="0" borderId="93" xfId="0" applyNumberFormat="1" applyFont="1" applyBorder="1" applyAlignment="1">
      <alignment horizontal="center" vertical="center"/>
    </xf>
    <xf numFmtId="2" fontId="124" fillId="0" borderId="38" xfId="0" applyNumberFormat="1" applyFont="1" applyBorder="1" applyAlignment="1">
      <alignment horizontal="center" vertical="center"/>
    </xf>
    <xf numFmtId="2" fontId="124" fillId="0" borderId="100" xfId="0" applyNumberFormat="1" applyFont="1" applyBorder="1" applyAlignment="1">
      <alignment horizontal="center" vertical="center"/>
    </xf>
    <xf numFmtId="2" fontId="124" fillId="0" borderId="7" xfId="0" applyNumberFormat="1" applyFont="1" applyBorder="1" applyAlignment="1">
      <alignment horizontal="center" vertical="center"/>
    </xf>
    <xf numFmtId="2" fontId="124" fillId="0" borderId="0" xfId="0" applyNumberFormat="1" applyFont="1" applyAlignment="1">
      <alignment horizontal="center" vertical="center"/>
    </xf>
    <xf numFmtId="2" fontId="124" fillId="0" borderId="26" xfId="0" applyNumberFormat="1" applyFont="1" applyBorder="1" applyAlignment="1">
      <alignment horizontal="center" vertical="center"/>
    </xf>
    <xf numFmtId="2" fontId="124" fillId="0" borderId="120" xfId="0" applyNumberFormat="1" applyFont="1" applyBorder="1" applyAlignment="1">
      <alignment horizontal="center" vertical="center"/>
    </xf>
    <xf numFmtId="2" fontId="124" fillId="0" borderId="28" xfId="0" applyNumberFormat="1" applyFont="1" applyBorder="1" applyAlignment="1">
      <alignment horizontal="center" vertical="center"/>
    </xf>
    <xf numFmtId="2" fontId="124" fillId="0" borderId="29" xfId="0" applyNumberFormat="1" applyFont="1" applyBorder="1" applyAlignment="1">
      <alignment horizontal="center" vertical="center"/>
    </xf>
    <xf numFmtId="2" fontId="36" fillId="7" borderId="93" xfId="0" applyNumberFormat="1" applyFont="1" applyFill="1" applyBorder="1" applyAlignment="1" applyProtection="1">
      <alignment horizontal="left" vertical="top" wrapText="1"/>
      <protection locked="0"/>
    </xf>
    <xf numFmtId="2" fontId="36" fillId="7" borderId="38" xfId="0" applyNumberFormat="1" applyFont="1" applyFill="1" applyBorder="1" applyAlignment="1" applyProtection="1">
      <alignment horizontal="left" vertical="top" wrapText="1"/>
      <protection locked="0"/>
    </xf>
    <xf numFmtId="2" fontId="36" fillId="7" borderId="39" xfId="0" applyNumberFormat="1" applyFont="1" applyFill="1" applyBorder="1" applyAlignment="1" applyProtection="1">
      <alignment horizontal="left" vertical="top" wrapText="1"/>
      <protection locked="0"/>
    </xf>
    <xf numFmtId="2" fontId="36" fillId="7" borderId="7" xfId="0" applyNumberFormat="1" applyFont="1" applyFill="1" applyBorder="1" applyAlignment="1" applyProtection="1">
      <alignment horizontal="left" vertical="top" wrapText="1"/>
      <protection locked="0"/>
    </xf>
    <xf numFmtId="2" fontId="36" fillId="7" borderId="0" xfId="0" applyNumberFormat="1" applyFont="1" applyFill="1" applyAlignment="1" applyProtection="1">
      <alignment horizontal="left" vertical="top" wrapText="1"/>
      <protection locked="0"/>
    </xf>
    <xf numFmtId="2" fontId="36" fillId="7" borderId="5" xfId="0" applyNumberFormat="1" applyFont="1" applyFill="1" applyBorder="1" applyAlignment="1" applyProtection="1">
      <alignment horizontal="left" vertical="top" wrapText="1"/>
      <protection locked="0"/>
    </xf>
    <xf numFmtId="2" fontId="36" fillId="7" borderId="95" xfId="0" applyNumberFormat="1" applyFont="1" applyFill="1" applyBorder="1" applyAlignment="1" applyProtection="1">
      <alignment horizontal="left" vertical="top" wrapText="1"/>
      <protection locked="0"/>
    </xf>
    <xf numFmtId="2" fontId="36" fillId="7" borderId="41" xfId="0" applyNumberFormat="1" applyFont="1" applyFill="1" applyBorder="1" applyAlignment="1" applyProtection="1">
      <alignment horizontal="left" vertical="top" wrapText="1"/>
      <protection locked="0"/>
    </xf>
    <xf numFmtId="2" fontId="36" fillId="7" borderId="42" xfId="0" applyNumberFormat="1" applyFont="1" applyFill="1" applyBorder="1" applyAlignment="1" applyProtection="1">
      <alignment horizontal="left" vertical="top" wrapText="1"/>
      <protection locked="0"/>
    </xf>
    <xf numFmtId="0" fontId="111" fillId="0" borderId="0" xfId="0" applyFont="1" applyAlignment="1">
      <alignment horizontal="left"/>
    </xf>
    <xf numFmtId="2" fontId="40" fillId="15" borderId="18" xfId="0" applyNumberFormat="1" applyFont="1" applyFill="1" applyBorder="1" applyAlignment="1">
      <alignment horizontal="center" vertical="top"/>
    </xf>
    <xf numFmtId="2" fontId="40" fillId="15" borderId="32" xfId="0" applyNumberFormat="1" applyFont="1" applyFill="1" applyBorder="1" applyAlignment="1">
      <alignment horizontal="center" vertical="top"/>
    </xf>
    <xf numFmtId="2" fontId="40" fillId="15" borderId="21" xfId="0" applyNumberFormat="1" applyFont="1" applyFill="1" applyBorder="1" applyAlignment="1">
      <alignment horizontal="center" vertical="top"/>
    </xf>
    <xf numFmtId="0" fontId="113" fillId="0" borderId="3" xfId="0" applyFont="1" applyBorder="1" applyAlignment="1">
      <alignment horizontal="center" vertical="top"/>
    </xf>
    <xf numFmtId="2" fontId="40" fillId="15" borderId="11" xfId="0" applyNumberFormat="1" applyFont="1" applyFill="1" applyBorder="1" applyAlignment="1">
      <alignment horizontal="center" vertical="center"/>
    </xf>
    <xf numFmtId="2" fontId="40" fillId="15" borderId="1" xfId="0" applyNumberFormat="1" applyFont="1" applyFill="1" applyBorder="1" applyAlignment="1">
      <alignment horizontal="center" vertical="center"/>
    </xf>
    <xf numFmtId="2" fontId="40" fillId="15" borderId="12" xfId="0" applyNumberFormat="1" applyFont="1" applyFill="1" applyBorder="1" applyAlignment="1">
      <alignment horizontal="center" vertical="center"/>
    </xf>
    <xf numFmtId="0" fontId="53" fillId="0" borderId="106" xfId="0" applyFont="1" applyBorder="1" applyAlignment="1">
      <alignment horizontal="center" vertical="center"/>
    </xf>
    <xf numFmtId="0" fontId="53" fillId="0" borderId="30" xfId="0" applyFont="1" applyBorder="1" applyAlignment="1">
      <alignment horizontal="center" vertical="center"/>
    </xf>
    <xf numFmtId="0" fontId="46" fillId="0" borderId="121" xfId="0" quotePrefix="1" applyFont="1" applyBorder="1" applyAlignment="1">
      <alignment horizontal="left" vertical="center"/>
    </xf>
    <xf numFmtId="0" fontId="46" fillId="0" borderId="122" xfId="0" quotePrefix="1" applyFont="1" applyBorder="1" applyAlignment="1">
      <alignment horizontal="left" vertical="center"/>
    </xf>
    <xf numFmtId="0" fontId="46" fillId="0" borderId="41" xfId="0" quotePrefix="1" applyFont="1" applyBorder="1" applyAlignment="1">
      <alignment horizontal="left" vertical="center"/>
    </xf>
    <xf numFmtId="0" fontId="46" fillId="0" borderId="134" xfId="0" quotePrefix="1" applyFont="1" applyBorder="1" applyAlignment="1">
      <alignment horizontal="left" vertical="center"/>
    </xf>
    <xf numFmtId="0" fontId="113" fillId="0" borderId="0" xfId="0" applyFont="1" applyAlignment="1">
      <alignment horizontal="center"/>
    </xf>
    <xf numFmtId="2" fontId="31" fillId="0" borderId="33" xfId="0" applyNumberFormat="1" applyFont="1" applyBorder="1" applyAlignment="1">
      <alignment horizontal="center" vertical="center" wrapText="1"/>
    </xf>
    <xf numFmtId="2" fontId="31" fillId="0" borderId="30" xfId="0" applyNumberFormat="1" applyFont="1" applyBorder="1" applyAlignment="1">
      <alignment horizontal="center" vertical="center" wrapText="1"/>
    </xf>
    <xf numFmtId="2" fontId="31" fillId="0" borderId="34" xfId="0" applyNumberFormat="1" applyFont="1" applyBorder="1" applyAlignment="1">
      <alignment horizontal="center" vertical="center" wrapText="1"/>
    </xf>
    <xf numFmtId="0" fontId="118" fillId="0" borderId="41" xfId="0" applyFont="1" applyBorder="1" applyAlignment="1">
      <alignment horizontal="left" vertical="top"/>
    </xf>
    <xf numFmtId="0" fontId="40" fillId="0" borderId="0" xfId="0" quotePrefix="1" applyFont="1" applyAlignment="1">
      <alignment horizontal="center" vertical="center" wrapText="1"/>
    </xf>
    <xf numFmtId="0" fontId="40" fillId="0" borderId="38" xfId="0" quotePrefix="1" applyFont="1" applyBorder="1" applyAlignment="1">
      <alignment horizontal="center" vertical="center" wrapText="1"/>
    </xf>
    <xf numFmtId="0" fontId="40" fillId="0" borderId="92" xfId="0" quotePrefix="1" applyFont="1" applyBorder="1" applyAlignment="1">
      <alignment horizontal="center" vertical="center" wrapText="1"/>
    </xf>
    <xf numFmtId="0" fontId="118" fillId="0" borderId="41" xfId="0" applyFont="1" applyBorder="1" applyAlignment="1">
      <alignment horizontal="center" vertical="top"/>
    </xf>
    <xf numFmtId="0" fontId="118" fillId="0" borderId="131" xfId="0" applyFont="1" applyBorder="1" applyAlignment="1">
      <alignment horizontal="center" vertical="top"/>
    </xf>
    <xf numFmtId="0" fontId="24" fillId="0" borderId="0" xfId="0" quotePrefix="1" applyFont="1" applyAlignment="1">
      <alignment horizontal="center" vertical="center" wrapText="1"/>
    </xf>
    <xf numFmtId="1" fontId="40" fillId="7" borderId="8" xfId="0" applyNumberFormat="1" applyFont="1" applyFill="1" applyBorder="1" applyAlignment="1">
      <alignment horizontal="center" vertical="center" shrinkToFit="1"/>
    </xf>
    <xf numFmtId="1" fontId="40" fillId="7" borderId="3" xfId="0" applyNumberFormat="1" applyFont="1" applyFill="1" applyBorder="1" applyAlignment="1">
      <alignment horizontal="center" vertical="center" shrinkToFit="1"/>
    </xf>
    <xf numFmtId="1" fontId="40" fillId="7" borderId="286" xfId="0" applyNumberFormat="1" applyFont="1" applyFill="1" applyBorder="1" applyAlignment="1">
      <alignment horizontal="center" vertical="center" shrinkToFit="1"/>
    </xf>
    <xf numFmtId="0" fontId="116" fillId="0" borderId="30" xfId="0" applyFont="1" applyBorder="1" applyAlignment="1">
      <alignment horizontal="left" vertical="top"/>
    </xf>
    <xf numFmtId="0" fontId="116" fillId="0" borderId="41" xfId="0" applyFont="1" applyBorder="1" applyAlignment="1">
      <alignment horizontal="left" vertical="top"/>
    </xf>
    <xf numFmtId="0" fontId="116" fillId="0" borderId="41" xfId="0" applyFont="1" applyBorder="1" applyAlignment="1">
      <alignment horizontal="center" vertical="top"/>
    </xf>
    <xf numFmtId="0" fontId="116" fillId="0" borderId="131" xfId="0" applyFont="1" applyBorder="1" applyAlignment="1">
      <alignment horizontal="center" vertical="top"/>
    </xf>
    <xf numFmtId="0" fontId="111" fillId="0" borderId="50" xfId="0" applyFont="1" applyBorder="1" applyAlignment="1">
      <alignment horizontal="left"/>
    </xf>
    <xf numFmtId="0" fontId="0" fillId="0" borderId="92" xfId="0" applyBorder="1" applyAlignment="1">
      <alignment horizontal="center"/>
    </xf>
    <xf numFmtId="0" fontId="118" fillId="0" borderId="4" xfId="0" applyFont="1" applyBorder="1" applyAlignment="1">
      <alignment horizontal="center" vertical="top"/>
    </xf>
    <xf numFmtId="0" fontId="118" fillId="0" borderId="0" xfId="0" applyFont="1" applyAlignment="1">
      <alignment horizontal="center" vertical="top"/>
    </xf>
    <xf numFmtId="0" fontId="118" fillId="0" borderId="40" xfId="0" applyFont="1" applyBorder="1" applyAlignment="1">
      <alignment horizontal="center" vertical="top"/>
    </xf>
    <xf numFmtId="0" fontId="0" fillId="0" borderId="41" xfId="0" applyBorder="1"/>
    <xf numFmtId="0" fontId="113" fillId="0" borderId="132" xfId="0" applyFont="1" applyBorder="1" applyAlignment="1">
      <alignment horizontal="right" vertical="center"/>
    </xf>
    <xf numFmtId="0" fontId="113" fillId="0" borderId="133" xfId="0" applyFont="1" applyBorder="1" applyAlignment="1">
      <alignment horizontal="right" vertical="center"/>
    </xf>
    <xf numFmtId="0" fontId="111" fillId="0" borderId="132" xfId="0" applyFont="1" applyBorder="1" applyAlignment="1">
      <alignment horizontal="center"/>
    </xf>
    <xf numFmtId="0" fontId="140" fillId="0" borderId="144" xfId="4" applyFont="1" applyBorder="1" applyAlignment="1">
      <alignment horizontal="center"/>
    </xf>
    <xf numFmtId="0" fontId="140" fillId="0" borderId="145" xfId="4" applyFont="1" applyBorder="1" applyAlignment="1">
      <alignment horizontal="center"/>
    </xf>
    <xf numFmtId="0" fontId="140" fillId="0" borderId="140" xfId="4" applyFont="1" applyBorder="1" applyAlignment="1">
      <alignment horizontal="center"/>
    </xf>
    <xf numFmtId="0" fontId="65" fillId="0" borderId="15" xfId="1" applyFont="1" applyBorder="1" applyAlignment="1">
      <alignment horizontal="center" vertical="center" wrapText="1"/>
    </xf>
    <xf numFmtId="0" fontId="65" fillId="0" borderId="47" xfId="1" applyFont="1" applyBorder="1" applyAlignment="1">
      <alignment horizontal="center" vertical="center" wrapText="1"/>
    </xf>
    <xf numFmtId="0" fontId="65" fillId="0" borderId="19" xfId="1" applyFont="1" applyBorder="1" applyAlignment="1">
      <alignment horizontal="center" vertical="center" wrapText="1"/>
    </xf>
    <xf numFmtId="0" fontId="11" fillId="0" borderId="1" xfId="4" applyFont="1" applyBorder="1" applyAlignment="1">
      <alignment horizontal="center"/>
    </xf>
    <xf numFmtId="0" fontId="16" fillId="0" borderId="1" xfId="4" applyBorder="1" applyAlignment="1">
      <alignment horizontal="center"/>
    </xf>
    <xf numFmtId="0" fontId="11" fillId="0" borderId="18" xfId="4" applyFont="1" applyBorder="1" applyAlignment="1">
      <alignment horizontal="center"/>
    </xf>
    <xf numFmtId="0" fontId="16" fillId="0" borderId="21" xfId="4" applyBorder="1" applyAlignment="1">
      <alignment horizontal="center"/>
    </xf>
    <xf numFmtId="0" fontId="59" fillId="0" borderId="7" xfId="4" applyFont="1" applyBorder="1" applyAlignment="1">
      <alignment horizontal="center"/>
    </xf>
    <xf numFmtId="0" fontId="59" fillId="0" borderId="0" xfId="4" applyFont="1" applyAlignment="1">
      <alignment horizontal="center"/>
    </xf>
    <xf numFmtId="0" fontId="59" fillId="0" borderId="9" xfId="4" applyFont="1" applyBorder="1" applyAlignment="1">
      <alignment horizontal="center"/>
    </xf>
    <xf numFmtId="0" fontId="129" fillId="0" borderId="7" xfId="4" applyFont="1" applyBorder="1" applyAlignment="1">
      <alignment horizontal="left" vertical="center"/>
    </xf>
    <xf numFmtId="0" fontId="129" fillId="0" borderId="0" xfId="4" applyFont="1" applyAlignment="1">
      <alignment horizontal="left" vertical="center"/>
    </xf>
    <xf numFmtId="0" fontId="129" fillId="0" borderId="7" xfId="4" applyFont="1" applyBorder="1" applyAlignment="1">
      <alignment horizontal="center" vertical="center" wrapText="1"/>
    </xf>
    <xf numFmtId="0" fontId="141" fillId="0" borderId="8" xfId="4" applyFont="1" applyBorder="1" applyAlignment="1">
      <alignment horizontal="left" vertical="center"/>
    </xf>
    <xf numFmtId="0" fontId="141" fillId="0" borderId="3" xfId="4" applyFont="1" applyBorder="1" applyAlignment="1">
      <alignment horizontal="left" vertical="center"/>
    </xf>
    <xf numFmtId="0" fontId="141" fillId="0" borderId="10" xfId="4" applyFont="1" applyBorder="1" applyAlignment="1">
      <alignment horizontal="left" vertical="center"/>
    </xf>
    <xf numFmtId="0" fontId="141" fillId="0" borderId="7" xfId="4" applyFont="1" applyBorder="1" applyAlignment="1">
      <alignment horizontal="left" vertical="center"/>
    </xf>
    <xf numFmtId="0" fontId="141" fillId="0" borderId="1" xfId="4" applyFont="1" applyBorder="1" applyAlignment="1">
      <alignment horizontal="left" vertical="center"/>
    </xf>
    <xf numFmtId="0" fontId="141" fillId="0" borderId="12" xfId="4" applyFont="1" applyBorder="1" applyAlignment="1">
      <alignment horizontal="left" vertical="center"/>
    </xf>
    <xf numFmtId="0" fontId="61" fillId="0" borderId="4" xfId="4" applyFont="1" applyBorder="1" applyAlignment="1">
      <alignment horizontal="left" vertical="center"/>
    </xf>
    <xf numFmtId="0" fontId="61" fillId="0" borderId="0" xfId="4" applyFont="1" applyAlignment="1">
      <alignment horizontal="left" vertical="center"/>
    </xf>
    <xf numFmtId="0" fontId="23" fillId="0" borderId="0" xfId="4" quotePrefix="1" applyFont="1" applyAlignment="1">
      <alignment horizontal="left"/>
    </xf>
    <xf numFmtId="2" fontId="140" fillId="0" borderId="0" xfId="4" applyNumberFormat="1" applyFont="1" applyAlignment="1">
      <alignment horizontal="left"/>
    </xf>
    <xf numFmtId="2" fontId="157" fillId="0" borderId="0" xfId="4" applyNumberFormat="1" applyFont="1" applyAlignment="1">
      <alignment horizontal="left"/>
    </xf>
    <xf numFmtId="0" fontId="84" fillId="0" borderId="0" xfId="4" applyFont="1" applyAlignment="1">
      <alignment horizontal="left"/>
    </xf>
    <xf numFmtId="0" fontId="16" fillId="16" borderId="18" xfId="4" applyFill="1" applyBorder="1" applyAlignment="1">
      <alignment horizontal="center"/>
    </xf>
    <xf numFmtId="0" fontId="16" fillId="16" borderId="21" xfId="4" applyFill="1" applyBorder="1" applyAlignment="1">
      <alignment horizontal="center"/>
    </xf>
    <xf numFmtId="0" fontId="63" fillId="0" borderId="0" xfId="4" applyFont="1" applyAlignment="1">
      <alignment horizontal="left"/>
    </xf>
    <xf numFmtId="0" fontId="59" fillId="0" borderId="1" xfId="4" applyFont="1" applyBorder="1" applyAlignment="1">
      <alignment horizontal="center"/>
    </xf>
    <xf numFmtId="0" fontId="10" fillId="0" borderId="1" xfId="4" applyFont="1" applyBorder="1" applyAlignment="1">
      <alignment horizontal="center"/>
    </xf>
    <xf numFmtId="0" fontId="63" fillId="0" borderId="1" xfId="4" applyFont="1" applyBorder="1" applyAlignment="1">
      <alignment horizontal="center"/>
    </xf>
    <xf numFmtId="0" fontId="150" fillId="14" borderId="154" xfId="4" applyFont="1" applyFill="1" applyBorder="1" applyAlignment="1">
      <alignment horizontal="center"/>
    </xf>
    <xf numFmtId="0" fontId="150" fillId="14" borderId="155" xfId="4" applyFont="1" applyFill="1" applyBorder="1" applyAlignment="1">
      <alignment horizontal="center"/>
    </xf>
    <xf numFmtId="0" fontId="150" fillId="14" borderId="139" xfId="4" applyFont="1" applyFill="1" applyBorder="1" applyAlignment="1">
      <alignment horizontal="center"/>
    </xf>
    <xf numFmtId="0" fontId="132" fillId="13" borderId="8" xfId="4" applyFont="1" applyFill="1" applyBorder="1" applyAlignment="1">
      <alignment horizontal="left" vertical="top" wrapText="1"/>
    </xf>
    <xf numFmtId="0" fontId="132" fillId="13" borderId="10" xfId="4" applyFont="1" applyFill="1" applyBorder="1" applyAlignment="1">
      <alignment horizontal="left" vertical="top" wrapText="1"/>
    </xf>
    <xf numFmtId="0" fontId="132" fillId="13" borderId="7" xfId="4" applyFont="1" applyFill="1" applyBorder="1" applyAlignment="1">
      <alignment horizontal="left" vertical="top" wrapText="1"/>
    </xf>
    <xf numFmtId="0" fontId="132" fillId="13" borderId="9" xfId="4" applyFont="1" applyFill="1" applyBorder="1" applyAlignment="1">
      <alignment horizontal="left" vertical="top" wrapText="1"/>
    </xf>
    <xf numFmtId="0" fontId="132" fillId="13" borderId="11" xfId="4" applyFont="1" applyFill="1" applyBorder="1" applyAlignment="1">
      <alignment horizontal="left" vertical="top" wrapText="1"/>
    </xf>
    <xf numFmtId="0" fontId="132" fillId="13" borderId="12" xfId="4" applyFont="1" applyFill="1" applyBorder="1" applyAlignment="1">
      <alignment horizontal="left" vertical="top" wrapText="1"/>
    </xf>
    <xf numFmtId="0" fontId="63" fillId="0" borderId="38" xfId="4" applyFont="1" applyBorder="1" applyAlignment="1">
      <alignment horizontal="center"/>
    </xf>
    <xf numFmtId="0" fontId="106" fillId="24" borderId="0" xfId="1" applyFont="1" applyFill="1" applyAlignment="1">
      <alignment horizontal="left" vertical="center"/>
    </xf>
    <xf numFmtId="0" fontId="46" fillId="24" borderId="1" xfId="1" applyFont="1" applyFill="1" applyBorder="1" applyAlignment="1">
      <alignment horizontal="center" vertical="center"/>
    </xf>
    <xf numFmtId="0" fontId="33" fillId="24" borderId="0" xfId="1" applyFont="1" applyFill="1" applyAlignment="1">
      <alignment horizontal="left" vertical="center"/>
    </xf>
    <xf numFmtId="0" fontId="61" fillId="0" borderId="8" xfId="4" applyFont="1" applyBorder="1" applyAlignment="1">
      <alignment horizontal="left" vertical="top" wrapText="1"/>
    </xf>
    <xf numFmtId="0" fontId="61" fillId="0" borderId="3" xfId="4" applyFont="1" applyBorder="1" applyAlignment="1">
      <alignment horizontal="left" vertical="top" wrapText="1"/>
    </xf>
    <xf numFmtId="0" fontId="61" fillId="0" borderId="10" xfId="4" applyFont="1" applyBorder="1" applyAlignment="1">
      <alignment horizontal="left" vertical="top" wrapText="1"/>
    </xf>
    <xf numFmtId="0" fontId="61" fillId="0" borderId="7" xfId="4" applyFont="1" applyBorder="1" applyAlignment="1">
      <alignment horizontal="left" vertical="top" wrapText="1"/>
    </xf>
    <xf numFmtId="0" fontId="61" fillId="0" borderId="0" xfId="4" applyFont="1" applyAlignment="1">
      <alignment horizontal="left" vertical="top" wrapText="1"/>
    </xf>
    <xf numFmtId="0" fontId="61" fillId="0" borderId="9" xfId="4" applyFont="1" applyBorder="1" applyAlignment="1">
      <alignment horizontal="left" vertical="top" wrapText="1"/>
    </xf>
    <xf numFmtId="0" fontId="61" fillId="0" borderId="11" xfId="4" applyFont="1" applyBorder="1" applyAlignment="1">
      <alignment horizontal="left" vertical="top" wrapText="1"/>
    </xf>
    <xf numFmtId="0" fontId="61" fillId="0" borderId="1" xfId="4" applyFont="1" applyBorder="1" applyAlignment="1">
      <alignment horizontal="left" vertical="top" wrapText="1"/>
    </xf>
    <xf numFmtId="0" fontId="61" fillId="0" borderId="12" xfId="4" applyFont="1" applyBorder="1" applyAlignment="1">
      <alignment horizontal="left" vertical="top" wrapText="1"/>
    </xf>
    <xf numFmtId="0" fontId="14" fillId="0" borderId="8" xfId="4" applyFont="1" applyBorder="1" applyAlignment="1">
      <alignment horizontal="left" vertical="center" wrapText="1"/>
    </xf>
    <xf numFmtId="0" fontId="14" fillId="0" borderId="3" xfId="4" applyFont="1" applyBorder="1" applyAlignment="1">
      <alignment horizontal="left" vertical="center" wrapText="1"/>
    </xf>
    <xf numFmtId="0" fontId="14" fillId="0" borderId="10" xfId="4" applyFont="1" applyBorder="1" applyAlignment="1">
      <alignment horizontal="left" vertical="center" wrapText="1"/>
    </xf>
    <xf numFmtId="0" fontId="14" fillId="0" borderId="7" xfId="4" applyFont="1" applyBorder="1" applyAlignment="1">
      <alignment horizontal="left" vertical="center" wrapText="1"/>
    </xf>
    <xf numFmtId="0" fontId="14" fillId="0" borderId="0" xfId="4" applyFont="1" applyAlignment="1">
      <alignment horizontal="left" vertical="center" wrapText="1"/>
    </xf>
    <xf numFmtId="0" fontId="14" fillId="0" borderId="9" xfId="4" applyFont="1" applyBorder="1" applyAlignment="1">
      <alignment horizontal="left" vertical="center" wrapText="1"/>
    </xf>
    <xf numFmtId="0" fontId="57" fillId="0" borderId="15" xfId="4" applyFont="1" applyBorder="1" applyAlignment="1">
      <alignment horizontal="center" vertical="center" wrapText="1"/>
    </xf>
    <xf numFmtId="0" fontId="57" fillId="0" borderId="47" xfId="4" applyFont="1" applyBorder="1" applyAlignment="1">
      <alignment horizontal="center" vertical="center" wrapText="1"/>
    </xf>
    <xf numFmtId="0" fontId="57" fillId="0" borderId="19" xfId="4" applyFont="1" applyBorder="1" applyAlignment="1">
      <alignment horizontal="center" vertical="center" wrapText="1"/>
    </xf>
    <xf numFmtId="0" fontId="46" fillId="24" borderId="1" xfId="1" applyFont="1" applyFill="1" applyBorder="1" applyAlignment="1">
      <alignment horizontal="left" vertical="center"/>
    </xf>
    <xf numFmtId="0" fontId="106" fillId="24" borderId="0" xfId="1" applyFont="1" applyFill="1" applyAlignment="1">
      <alignment horizontal="center" vertical="center"/>
    </xf>
    <xf numFmtId="0" fontId="289" fillId="2" borderId="1" xfId="0" applyFont="1" applyFill="1" applyBorder="1" applyAlignment="1" applyProtection="1">
      <alignment vertical="center" wrapText="1"/>
      <protection locked="0"/>
    </xf>
    <xf numFmtId="0" fontId="31" fillId="2" borderId="1" xfId="0" applyFont="1" applyFill="1" applyBorder="1" applyAlignment="1" applyProtection="1">
      <alignment vertical="center" wrapText="1"/>
      <protection locked="0"/>
    </xf>
    <xf numFmtId="0" fontId="129" fillId="0" borderId="1" xfId="4" applyFont="1" applyBorder="1" applyAlignment="1">
      <alignment horizontal="center"/>
    </xf>
    <xf numFmtId="0" fontId="129" fillId="0" borderId="12" xfId="4" applyFont="1" applyBorder="1" applyAlignment="1">
      <alignment horizontal="center"/>
    </xf>
    <xf numFmtId="0" fontId="129" fillId="0" borderId="11" xfId="4" applyFont="1" applyBorder="1" applyAlignment="1">
      <alignment horizontal="center"/>
    </xf>
    <xf numFmtId="174" fontId="46" fillId="27" borderId="32" xfId="0" applyNumberFormat="1" applyFont="1" applyFill="1" applyBorder="1" applyAlignment="1">
      <alignment horizontal="center" vertical="center"/>
    </xf>
    <xf numFmtId="0" fontId="21" fillId="0" borderId="0" xfId="1" applyAlignment="1">
      <alignment horizontal="center"/>
    </xf>
    <xf numFmtId="0" fontId="21" fillId="0" borderId="9" xfId="1" applyBorder="1" applyAlignment="1">
      <alignment horizontal="center"/>
    </xf>
    <xf numFmtId="0" fontId="21" fillId="0" borderId="8" xfId="1" applyBorder="1" applyAlignment="1">
      <alignment horizontal="center"/>
    </xf>
    <xf numFmtId="0" fontId="21" fillId="0" borderId="3" xfId="1" applyBorder="1" applyAlignment="1">
      <alignment horizontal="center"/>
    </xf>
    <xf numFmtId="0" fontId="21" fillId="0" borderId="10" xfId="1" applyBorder="1" applyAlignment="1">
      <alignment horizontal="center"/>
    </xf>
    <xf numFmtId="0" fontId="21" fillId="0" borderId="7" xfId="1" applyBorder="1" applyAlignment="1">
      <alignment horizontal="center"/>
    </xf>
    <xf numFmtId="0" fontId="21" fillId="0" borderId="11" xfId="1" applyBorder="1" applyAlignment="1">
      <alignment horizontal="center"/>
    </xf>
    <xf numFmtId="0" fontId="21" fillId="0" borderId="1" xfId="1" applyBorder="1" applyAlignment="1">
      <alignment horizontal="center"/>
    </xf>
    <xf numFmtId="0" fontId="21" fillId="0" borderId="12" xfId="1" applyBorder="1" applyAlignment="1">
      <alignment horizontal="center"/>
    </xf>
    <xf numFmtId="0" fontId="59" fillId="0" borderId="7" xfId="1" applyFont="1" applyBorder="1" applyAlignment="1">
      <alignment horizontal="center" vertical="center" textRotation="255"/>
    </xf>
    <xf numFmtId="0" fontId="59" fillId="0" borderId="11" xfId="1" applyFont="1" applyBorder="1" applyAlignment="1">
      <alignment horizontal="center" vertical="center" textRotation="255"/>
    </xf>
    <xf numFmtId="0" fontId="53" fillId="7" borderId="1" xfId="1" applyFont="1" applyFill="1" applyBorder="1" applyAlignment="1" applyProtection="1">
      <alignment horizontal="left" vertical="center"/>
      <protection locked="0"/>
    </xf>
    <xf numFmtId="0" fontId="139" fillId="17" borderId="18" xfId="4" applyFont="1" applyFill="1" applyBorder="1" applyAlignment="1">
      <alignment horizontal="center" vertical="top" wrapText="1"/>
    </xf>
    <xf numFmtId="0" fontId="139" fillId="17" borderId="21" xfId="4" applyFont="1" applyFill="1" applyBorder="1" applyAlignment="1">
      <alignment horizontal="center" vertical="top" wrapText="1"/>
    </xf>
    <xf numFmtId="0" fontId="107" fillId="0" borderId="0" xfId="1" applyFont="1" applyAlignment="1">
      <alignment horizontal="center" textRotation="255"/>
    </xf>
    <xf numFmtId="0" fontId="33" fillId="0" borderId="0" xfId="1" applyFont="1" applyAlignment="1">
      <alignment horizontal="left" vertical="center"/>
    </xf>
    <xf numFmtId="0" fontId="20" fillId="0" borderId="0" xfId="1" applyFont="1" applyAlignment="1">
      <alignment horizontal="left" vertical="center"/>
    </xf>
    <xf numFmtId="0" fontId="106" fillId="6" borderId="0" xfId="1" applyFont="1" applyFill="1" applyAlignment="1">
      <alignment horizontal="center" vertical="center"/>
    </xf>
    <xf numFmtId="164" fontId="0" fillId="0" borderId="14" xfId="0" applyNumberFormat="1" applyBorder="1" applyAlignment="1">
      <alignment horizontal="left"/>
    </xf>
    <xf numFmtId="2" fontId="0" fillId="0" borderId="14" xfId="0" applyNumberFormat="1" applyBorder="1" applyAlignment="1">
      <alignment horizontal="left"/>
    </xf>
    <xf numFmtId="0" fontId="162" fillId="7" borderId="32" xfId="1" applyFont="1" applyFill="1" applyBorder="1" applyAlignment="1" applyProtection="1">
      <alignment horizontal="left" vertical="center"/>
      <protection locked="0"/>
    </xf>
    <xf numFmtId="0" fontId="106" fillId="0" borderId="0" xfId="1" applyFont="1" applyAlignment="1">
      <alignment horizontal="right" vertical="center"/>
    </xf>
    <xf numFmtId="169" fontId="36" fillId="2" borderId="32" xfId="1" applyNumberFormat="1" applyFont="1" applyFill="1" applyBorder="1" applyAlignment="1" applyProtection="1">
      <alignment horizontal="center" vertical="center"/>
      <protection locked="0"/>
    </xf>
    <xf numFmtId="164" fontId="162" fillId="7" borderId="1" xfId="1" applyNumberFormat="1" applyFont="1" applyFill="1" applyBorder="1" applyAlignment="1" applyProtection="1">
      <alignment horizontal="center" vertical="center"/>
      <protection locked="0"/>
    </xf>
    <xf numFmtId="0" fontId="8" fillId="0" borderId="0" xfId="4" applyFont="1" applyAlignment="1">
      <alignment horizontal="left" vertical="center" wrapText="1"/>
    </xf>
    <xf numFmtId="0" fontId="36" fillId="2" borderId="1" xfId="1" applyFont="1" applyFill="1" applyBorder="1" applyAlignment="1" applyProtection="1">
      <alignment horizontal="center" vertical="center"/>
      <protection locked="0"/>
    </xf>
    <xf numFmtId="0" fontId="46" fillId="0" borderId="1" xfId="1" applyFont="1" applyBorder="1" applyAlignment="1">
      <alignment horizontal="left" vertical="center"/>
    </xf>
    <xf numFmtId="2" fontId="36" fillId="2" borderId="1" xfId="1" applyNumberFormat="1" applyFont="1" applyFill="1" applyBorder="1" applyAlignment="1" applyProtection="1">
      <alignment horizontal="center" vertical="center"/>
      <protection locked="0"/>
    </xf>
    <xf numFmtId="2" fontId="128" fillId="0" borderId="15" xfId="4" applyNumberFormat="1" applyFont="1" applyBorder="1" applyAlignment="1">
      <alignment horizontal="center" vertical="center"/>
    </xf>
    <xf numFmtId="2" fontId="128" fillId="0" borderId="19" xfId="4" applyNumberFormat="1" applyFont="1" applyBorder="1" applyAlignment="1">
      <alignment horizontal="center" vertical="center"/>
    </xf>
    <xf numFmtId="0" fontId="64" fillId="0" borderId="30" xfId="4" applyFont="1" applyBorder="1" applyAlignment="1">
      <alignment horizontal="left"/>
    </xf>
    <xf numFmtId="0" fontId="132" fillId="0" borderId="0" xfId="4" applyFont="1" applyAlignment="1">
      <alignment horizontal="center" vertical="top" wrapText="1"/>
    </xf>
    <xf numFmtId="0" fontId="106" fillId="0" borderId="0" xfId="1" applyFont="1" applyAlignment="1">
      <alignment horizontal="left" vertical="center"/>
    </xf>
    <xf numFmtId="164" fontId="162" fillId="7" borderId="32" xfId="1" applyNumberFormat="1" applyFont="1" applyFill="1" applyBorder="1" applyAlignment="1" applyProtection="1">
      <alignment horizontal="center" vertical="center"/>
      <protection locked="0"/>
    </xf>
    <xf numFmtId="0" fontId="33" fillId="6" borderId="0" xfId="1" applyFont="1" applyFill="1" applyAlignment="1">
      <alignment horizontal="left" vertical="center"/>
    </xf>
    <xf numFmtId="0" fontId="162" fillId="7" borderId="1" xfId="1" applyFont="1" applyFill="1" applyBorder="1" applyAlignment="1" applyProtection="1">
      <alignment horizontal="center" vertical="center"/>
      <protection locked="0"/>
    </xf>
    <xf numFmtId="0" fontId="61" fillId="0" borderId="0" xfId="1" applyFont="1" applyAlignment="1" applyProtection="1">
      <alignment horizontal="left" vertical="center"/>
      <protection locked="0"/>
    </xf>
    <xf numFmtId="0" fontId="8" fillId="0" borderId="7" xfId="4" applyFont="1" applyBorder="1" applyAlignment="1">
      <alignment horizontal="right"/>
    </xf>
    <xf numFmtId="0" fontId="8" fillId="0" borderId="9" xfId="4" applyFont="1" applyBorder="1" applyAlignment="1">
      <alignment horizontal="right"/>
    </xf>
    <xf numFmtId="0" fontId="8" fillId="13" borderId="8" xfId="4" applyFont="1" applyFill="1" applyBorder="1" applyAlignment="1">
      <alignment horizontal="center" vertical="center" wrapText="1"/>
    </xf>
    <xf numFmtId="0" fontId="16" fillId="13" borderId="3" xfId="4" applyFill="1" applyBorder="1" applyAlignment="1">
      <alignment horizontal="center" vertical="center" wrapText="1"/>
    </xf>
    <xf numFmtId="0" fontId="16" fillId="13" borderId="10" xfId="4" applyFill="1" applyBorder="1" applyAlignment="1">
      <alignment horizontal="center" vertical="center" wrapText="1"/>
    </xf>
    <xf numFmtId="0" fontId="16" fillId="13" borderId="7" xfId="4" applyFill="1" applyBorder="1" applyAlignment="1">
      <alignment horizontal="center" vertical="center" wrapText="1"/>
    </xf>
    <xf numFmtId="0" fontId="16" fillId="13" borderId="0" xfId="4" applyFill="1" applyAlignment="1">
      <alignment horizontal="center" vertical="center" wrapText="1"/>
    </xf>
    <xf numFmtId="0" fontId="16" fillId="13" borderId="9" xfId="4" applyFill="1" applyBorder="1" applyAlignment="1">
      <alignment horizontal="center" vertical="center" wrapText="1"/>
    </xf>
    <xf numFmtId="0" fontId="16" fillId="13" borderId="11" xfId="4" applyFill="1" applyBorder="1" applyAlignment="1">
      <alignment horizontal="center" vertical="center" wrapText="1"/>
    </xf>
    <xf numFmtId="0" fontId="16" fillId="13" borderId="1" xfId="4" applyFill="1" applyBorder="1" applyAlignment="1">
      <alignment horizontal="center" vertical="center" wrapText="1"/>
    </xf>
    <xf numFmtId="0" fontId="16" fillId="13" borderId="12" xfId="4" applyFill="1" applyBorder="1" applyAlignment="1">
      <alignment horizontal="center" vertical="center" wrapText="1"/>
    </xf>
    <xf numFmtId="0" fontId="142" fillId="0" borderId="0" xfId="4" applyFont="1" applyAlignment="1">
      <alignment horizontal="center"/>
    </xf>
    <xf numFmtId="0" fontId="133" fillId="0" borderId="0" xfId="4" applyFont="1" applyAlignment="1">
      <alignment horizontal="center"/>
    </xf>
    <xf numFmtId="0" fontId="63" fillId="18" borderId="0" xfId="4" applyFont="1" applyFill="1" applyAlignment="1">
      <alignment horizontal="left" vertical="center"/>
    </xf>
    <xf numFmtId="0" fontId="129" fillId="0" borderId="18" xfId="4" applyFont="1" applyBorder="1" applyAlignment="1">
      <alignment horizontal="center"/>
    </xf>
    <xf numFmtId="0" fontId="129" fillId="0" borderId="32" xfId="4" applyFont="1" applyBorder="1" applyAlignment="1">
      <alignment horizontal="center"/>
    </xf>
    <xf numFmtId="0" fontId="129" fillId="0" borderId="21" xfId="4" applyFont="1" applyBorder="1" applyAlignment="1">
      <alignment horizontal="center"/>
    </xf>
    <xf numFmtId="0" fontId="0" fillId="0" borderId="14" xfId="0" applyBorder="1" applyAlignment="1">
      <alignment horizontal="left"/>
    </xf>
    <xf numFmtId="0" fontId="58" fillId="0" borderId="0" xfId="1" applyFont="1" applyAlignment="1">
      <alignment horizontal="center" vertical="center"/>
    </xf>
    <xf numFmtId="0" fontId="59" fillId="0" borderId="0" xfId="1" applyFont="1" applyAlignment="1">
      <alignment horizontal="center" vertical="center"/>
    </xf>
    <xf numFmtId="0" fontId="59" fillId="0" borderId="0" xfId="1" applyFont="1" applyAlignment="1">
      <alignment horizontal="right" vertical="center"/>
    </xf>
    <xf numFmtId="0" fontId="95" fillId="0" borderId="0" xfId="1" applyFont="1" applyAlignment="1">
      <alignment horizontal="center"/>
    </xf>
    <xf numFmtId="0" fontId="60" fillId="0" borderId="0" xfId="1" applyFont="1" applyAlignment="1">
      <alignment horizontal="center" vertical="center"/>
    </xf>
    <xf numFmtId="0" fontId="62" fillId="0" borderId="0" xfId="1" applyFont="1" applyAlignment="1">
      <alignment horizontal="center" vertical="center"/>
    </xf>
    <xf numFmtId="173" fontId="66" fillId="0" borderId="0" xfId="1" quotePrefix="1" applyNumberFormat="1" applyFont="1" applyAlignment="1">
      <alignment horizontal="right" vertical="center"/>
    </xf>
    <xf numFmtId="0" fontId="21" fillId="24" borderId="8" xfId="1" applyFill="1" applyBorder="1" applyAlignment="1">
      <alignment horizontal="center"/>
    </xf>
    <xf numFmtId="0" fontId="21" fillId="24" borderId="3" xfId="1" applyFill="1" applyBorder="1" applyAlignment="1">
      <alignment horizontal="center"/>
    </xf>
    <xf numFmtId="0" fontId="21" fillId="24" borderId="10" xfId="1" applyFill="1" applyBorder="1" applyAlignment="1">
      <alignment horizontal="center"/>
    </xf>
    <xf numFmtId="0" fontId="130" fillId="0" borderId="8" xfId="4" applyFont="1" applyBorder="1" applyAlignment="1">
      <alignment horizontal="center" wrapText="1"/>
    </xf>
    <xf numFmtId="0" fontId="130" fillId="0" borderId="3" xfId="4" applyFont="1" applyBorder="1" applyAlignment="1">
      <alignment horizontal="center" wrapText="1"/>
    </xf>
    <xf numFmtId="0" fontId="130" fillId="0" borderId="10" xfId="4" applyFont="1" applyBorder="1" applyAlignment="1">
      <alignment horizontal="center" wrapText="1"/>
    </xf>
    <xf numFmtId="0" fontId="62" fillId="0" borderId="8" xfId="1" quotePrefix="1" applyFont="1" applyBorder="1" applyAlignment="1">
      <alignment horizontal="center" vertical="center"/>
    </xf>
    <xf numFmtId="0" fontId="62" fillId="0" borderId="3" xfId="1" quotePrefix="1" applyFont="1" applyBorder="1" applyAlignment="1">
      <alignment horizontal="center" vertical="center"/>
    </xf>
    <xf numFmtId="0" fontId="62" fillId="0" borderId="10" xfId="1" quotePrefix="1" applyFont="1" applyBorder="1" applyAlignment="1">
      <alignment horizontal="center" vertical="center"/>
    </xf>
    <xf numFmtId="0" fontId="59" fillId="0" borderId="0" xfId="4" applyFont="1" applyAlignment="1">
      <alignment horizontal="left" vertical="top"/>
    </xf>
    <xf numFmtId="0" fontId="130" fillId="0" borderId="0" xfId="4" applyFont="1" applyAlignment="1">
      <alignment horizontal="center"/>
    </xf>
    <xf numFmtId="0" fontId="16" fillId="0" borderId="18" xfId="4" applyBorder="1" applyAlignment="1">
      <alignment horizontal="center"/>
    </xf>
    <xf numFmtId="0" fontId="16" fillId="0" borderId="32" xfId="4" applyBorder="1" applyAlignment="1">
      <alignment horizontal="center"/>
    </xf>
    <xf numFmtId="0" fontId="14" fillId="0" borderId="18" xfId="4" applyFont="1" applyBorder="1" applyAlignment="1">
      <alignment horizontal="left"/>
    </xf>
    <xf numFmtId="0" fontId="14" fillId="0" borderId="21" xfId="4" applyFont="1" applyBorder="1" applyAlignment="1">
      <alignment horizontal="left"/>
    </xf>
    <xf numFmtId="0" fontId="129" fillId="0" borderId="0" xfId="4" applyFont="1" applyAlignment="1">
      <alignment horizontal="left"/>
    </xf>
    <xf numFmtId="0" fontId="132" fillId="0" borderId="0" xfId="4" applyFont="1" applyAlignment="1">
      <alignment horizontal="left"/>
    </xf>
    <xf numFmtId="0" fontId="31" fillId="0" borderId="0" xfId="0" applyFont="1" applyAlignment="1">
      <alignment horizontal="center" vertical="center"/>
    </xf>
    <xf numFmtId="0" fontId="87" fillId="0" borderId="0" xfId="4" applyFont="1" applyAlignment="1">
      <alignment horizontal="left"/>
    </xf>
    <xf numFmtId="0" fontId="153" fillId="0" borderId="3" xfId="4" applyFont="1" applyBorder="1" applyAlignment="1">
      <alignment horizontal="center" vertical="center" wrapText="1"/>
    </xf>
    <xf numFmtId="0" fontId="153" fillId="0" borderId="0" xfId="4" applyFont="1" applyAlignment="1">
      <alignment horizontal="center" vertical="center" wrapText="1"/>
    </xf>
    <xf numFmtId="0" fontId="63" fillId="0" borderId="0" xfId="4" applyFont="1" applyAlignment="1">
      <alignment horizontal="center"/>
    </xf>
    <xf numFmtId="0" fontId="164" fillId="0" borderId="0" xfId="1" applyFont="1" applyAlignment="1">
      <alignment horizontal="center" vertical="center"/>
    </xf>
    <xf numFmtId="0" fontId="164" fillId="0" borderId="167" xfId="1" applyFont="1" applyBorder="1" applyAlignment="1">
      <alignment horizontal="center" vertical="center"/>
    </xf>
    <xf numFmtId="0" fontId="175" fillId="0" borderId="0" xfId="1" applyFont="1" applyAlignment="1">
      <alignment horizontal="center" vertical="center"/>
    </xf>
    <xf numFmtId="0" fontId="150" fillId="0" borderId="0" xfId="1" applyFont="1" applyAlignment="1">
      <alignment horizontal="center" vertical="center"/>
    </xf>
    <xf numFmtId="0" fontId="166" fillId="0" borderId="0" xfId="1" applyFont="1" applyAlignment="1">
      <alignment horizontal="center"/>
    </xf>
    <xf numFmtId="0" fontId="166" fillId="0" borderId="0" xfId="1" applyFont="1" applyAlignment="1">
      <alignment horizontal="left" vertical="center" wrapText="1"/>
    </xf>
    <xf numFmtId="1" fontId="169" fillId="0" borderId="160" xfId="1" applyNumberFormat="1" applyFont="1" applyBorder="1" applyAlignment="1">
      <alignment horizontal="center" vertical="center"/>
    </xf>
    <xf numFmtId="1" fontId="169" fillId="0" borderId="161" xfId="1" applyNumberFormat="1" applyFont="1" applyBorder="1" applyAlignment="1">
      <alignment horizontal="center" vertical="center"/>
    </xf>
    <xf numFmtId="1" fontId="169" fillId="0" borderId="162" xfId="1" applyNumberFormat="1" applyFont="1" applyBorder="1" applyAlignment="1">
      <alignment horizontal="center" vertical="center"/>
    </xf>
    <xf numFmtId="1" fontId="168" fillId="0" borderId="160" xfId="1" applyNumberFormat="1" applyFont="1" applyBorder="1" applyAlignment="1">
      <alignment horizontal="center" vertical="center"/>
    </xf>
    <xf numFmtId="1" fontId="168" fillId="0" borderId="161" xfId="1" applyNumberFormat="1" applyFont="1" applyBorder="1" applyAlignment="1">
      <alignment horizontal="center" vertical="center"/>
    </xf>
    <xf numFmtId="1" fontId="168" fillId="0" borderId="162" xfId="1" applyNumberFormat="1" applyFont="1" applyBorder="1" applyAlignment="1">
      <alignment horizontal="center" vertical="center"/>
    </xf>
    <xf numFmtId="0" fontId="164" fillId="0" borderId="0" xfId="1" applyFont="1" applyAlignment="1">
      <alignment horizontal="center" vertical="top"/>
    </xf>
    <xf numFmtId="0" fontId="164" fillId="0" borderId="0" xfId="1" applyFont="1" applyAlignment="1">
      <alignment horizontal="right" vertical="center"/>
    </xf>
    <xf numFmtId="0" fontId="164" fillId="0" borderId="163" xfId="1" applyFont="1" applyBorder="1" applyAlignment="1">
      <alignment horizontal="right" vertical="center"/>
    </xf>
    <xf numFmtId="0" fontId="57" fillId="0" borderId="8" xfId="1" applyFont="1" applyBorder="1" applyAlignment="1">
      <alignment horizontal="center"/>
    </xf>
    <xf numFmtId="0" fontId="57" fillId="0" borderId="3" xfId="1" applyFont="1" applyBorder="1" applyAlignment="1">
      <alignment horizontal="center"/>
    </xf>
    <xf numFmtId="0" fontId="57" fillId="0" borderId="10" xfId="1" applyFont="1" applyBorder="1" applyAlignment="1">
      <alignment horizontal="center"/>
    </xf>
    <xf numFmtId="0" fontId="6" fillId="0" borderId="7" xfId="1" applyFont="1" applyBorder="1" applyAlignment="1">
      <alignment horizontal="center"/>
    </xf>
    <xf numFmtId="0" fontId="6" fillId="0" borderId="11" xfId="1" applyFont="1" applyBorder="1" applyAlignment="1">
      <alignment horizontal="center"/>
    </xf>
    <xf numFmtId="1" fontId="164" fillId="0" borderId="0" xfId="1" applyNumberFormat="1" applyFont="1" applyAlignment="1">
      <alignment horizontal="center" vertical="center"/>
    </xf>
    <xf numFmtId="2" fontId="171" fillId="0" borderId="157" xfId="1" applyNumberFormat="1" applyFont="1" applyBorder="1" applyAlignment="1">
      <alignment horizontal="center" vertical="center"/>
    </xf>
    <xf numFmtId="2" fontId="171" fillId="0" borderId="158" xfId="1" applyNumberFormat="1" applyFont="1" applyBorder="1" applyAlignment="1">
      <alignment horizontal="center" vertical="center"/>
    </xf>
    <xf numFmtId="2" fontId="171" fillId="0" borderId="159" xfId="1" applyNumberFormat="1" applyFont="1" applyBorder="1" applyAlignment="1">
      <alignment horizontal="center" vertical="center"/>
    </xf>
    <xf numFmtId="0" fontId="7" fillId="0" borderId="0" xfId="1" applyFont="1" applyAlignment="1">
      <alignment horizontal="right"/>
    </xf>
    <xf numFmtId="0" fontId="7" fillId="0" borderId="9" xfId="1" applyFont="1" applyBorder="1" applyAlignment="1">
      <alignment horizontal="right"/>
    </xf>
    <xf numFmtId="2" fontId="79" fillId="0" borderId="59" xfId="1" applyNumberFormat="1" applyFont="1" applyBorder="1"/>
    <xf numFmtId="2" fontId="79" fillId="0" borderId="48" xfId="1" applyNumberFormat="1" applyFont="1" applyBorder="1"/>
    <xf numFmtId="0" fontId="61" fillId="0" borderId="0" xfId="1" applyFont="1" applyAlignment="1">
      <alignment horizontal="center" vertical="center" wrapText="1"/>
    </xf>
    <xf numFmtId="0" fontId="61" fillId="0" borderId="1" xfId="1" applyFont="1" applyBorder="1" applyAlignment="1">
      <alignment horizontal="center" vertical="center" wrapText="1"/>
    </xf>
    <xf numFmtId="0" fontId="134" fillId="0" borderId="0" xfId="0" applyFont="1" applyAlignment="1">
      <alignment horizontal="left"/>
    </xf>
    <xf numFmtId="0" fontId="63" fillId="0" borderId="0" xfId="1" applyFont="1" applyAlignment="1">
      <alignment horizontal="left"/>
    </xf>
    <xf numFmtId="0" fontId="46" fillId="0" borderId="1" xfId="1" applyFont="1" applyBorder="1" applyAlignment="1">
      <alignment horizontal="center" vertical="center"/>
    </xf>
    <xf numFmtId="0" fontId="63" fillId="18" borderId="0" xfId="1" applyFont="1" applyFill="1" applyAlignment="1">
      <alignment horizontal="left" vertical="center"/>
    </xf>
    <xf numFmtId="2" fontId="97" fillId="5" borderId="70" xfId="1" applyNumberFormat="1" applyFont="1" applyFill="1" applyBorder="1" applyAlignment="1">
      <alignment horizontal="center" vertical="center"/>
    </xf>
    <xf numFmtId="2" fontId="97" fillId="5" borderId="49" xfId="1" applyNumberFormat="1" applyFont="1" applyFill="1" applyBorder="1" applyAlignment="1">
      <alignment horizontal="center" vertical="center"/>
    </xf>
    <xf numFmtId="0" fontId="53" fillId="0" borderId="0" xfId="1" applyFont="1" applyAlignment="1" applyProtection="1">
      <alignment horizontal="left" vertical="center"/>
      <protection locked="0"/>
    </xf>
    <xf numFmtId="0" fontId="36" fillId="7" borderId="1" xfId="1" applyFont="1" applyFill="1" applyBorder="1" applyAlignment="1" applyProtection="1">
      <alignment horizontal="center" vertical="center"/>
      <protection locked="0"/>
    </xf>
    <xf numFmtId="2" fontId="162" fillId="7" borderId="1" xfId="1" applyNumberFormat="1" applyFont="1" applyFill="1" applyBorder="1" applyAlignment="1" applyProtection="1">
      <alignment horizontal="center" vertical="center"/>
      <protection locked="0"/>
    </xf>
    <xf numFmtId="0" fontId="36" fillId="24" borderId="0" xfId="1" applyFont="1" applyFill="1" applyAlignment="1" applyProtection="1">
      <alignment horizontal="center" vertical="center"/>
      <protection locked="0"/>
    </xf>
    <xf numFmtId="0" fontId="107" fillId="0" borderId="1" xfId="1" applyFont="1" applyBorder="1" applyAlignment="1">
      <alignment horizontal="center" textRotation="255"/>
    </xf>
    <xf numFmtId="165" fontId="79" fillId="0" borderId="45" xfId="1" applyNumberFormat="1" applyFont="1" applyBorder="1" applyAlignment="1">
      <alignment horizontal="left"/>
    </xf>
    <xf numFmtId="165" fontId="79" fillId="0" borderId="46" xfId="1" applyNumberFormat="1" applyFont="1" applyBorder="1" applyAlignment="1">
      <alignment horizontal="left"/>
    </xf>
    <xf numFmtId="1" fontId="69" fillId="5" borderId="1" xfId="1" applyNumberFormat="1" applyFont="1" applyFill="1" applyBorder="1" applyAlignment="1">
      <alignment horizontal="left" vertical="center"/>
    </xf>
    <xf numFmtId="1" fontId="69" fillId="5" borderId="12" xfId="1" applyNumberFormat="1" applyFont="1" applyFill="1" applyBorder="1" applyAlignment="1">
      <alignment horizontal="left" vertical="center"/>
    </xf>
    <xf numFmtId="2" fontId="59" fillId="0" borderId="3" xfId="1" applyNumberFormat="1" applyFont="1" applyBorder="1" applyAlignment="1">
      <alignment horizontal="center"/>
    </xf>
    <xf numFmtId="2" fontId="59" fillId="0" borderId="0" xfId="1" applyNumberFormat="1" applyFont="1" applyAlignment="1">
      <alignment horizontal="center"/>
    </xf>
    <xf numFmtId="0" fontId="98" fillId="0" borderId="0" xfId="1" applyFont="1" applyAlignment="1">
      <alignment horizontal="center" vertical="center" textRotation="90"/>
    </xf>
    <xf numFmtId="0" fontId="82" fillId="0" borderId="9" xfId="1" applyFont="1" applyBorder="1" applyAlignment="1">
      <alignment horizontal="center" vertical="center" textRotation="90"/>
    </xf>
    <xf numFmtId="0" fontId="82" fillId="0" borderId="0" xfId="1" applyFont="1" applyAlignment="1">
      <alignment horizontal="center" vertical="center" textRotation="90"/>
    </xf>
    <xf numFmtId="165" fontId="79" fillId="0" borderId="52" xfId="1" applyNumberFormat="1" applyFont="1" applyBorder="1" applyAlignment="1">
      <alignment horizontal="left"/>
    </xf>
    <xf numFmtId="165" fontId="79" fillId="0" borderId="53" xfId="1" applyNumberFormat="1" applyFont="1" applyBorder="1" applyAlignment="1">
      <alignment horizontal="left"/>
    </xf>
    <xf numFmtId="2" fontId="154" fillId="7" borderId="18" xfId="1" applyNumberFormat="1" applyFont="1" applyFill="1" applyBorder="1" applyAlignment="1" applyProtection="1">
      <alignment horizontal="center" vertical="center"/>
      <protection locked="0"/>
    </xf>
    <xf numFmtId="2" fontId="154" fillId="7" borderId="32" xfId="1" applyNumberFormat="1" applyFont="1" applyFill="1" applyBorder="1" applyAlignment="1" applyProtection="1">
      <alignment horizontal="center" vertical="center"/>
      <protection locked="0"/>
    </xf>
    <xf numFmtId="2" fontId="154" fillId="7" borderId="21" xfId="1" applyNumberFormat="1" applyFont="1" applyFill="1" applyBorder="1" applyAlignment="1" applyProtection="1">
      <alignment horizontal="center" vertical="center"/>
      <protection locked="0"/>
    </xf>
    <xf numFmtId="0" fontId="99" fillId="0" borderId="8" xfId="1" applyFont="1" applyBorder="1" applyAlignment="1">
      <alignment horizontal="center" vertical="center" wrapText="1"/>
    </xf>
    <xf numFmtId="0" fontId="99" fillId="0" borderId="3" xfId="1" applyFont="1" applyBorder="1" applyAlignment="1">
      <alignment horizontal="center" vertical="center" wrapText="1"/>
    </xf>
    <xf numFmtId="0" fontId="99" fillId="0" borderId="7" xfId="1" applyFont="1" applyBorder="1" applyAlignment="1">
      <alignment horizontal="center" vertical="center" wrapText="1"/>
    </xf>
    <xf numFmtId="0" fontId="99" fillId="0" borderId="0" xfId="1" applyFont="1" applyAlignment="1">
      <alignment horizontal="center" vertical="center" wrapText="1"/>
    </xf>
    <xf numFmtId="1" fontId="69" fillId="5" borderId="32" xfId="1" applyNumberFormat="1" applyFont="1" applyFill="1" applyBorder="1" applyAlignment="1">
      <alignment horizontal="left"/>
    </xf>
    <xf numFmtId="0" fontId="78" fillId="0" borderId="32" xfId="1" applyFont="1" applyBorder="1" applyAlignment="1">
      <alignment horizontal="center" vertical="center"/>
    </xf>
    <xf numFmtId="2" fontId="97" fillId="5" borderId="32" xfId="1" applyNumberFormat="1" applyFont="1" applyFill="1" applyBorder="1" applyAlignment="1">
      <alignment horizontal="center"/>
    </xf>
    <xf numFmtId="0" fontId="99" fillId="0" borderId="10" xfId="1" applyFont="1" applyBorder="1" applyAlignment="1">
      <alignment horizontal="center" vertical="center" wrapText="1"/>
    </xf>
    <xf numFmtId="0" fontId="99" fillId="0" borderId="9" xfId="1" applyFont="1" applyBorder="1" applyAlignment="1">
      <alignment horizontal="center" vertical="center" wrapText="1"/>
    </xf>
    <xf numFmtId="165" fontId="79" fillId="0" borderId="87" xfId="1" applyNumberFormat="1" applyFont="1" applyBorder="1" applyAlignment="1">
      <alignment horizontal="center" textRotation="90"/>
    </xf>
    <xf numFmtId="165" fontId="79" fillId="0" borderId="91" xfId="1" applyNumberFormat="1" applyFont="1" applyBorder="1" applyAlignment="1">
      <alignment horizontal="center" textRotation="90"/>
    </xf>
    <xf numFmtId="165" fontId="79" fillId="0" borderId="85" xfId="1" applyNumberFormat="1" applyFont="1" applyBorder="1" applyAlignment="1">
      <alignment horizontal="center" textRotation="90"/>
    </xf>
    <xf numFmtId="165" fontId="79" fillId="0" borderId="89" xfId="1" applyNumberFormat="1" applyFont="1" applyBorder="1" applyAlignment="1">
      <alignment horizontal="center" textRotation="90"/>
    </xf>
    <xf numFmtId="165" fontId="79" fillId="0" borderId="85" xfId="1" quotePrefix="1" applyNumberFormat="1" applyFont="1" applyBorder="1" applyAlignment="1">
      <alignment horizontal="center" textRotation="90"/>
    </xf>
    <xf numFmtId="0" fontId="99" fillId="0" borderId="7" xfId="1" applyFont="1" applyBorder="1" applyAlignment="1">
      <alignment horizontal="center"/>
    </xf>
    <xf numFmtId="0" fontId="99" fillId="0" borderId="0" xfId="1" applyFont="1" applyAlignment="1">
      <alignment horizontal="center"/>
    </xf>
    <xf numFmtId="0" fontId="88" fillId="3" borderId="10" xfId="1" applyFont="1" applyFill="1" applyBorder="1" applyAlignment="1">
      <alignment horizontal="center"/>
    </xf>
    <xf numFmtId="0" fontId="88" fillId="3" borderId="9" xfId="1" applyFont="1" applyFill="1" applyBorder="1" applyAlignment="1">
      <alignment horizontal="center"/>
    </xf>
    <xf numFmtId="165" fontId="79" fillId="0" borderId="84" xfId="1" applyNumberFormat="1" applyFont="1" applyBorder="1" applyAlignment="1">
      <alignment horizontal="center" textRotation="90"/>
    </xf>
    <xf numFmtId="165" fontId="79" fillId="0" borderId="88" xfId="1" applyNumberFormat="1" applyFont="1" applyBorder="1" applyAlignment="1">
      <alignment horizontal="center" textRotation="90"/>
    </xf>
    <xf numFmtId="0" fontId="163" fillId="0" borderId="0" xfId="1" applyFont="1" applyAlignment="1">
      <alignment horizontal="center" vertical="center"/>
    </xf>
    <xf numFmtId="0" fontId="163" fillId="0" borderId="9" xfId="1" applyFont="1" applyBorder="1" applyAlignment="1">
      <alignment horizontal="center" vertical="center"/>
    </xf>
    <xf numFmtId="0" fontId="80" fillId="0" borderId="7" xfId="1" applyFont="1" applyBorder="1" applyAlignment="1">
      <alignment horizontal="center" vertical="center" textRotation="90"/>
    </xf>
    <xf numFmtId="0" fontId="80" fillId="0" borderId="0" xfId="1" applyFont="1" applyAlignment="1">
      <alignment horizontal="center" vertical="center" textRotation="90"/>
    </xf>
    <xf numFmtId="165" fontId="89" fillId="3" borderId="86" xfId="1" applyNumberFormat="1" applyFont="1" applyFill="1" applyBorder="1" applyAlignment="1">
      <alignment horizontal="center" textRotation="90"/>
    </xf>
    <xf numFmtId="165" fontId="89" fillId="3" borderId="90" xfId="1" applyNumberFormat="1" applyFont="1" applyFill="1" applyBorder="1" applyAlignment="1">
      <alignment horizontal="center" textRotation="90"/>
    </xf>
    <xf numFmtId="0" fontId="98" fillId="0" borderId="0" xfId="1" applyFont="1" applyAlignment="1">
      <alignment horizontal="center" vertical="center"/>
    </xf>
    <xf numFmtId="0" fontId="90" fillId="0" borderId="0" xfId="1" applyFont="1" applyAlignment="1">
      <alignment horizontal="center" vertical="center"/>
    </xf>
    <xf numFmtId="0" fontId="62" fillId="0" borderId="7" xfId="1" quotePrefix="1" applyFont="1" applyBorder="1" applyAlignment="1">
      <alignment horizontal="right" vertical="center"/>
    </xf>
    <xf numFmtId="0" fontId="62" fillId="0" borderId="0" xfId="1" quotePrefix="1" applyFont="1" applyAlignment="1">
      <alignment horizontal="right" vertical="center"/>
    </xf>
    <xf numFmtId="0" fontId="155" fillId="0" borderId="0" xfId="1" applyFont="1" applyAlignment="1">
      <alignment horizontal="left" vertical="center"/>
    </xf>
    <xf numFmtId="1" fontId="93" fillId="5" borderId="50" xfId="1" applyNumberFormat="1" applyFont="1" applyFill="1" applyBorder="1" applyAlignment="1">
      <alignment horizontal="right" vertical="center"/>
    </xf>
    <xf numFmtId="1" fontId="93" fillId="5" borderId="51" xfId="1" applyNumberFormat="1" applyFont="1" applyFill="1" applyBorder="1" applyAlignment="1">
      <alignment horizontal="right" vertical="center"/>
    </xf>
    <xf numFmtId="0" fontId="68" fillId="0" borderId="0" xfId="1" applyFont="1" applyAlignment="1">
      <alignment horizontal="left" vertical="center"/>
    </xf>
    <xf numFmtId="0" fontId="68" fillId="0" borderId="9" xfId="1" applyFont="1" applyBorder="1" applyAlignment="1">
      <alignment horizontal="left" vertical="center"/>
    </xf>
    <xf numFmtId="0" fontId="87" fillId="0" borderId="0" xfId="1" applyFont="1" applyAlignment="1">
      <alignment horizontal="center" vertical="center" textRotation="90"/>
    </xf>
    <xf numFmtId="0" fontId="87" fillId="0" borderId="9" xfId="1" applyFont="1" applyBorder="1" applyAlignment="1">
      <alignment horizontal="center" vertical="center" textRotation="90"/>
    </xf>
    <xf numFmtId="0" fontId="99" fillId="0" borderId="9" xfId="1" applyFont="1" applyBorder="1" applyAlignment="1">
      <alignment horizontal="center"/>
    </xf>
    <xf numFmtId="0" fontId="53" fillId="7" borderId="32" xfId="1" applyFont="1" applyFill="1" applyBorder="1" applyAlignment="1" applyProtection="1">
      <alignment horizontal="center" vertical="center"/>
      <protection locked="0"/>
    </xf>
    <xf numFmtId="0" fontId="164" fillId="0" borderId="0" xfId="1" applyFont="1" applyAlignment="1">
      <alignment horizontal="right" vertical="center" wrapText="1"/>
    </xf>
    <xf numFmtId="0" fontId="20" fillId="0" borderId="8" xfId="1" applyFont="1" applyBorder="1" applyAlignment="1">
      <alignment horizontal="center" vertical="center" wrapText="1"/>
    </xf>
    <xf numFmtId="0" fontId="20" fillId="0" borderId="3" xfId="1" applyFont="1" applyBorder="1" applyAlignment="1">
      <alignment horizontal="center" vertical="center" wrapText="1"/>
    </xf>
    <xf numFmtId="0" fontId="20" fillId="0" borderId="10" xfId="1" applyFont="1" applyBorder="1" applyAlignment="1">
      <alignment horizontal="center" vertical="center" wrapText="1"/>
    </xf>
    <xf numFmtId="0" fontId="20" fillId="0" borderId="7" xfId="1" applyFont="1" applyBorder="1" applyAlignment="1">
      <alignment horizontal="center" vertical="center" wrapText="1"/>
    </xf>
    <xf numFmtId="0" fontId="20" fillId="0" borderId="0" xfId="1" applyFont="1" applyAlignment="1">
      <alignment horizontal="center" vertical="center" wrapText="1"/>
    </xf>
    <xf numFmtId="0" fontId="20" fillId="0" borderId="9" xfId="1" applyFont="1" applyBorder="1" applyAlignment="1">
      <alignment horizontal="center" vertical="center" wrapText="1"/>
    </xf>
    <xf numFmtId="0" fontId="20" fillId="0" borderId="11" xfId="1" applyFont="1" applyBorder="1" applyAlignment="1">
      <alignment horizontal="center" vertical="center" wrapText="1"/>
    </xf>
    <xf numFmtId="0" fontId="20" fillId="0" borderId="1" xfId="1" applyFont="1" applyBorder="1" applyAlignment="1">
      <alignment horizontal="center" vertical="center" wrapText="1"/>
    </xf>
    <xf numFmtId="0" fontId="20" fillId="0" borderId="12" xfId="1" applyFont="1" applyBorder="1" applyAlignment="1">
      <alignment horizontal="center" vertical="center" wrapText="1"/>
    </xf>
    <xf numFmtId="0" fontId="90" fillId="7" borderId="18" xfId="1" applyFont="1" applyFill="1" applyBorder="1" applyAlignment="1" applyProtection="1">
      <alignment horizontal="center" vertical="center"/>
      <protection locked="0"/>
    </xf>
    <xf numFmtId="0" fontId="90" fillId="7" borderId="32" xfId="1" applyFont="1" applyFill="1" applyBorder="1" applyAlignment="1" applyProtection="1">
      <alignment horizontal="center" vertical="center"/>
      <protection locked="0"/>
    </xf>
    <xf numFmtId="0" fontId="90" fillId="7" borderId="21" xfId="1" applyFont="1" applyFill="1" applyBorder="1" applyAlignment="1" applyProtection="1">
      <alignment horizontal="center" vertical="center"/>
      <protection locked="0"/>
    </xf>
    <xf numFmtId="0" fontId="94" fillId="0" borderId="7" xfId="1" applyFont="1" applyBorder="1" applyAlignment="1">
      <alignment horizontal="right" vertical="center"/>
    </xf>
    <xf numFmtId="0" fontId="94" fillId="0" borderId="0" xfId="1" applyFont="1" applyAlignment="1">
      <alignment horizontal="right" vertical="center"/>
    </xf>
    <xf numFmtId="0" fontId="94" fillId="0" borderId="9" xfId="1" applyFont="1" applyBorder="1" applyAlignment="1">
      <alignment horizontal="right" vertical="center"/>
    </xf>
    <xf numFmtId="0" fontId="165" fillId="7" borderId="18" xfId="1" applyFont="1" applyFill="1" applyBorder="1" applyAlignment="1" applyProtection="1">
      <alignment horizontal="center" vertical="center"/>
      <protection locked="0"/>
    </xf>
    <xf numFmtId="0" fontId="165" fillId="7" borderId="32" xfId="1" applyFont="1" applyFill="1" applyBorder="1" applyAlignment="1" applyProtection="1">
      <alignment horizontal="center" vertical="center"/>
      <protection locked="0"/>
    </xf>
    <xf numFmtId="0" fontId="165" fillId="7" borderId="21" xfId="1" applyFont="1" applyFill="1" applyBorder="1" applyAlignment="1" applyProtection="1">
      <alignment horizontal="center" vertical="center"/>
      <protection locked="0"/>
    </xf>
    <xf numFmtId="0" fontId="21" fillId="0" borderId="7" xfId="1" applyBorder="1" applyAlignment="1">
      <alignment horizontal="center" vertical="center"/>
    </xf>
    <xf numFmtId="0" fontId="21" fillId="0" borderId="0" xfId="1" applyAlignment="1">
      <alignment horizontal="center" vertical="center"/>
    </xf>
    <xf numFmtId="0" fontId="93" fillId="0" borderId="0" xfId="1" applyFont="1" applyAlignment="1">
      <alignment horizontal="right" vertical="center"/>
    </xf>
    <xf numFmtId="0" fontId="93" fillId="0" borderId="9" xfId="1" applyFont="1" applyBorder="1" applyAlignment="1">
      <alignment horizontal="right" vertical="center"/>
    </xf>
    <xf numFmtId="0" fontId="204" fillId="24" borderId="0" xfId="0" applyFont="1" applyFill="1" applyAlignment="1" applyProtection="1">
      <alignment horizontal="center" vertical="center" wrapText="1"/>
      <protection hidden="1"/>
    </xf>
    <xf numFmtId="0" fontId="205" fillId="24" borderId="0" xfId="0" applyFont="1" applyFill="1" applyAlignment="1">
      <alignment horizontal="right" vertical="center" wrapText="1"/>
    </xf>
    <xf numFmtId="0" fontId="205" fillId="24" borderId="225" xfId="0" applyFont="1" applyFill="1" applyBorder="1" applyAlignment="1">
      <alignment horizontal="right" vertical="center" wrapText="1"/>
    </xf>
    <xf numFmtId="0" fontId="242" fillId="24" borderId="281" xfId="0" applyFont="1" applyFill="1" applyBorder="1" applyAlignment="1">
      <alignment horizontal="left" vertical="center" shrinkToFit="1"/>
    </xf>
    <xf numFmtId="0" fontId="226" fillId="24" borderId="281" xfId="0" applyFont="1" applyFill="1" applyBorder="1" applyAlignment="1">
      <alignment horizontal="center" vertical="center" shrinkToFit="1"/>
    </xf>
    <xf numFmtId="49" fontId="226" fillId="2" borderId="250" xfId="0" applyNumberFormat="1" applyFont="1" applyFill="1" applyBorder="1" applyAlignment="1" applyProtection="1">
      <alignment horizontal="left" vertical="center" shrinkToFit="1"/>
      <protection locked="0"/>
    </xf>
    <xf numFmtId="0" fontId="243" fillId="2" borderId="235" xfId="0" applyFont="1" applyFill="1" applyBorder="1" applyAlignment="1" applyProtection="1">
      <alignment horizontal="left" vertical="center" shrinkToFit="1"/>
      <protection locked="0"/>
    </xf>
    <xf numFmtId="164" fontId="226" fillId="2" borderId="250" xfId="0" applyNumberFormat="1" applyFont="1" applyFill="1" applyBorder="1" applyAlignment="1" applyProtection="1">
      <alignment horizontal="center" vertical="center" wrapText="1"/>
      <protection locked="0"/>
    </xf>
    <xf numFmtId="164" fontId="0" fillId="2" borderId="250" xfId="0" applyNumberFormat="1" applyFill="1" applyBorder="1" applyAlignment="1" applyProtection="1">
      <alignment horizontal="center" vertical="center" wrapText="1"/>
      <protection locked="0"/>
    </xf>
    <xf numFmtId="49" fontId="226" fillId="2" borderId="235" xfId="0" applyNumberFormat="1" applyFont="1" applyFill="1" applyBorder="1" applyAlignment="1" applyProtection="1">
      <alignment horizontal="center" vertical="center" wrapText="1"/>
      <protection locked="0"/>
    </xf>
    <xf numFmtId="49" fontId="226" fillId="2" borderId="250" xfId="0" applyNumberFormat="1" applyFont="1" applyFill="1" applyBorder="1" applyAlignment="1" applyProtection="1">
      <alignment horizontal="center" vertical="center" wrapText="1"/>
      <protection locked="0"/>
    </xf>
    <xf numFmtId="49" fontId="226" fillId="2" borderId="235" xfId="0" applyNumberFormat="1" applyFont="1" applyFill="1" applyBorder="1" applyAlignment="1" applyProtection="1">
      <alignment horizontal="left" vertical="center" shrinkToFit="1"/>
      <protection locked="0"/>
    </xf>
    <xf numFmtId="0" fontId="210" fillId="24" borderId="0" xfId="0" applyFont="1" applyFill="1" applyAlignment="1">
      <alignment vertical="center" wrapText="1"/>
    </xf>
    <xf numFmtId="0" fontId="247" fillId="25" borderId="3" xfId="0" applyFont="1" applyFill="1" applyBorder="1" applyAlignment="1">
      <alignment wrapText="1"/>
    </xf>
    <xf numFmtId="166" fontId="226" fillId="2" borderId="235" xfId="0" applyNumberFormat="1" applyFont="1" applyFill="1" applyBorder="1" applyAlignment="1" applyProtection="1">
      <alignment horizontal="center" vertical="center" wrapText="1"/>
      <protection locked="0"/>
    </xf>
    <xf numFmtId="164" fontId="226" fillId="2" borderId="235" xfId="0" applyNumberFormat="1" applyFont="1" applyFill="1" applyBorder="1" applyAlignment="1" applyProtection="1">
      <alignment horizontal="center" vertical="center" wrapText="1"/>
      <protection locked="0"/>
    </xf>
    <xf numFmtId="0" fontId="247" fillId="25" borderId="3" xfId="0" applyFont="1" applyFill="1" applyBorder="1" applyAlignment="1">
      <alignment horizontal="left" vertical="center" wrapText="1"/>
    </xf>
    <xf numFmtId="174" fontId="226" fillId="2" borderId="235" xfId="0" applyNumberFormat="1" applyFont="1" applyFill="1" applyBorder="1" applyAlignment="1" applyProtection="1">
      <alignment horizontal="center" vertical="center" wrapText="1"/>
      <protection locked="0"/>
    </xf>
    <xf numFmtId="49" fontId="226" fillId="28" borderId="235" xfId="0" applyNumberFormat="1" applyFont="1" applyFill="1" applyBorder="1" applyAlignment="1" applyProtection="1">
      <alignment horizontal="left" vertical="center" shrinkToFit="1"/>
      <protection locked="0"/>
    </xf>
    <xf numFmtId="49" fontId="226" fillId="28" borderId="250" xfId="0" applyNumberFormat="1" applyFont="1" applyFill="1" applyBorder="1" applyAlignment="1" applyProtection="1">
      <alignment horizontal="left" vertical="center" shrinkToFit="1"/>
      <protection locked="0"/>
    </xf>
    <xf numFmtId="0" fontId="247" fillId="25" borderId="1" xfId="0" applyFont="1" applyFill="1" applyBorder="1" applyAlignment="1">
      <alignment horizontal="center" vertical="center" wrapText="1"/>
    </xf>
    <xf numFmtId="0" fontId="247" fillId="25" borderId="0" xfId="0" applyFont="1" applyFill="1" applyAlignment="1">
      <alignment horizontal="center" vertical="center" wrapText="1"/>
    </xf>
    <xf numFmtId="0" fontId="247" fillId="25" borderId="0" xfId="0" applyFont="1" applyFill="1" applyAlignment="1">
      <alignment wrapText="1"/>
    </xf>
    <xf numFmtId="0" fontId="247" fillId="25" borderId="0" xfId="0" applyFont="1" applyFill="1" applyAlignment="1">
      <alignment horizontal="left" vertical="center" wrapText="1"/>
    </xf>
    <xf numFmtId="2" fontId="226" fillId="2" borderId="278" xfId="0" applyNumberFormat="1" applyFont="1" applyFill="1" applyBorder="1" applyAlignment="1" applyProtection="1">
      <alignment horizontal="center" vertical="center" wrapText="1"/>
      <protection locked="0"/>
    </xf>
    <xf numFmtId="174" fontId="226" fillId="2" borderId="278" xfId="0" applyNumberFormat="1" applyFont="1" applyFill="1" applyBorder="1" applyAlignment="1" applyProtection="1">
      <alignment horizontal="center" vertical="center" wrapText="1"/>
      <protection locked="0"/>
    </xf>
    <xf numFmtId="0" fontId="247" fillId="25" borderId="211" xfId="0" applyFont="1" applyFill="1" applyBorder="1" applyAlignment="1">
      <alignment horizontal="right" wrapText="1"/>
    </xf>
    <xf numFmtId="0" fontId="247" fillId="25" borderId="201" xfId="0" applyFont="1" applyFill="1" applyBorder="1" applyAlignment="1">
      <alignment horizontal="right" wrapText="1"/>
    </xf>
    <xf numFmtId="0" fontId="226" fillId="2" borderId="235" xfId="0" applyFont="1" applyFill="1" applyBorder="1" applyAlignment="1" applyProtection="1">
      <alignment vertical="center" wrapText="1"/>
      <protection locked="0"/>
    </xf>
    <xf numFmtId="0" fontId="0" fillId="0" borderId="235" xfId="0" applyBorder="1" applyAlignment="1" applyProtection="1">
      <alignment vertical="center" wrapText="1"/>
      <protection locked="0"/>
    </xf>
    <xf numFmtId="0" fontId="226" fillId="2" borderId="305" xfId="0" applyFont="1" applyFill="1" applyBorder="1" applyAlignment="1" applyProtection="1">
      <alignment vertical="center" wrapText="1"/>
      <protection locked="0"/>
    </xf>
    <xf numFmtId="0" fontId="0" fillId="0" borderId="305" xfId="0" applyBorder="1" applyAlignment="1" applyProtection="1">
      <alignment vertical="center" wrapText="1"/>
      <protection locked="0"/>
    </xf>
    <xf numFmtId="0" fontId="248" fillId="25" borderId="0" xfId="0" applyFont="1" applyFill="1" applyAlignment="1">
      <alignment horizontal="center" vertical="center" wrapText="1"/>
    </xf>
    <xf numFmtId="2" fontId="226" fillId="24" borderId="281" xfId="0" applyNumberFormat="1" applyFont="1" applyFill="1" applyBorder="1" applyAlignment="1">
      <alignment horizontal="center" vertical="center" wrapText="1"/>
    </xf>
    <xf numFmtId="164" fontId="226" fillId="24" borderId="281" xfId="0" applyNumberFormat="1" applyFont="1" applyFill="1" applyBorder="1" applyAlignment="1">
      <alignment horizontal="center" vertical="center" wrapText="1"/>
    </xf>
    <xf numFmtId="2" fontId="226" fillId="24" borderId="278" xfId="0" applyNumberFormat="1" applyFont="1" applyFill="1" applyBorder="1" applyAlignment="1">
      <alignment horizontal="center" vertical="center" wrapText="1"/>
    </xf>
    <xf numFmtId="2" fontId="226" fillId="2" borderId="282" xfId="0" applyNumberFormat="1" applyFont="1" applyFill="1" applyBorder="1" applyAlignment="1" applyProtection="1">
      <alignment horizontal="center" vertical="center" wrapText="1"/>
      <protection locked="0"/>
    </xf>
    <xf numFmtId="2" fontId="226" fillId="2" borderId="281" xfId="0" applyNumberFormat="1" applyFont="1" applyFill="1" applyBorder="1" applyAlignment="1" applyProtection="1">
      <alignment horizontal="center" vertical="center" wrapText="1"/>
      <protection locked="0"/>
    </xf>
    <xf numFmtId="2" fontId="226" fillId="2" borderId="281" xfId="0" applyNumberFormat="1" applyFont="1" applyFill="1" applyBorder="1" applyAlignment="1" applyProtection="1">
      <alignment vertical="center" shrinkToFit="1"/>
      <protection locked="0"/>
    </xf>
    <xf numFmtId="168" fontId="226" fillId="24" borderId="281" xfId="0" applyNumberFormat="1" applyFont="1" applyFill="1" applyBorder="1" applyAlignment="1">
      <alignment horizontal="center" vertical="center" wrapText="1"/>
    </xf>
    <xf numFmtId="2" fontId="226" fillId="24" borderId="282" xfId="0" applyNumberFormat="1" applyFont="1" applyFill="1" applyBorder="1" applyAlignment="1">
      <alignment horizontal="center" vertical="center" wrapText="1"/>
    </xf>
    <xf numFmtId="0" fontId="247" fillId="25" borderId="284" xfId="0" applyFont="1" applyFill="1" applyBorder="1" applyAlignment="1">
      <alignment horizontal="right" wrapText="1"/>
    </xf>
    <xf numFmtId="0" fontId="247" fillId="0" borderId="0" xfId="0" applyFont="1" applyAlignment="1">
      <alignment horizontal="right" wrapText="1"/>
    </xf>
    <xf numFmtId="0" fontId="226" fillId="24" borderId="0" xfId="0" applyFont="1" applyFill="1" applyAlignment="1" applyProtection="1">
      <alignment horizontal="center" vertical="center" wrapText="1"/>
      <protection locked="0"/>
    </xf>
    <xf numFmtId="0" fontId="247" fillId="25" borderId="0" xfId="0" applyFont="1" applyFill="1" applyAlignment="1">
      <alignment horizontal="right" wrapText="1"/>
    </xf>
    <xf numFmtId="0" fontId="247" fillId="25" borderId="0" xfId="0" applyFont="1" applyFill="1" applyAlignment="1">
      <alignment vertical="center" wrapText="1"/>
    </xf>
    <xf numFmtId="169" fontId="261" fillId="35" borderId="204" xfId="0" applyNumberFormat="1" applyFont="1" applyFill="1" applyBorder="1" applyAlignment="1">
      <alignment horizontal="center" vertical="center"/>
    </xf>
    <xf numFmtId="0" fontId="261" fillId="24" borderId="0" xfId="0" applyFont="1" applyFill="1" applyAlignment="1">
      <alignment horizontal="left" vertical="top"/>
    </xf>
    <xf numFmtId="0" fontId="334" fillId="24" borderId="0" xfId="0" applyFont="1" applyFill="1" applyAlignment="1">
      <alignment horizontal="left" vertical="top" wrapText="1"/>
    </xf>
    <xf numFmtId="0" fontId="251" fillId="24" borderId="0" xfId="0" applyFont="1" applyFill="1" applyAlignment="1">
      <alignment horizontal="left" vertical="top" wrapText="1"/>
    </xf>
    <xf numFmtId="0" fontId="338" fillId="24" borderId="0" xfId="0" applyFont="1" applyFill="1" applyAlignment="1">
      <alignment horizontal="left" vertical="center" wrapText="1"/>
    </xf>
    <xf numFmtId="0" fontId="0" fillId="24" borderId="312" xfId="0" applyFill="1" applyBorder="1" applyAlignment="1" applyProtection="1">
      <alignment horizontal="left" vertical="center"/>
      <protection locked="0"/>
    </xf>
    <xf numFmtId="168" fontId="334" fillId="35" borderId="204" xfId="0" applyNumberFormat="1" applyFont="1" applyFill="1" applyBorder="1" applyAlignment="1">
      <alignment horizontal="center" vertical="center" wrapText="1"/>
    </xf>
    <xf numFmtId="0" fontId="33" fillId="24" borderId="315" xfId="0" applyFont="1" applyFill="1" applyBorder="1" applyAlignment="1">
      <alignment horizontal="center" vertical="center" shrinkToFit="1"/>
    </xf>
    <xf numFmtId="0" fontId="33" fillId="24" borderId="316" xfId="0" applyFont="1" applyFill="1" applyBorder="1" applyAlignment="1">
      <alignment horizontal="center" vertical="center" shrinkToFit="1"/>
    </xf>
    <xf numFmtId="0" fontId="33" fillId="24" borderId="317" xfId="0" applyFont="1" applyFill="1" applyBorder="1" applyAlignment="1">
      <alignment horizontal="center" vertical="center" shrinkToFit="1"/>
    </xf>
    <xf numFmtId="2" fontId="31" fillId="35" borderId="352" xfId="0" applyNumberFormat="1" applyFont="1" applyFill="1" applyBorder="1" applyAlignment="1">
      <alignment horizontal="center" vertical="center"/>
    </xf>
    <xf numFmtId="2" fontId="31" fillId="35" borderId="353" xfId="0" applyNumberFormat="1" applyFont="1" applyFill="1" applyBorder="1" applyAlignment="1">
      <alignment horizontal="center" vertical="center"/>
    </xf>
    <xf numFmtId="169" fontId="31" fillId="35" borderId="311" xfId="0" applyNumberFormat="1" applyFont="1" applyFill="1" applyBorder="1" applyAlignment="1">
      <alignment horizontal="center" vertical="center"/>
    </xf>
    <xf numFmtId="169" fontId="31" fillId="35" borderId="313" xfId="0" applyNumberFormat="1" applyFont="1" applyFill="1" applyBorder="1" applyAlignment="1">
      <alignment horizontal="center" vertical="center"/>
    </xf>
    <xf numFmtId="169" fontId="31" fillId="35" borderId="357" xfId="0" applyNumberFormat="1" applyFont="1" applyFill="1" applyBorder="1" applyAlignment="1">
      <alignment horizontal="center" vertical="center"/>
    </xf>
    <xf numFmtId="169" fontId="31" fillId="35" borderId="317" xfId="0" applyNumberFormat="1" applyFont="1" applyFill="1" applyBorder="1" applyAlignment="1">
      <alignment horizontal="center" vertical="center"/>
    </xf>
    <xf numFmtId="0" fontId="31" fillId="0" borderId="298" xfId="0" applyFont="1" applyBorder="1" applyAlignment="1">
      <alignment horizontal="center" vertical="center"/>
    </xf>
    <xf numFmtId="0" fontId="31" fillId="0" borderId="124" xfId="0" applyFont="1" applyBorder="1" applyAlignment="1">
      <alignment horizontal="center" vertical="center"/>
    </xf>
    <xf numFmtId="0" fontId="31" fillId="2" borderId="306" xfId="0" applyFont="1" applyFill="1" applyBorder="1" applyAlignment="1" applyProtection="1">
      <alignment horizontal="center" vertical="center"/>
      <protection locked="0"/>
    </xf>
    <xf numFmtId="0" fontId="31" fillId="2" borderId="0" xfId="0" applyFont="1" applyFill="1" applyAlignment="1" applyProtection="1">
      <alignment horizontal="center" vertical="center"/>
      <protection locked="0"/>
    </xf>
    <xf numFmtId="0" fontId="31" fillId="2" borderId="205" xfId="0" applyFont="1" applyFill="1" applyBorder="1" applyAlignment="1" applyProtection="1">
      <alignment horizontal="center" vertical="center"/>
      <protection locked="0"/>
    </xf>
    <xf numFmtId="0" fontId="31" fillId="0" borderId="354" xfId="0" applyFont="1" applyBorder="1" applyAlignment="1">
      <alignment horizontal="center" vertical="center"/>
    </xf>
    <xf numFmtId="0" fontId="31" fillId="0" borderId="264" xfId="0" applyFont="1" applyBorder="1" applyAlignment="1">
      <alignment horizontal="center" vertical="center"/>
    </xf>
    <xf numFmtId="169" fontId="31" fillId="35" borderId="265" xfId="0" applyNumberFormat="1" applyFont="1" applyFill="1" applyBorder="1" applyAlignment="1">
      <alignment horizontal="center" vertical="center"/>
    </xf>
    <xf numFmtId="169" fontId="31" fillId="35" borderId="264" xfId="0" applyNumberFormat="1" applyFont="1" applyFill="1" applyBorder="1" applyAlignment="1">
      <alignment horizontal="center" vertical="center"/>
    </xf>
    <xf numFmtId="169" fontId="31" fillId="35" borderId="355" xfId="0" applyNumberFormat="1" applyFont="1" applyFill="1" applyBorder="1" applyAlignment="1">
      <alignment horizontal="center" vertical="center"/>
    </xf>
    <xf numFmtId="0" fontId="31" fillId="24" borderId="203" xfId="0" applyFont="1" applyFill="1" applyBorder="1" applyAlignment="1">
      <alignment horizontal="center"/>
    </xf>
    <xf numFmtId="0" fontId="31" fillId="24" borderId="205" xfId="0" applyFont="1" applyFill="1" applyBorder="1" applyAlignment="1">
      <alignment horizontal="center"/>
    </xf>
    <xf numFmtId="0" fontId="0" fillId="0" borderId="203" xfId="0" applyBorder="1" applyAlignment="1">
      <alignment horizontal="center"/>
    </xf>
    <xf numFmtId="0" fontId="0" fillId="0" borderId="205" xfId="0" applyBorder="1" applyAlignment="1">
      <alignment horizontal="center"/>
    </xf>
    <xf numFmtId="0" fontId="33" fillId="24" borderId="203" xfId="0" applyFont="1" applyFill="1" applyBorder="1" applyAlignment="1">
      <alignment horizontal="center"/>
    </xf>
    <xf numFmtId="0" fontId="33" fillId="24" borderId="0" xfId="0" applyFont="1" applyFill="1" applyAlignment="1">
      <alignment horizontal="center"/>
    </xf>
    <xf numFmtId="0" fontId="33" fillId="24" borderId="205" xfId="0" applyFont="1" applyFill="1" applyBorder="1" applyAlignment="1">
      <alignment horizontal="center"/>
    </xf>
    <xf numFmtId="0" fontId="31" fillId="2" borderId="40" xfId="0" applyFont="1" applyFill="1" applyBorder="1" applyAlignment="1" applyProtection="1">
      <alignment horizontal="center" vertical="center"/>
      <protection locked="0"/>
    </xf>
    <xf numFmtId="0" fontId="31" fillId="2" borderId="41" xfId="0" applyFont="1" applyFill="1" applyBorder="1" applyAlignment="1" applyProtection="1">
      <alignment horizontal="center" vertical="center"/>
      <protection locked="0"/>
    </xf>
    <xf numFmtId="0" fontId="31" fillId="2" borderId="309" xfId="0" applyFont="1" applyFill="1" applyBorder="1" applyAlignment="1" applyProtection="1">
      <alignment horizontal="center" vertical="center"/>
      <protection locked="0"/>
    </xf>
    <xf numFmtId="169" fontId="31" fillId="2" borderId="123" xfId="0" applyNumberFormat="1" applyFont="1" applyFill="1" applyBorder="1" applyAlignment="1" applyProtection="1">
      <alignment horizontal="center" vertical="center"/>
      <protection locked="0"/>
    </xf>
    <xf numFmtId="169" fontId="31" fillId="2" borderId="124" xfId="0" applyNumberFormat="1" applyFont="1" applyFill="1" applyBorder="1" applyAlignment="1" applyProtection="1">
      <alignment horizontal="center" vertical="center"/>
      <protection locked="0"/>
    </xf>
    <xf numFmtId="169" fontId="31" fillId="2" borderId="310" xfId="0" applyNumberFormat="1" applyFont="1" applyFill="1" applyBorder="1" applyAlignment="1" applyProtection="1">
      <alignment horizontal="center" vertical="center"/>
      <protection locked="0"/>
    </xf>
    <xf numFmtId="0" fontId="31" fillId="2" borderId="41" xfId="0" applyFont="1" applyFill="1" applyBorder="1" applyAlignment="1" applyProtection="1">
      <alignment horizontal="left" vertical="center"/>
      <protection locked="0"/>
    </xf>
    <xf numFmtId="0" fontId="31" fillId="2" borderId="124" xfId="0" applyFont="1" applyFill="1" applyBorder="1" applyAlignment="1" applyProtection="1">
      <alignment horizontal="left" vertical="center"/>
      <protection locked="0"/>
    </xf>
    <xf numFmtId="0" fontId="31" fillId="24" borderId="307" xfId="0" applyFont="1" applyFill="1" applyBorder="1" applyAlignment="1">
      <alignment horizontal="right" vertical="center"/>
    </xf>
    <xf numFmtId="0" fontId="31" fillId="24" borderId="308" xfId="0" applyFont="1" applyFill="1" applyBorder="1" applyAlignment="1">
      <alignment horizontal="right" vertical="center"/>
    </xf>
    <xf numFmtId="0" fontId="31" fillId="24" borderId="351" xfId="0" applyFont="1" applyFill="1" applyBorder="1" applyAlignment="1">
      <alignment horizontal="right" vertical="center"/>
    </xf>
    <xf numFmtId="0" fontId="261" fillId="2" borderId="204" xfId="0" applyFont="1" applyFill="1" applyBorder="1" applyAlignment="1" applyProtection="1">
      <alignment horizontal="center" vertical="center" wrapText="1"/>
      <protection locked="0"/>
    </xf>
    <xf numFmtId="2" fontId="261" fillId="35" borderId="204" xfId="0" applyNumberFormat="1" applyFont="1" applyFill="1" applyBorder="1" applyAlignment="1">
      <alignment horizontal="center" vertical="center" wrapText="1"/>
    </xf>
    <xf numFmtId="0" fontId="0" fillId="0" borderId="315" xfId="0" applyBorder="1" applyAlignment="1">
      <alignment horizontal="center" vertical="center"/>
    </xf>
    <xf numFmtId="0" fontId="0" fillId="0" borderId="316" xfId="0" applyBorder="1" applyAlignment="1">
      <alignment horizontal="center" vertical="center"/>
    </xf>
    <xf numFmtId="0" fontId="0" fillId="0" borderId="356" xfId="0" applyBorder="1" applyAlignment="1">
      <alignment horizontal="center" vertical="center"/>
    </xf>
    <xf numFmtId="0" fontId="31" fillId="0" borderId="223" xfId="0" applyFont="1" applyBorder="1" applyAlignment="1">
      <alignment horizontal="center" vertical="center"/>
    </xf>
    <xf numFmtId="0" fontId="31" fillId="0" borderId="41" xfId="0" applyFont="1" applyBorder="1" applyAlignment="1">
      <alignment horizontal="center" vertical="center"/>
    </xf>
    <xf numFmtId="0" fontId="261" fillId="35" borderId="204" xfId="0" applyFont="1" applyFill="1" applyBorder="1" applyAlignment="1">
      <alignment horizontal="center" vertical="center" wrapText="1"/>
    </xf>
    <xf numFmtId="0" fontId="27" fillId="24" borderId="0" xfId="0" applyFont="1" applyFill="1" applyAlignment="1">
      <alignment horizontal="left"/>
    </xf>
    <xf numFmtId="0" fontId="261" fillId="24" borderId="0" xfId="0" applyFont="1" applyFill="1" applyAlignment="1">
      <alignment horizontal="right" vertical="top"/>
    </xf>
    <xf numFmtId="0" fontId="31" fillId="24" borderId="283" xfId="0" applyFont="1" applyFill="1" applyBorder="1" applyAlignment="1">
      <alignment horizontal="center" vertical="center"/>
    </xf>
    <xf numFmtId="0" fontId="31" fillId="24" borderId="270" xfId="0" applyFont="1" applyFill="1" applyBorder="1" applyAlignment="1">
      <alignment horizontal="center" vertical="center"/>
    </xf>
    <xf numFmtId="0" fontId="24" fillId="2" borderId="352" xfId="0" applyFont="1" applyFill="1" applyBorder="1" applyAlignment="1" applyProtection="1">
      <alignment horizontal="center" vertical="center"/>
      <protection locked="0"/>
    </xf>
    <xf numFmtId="0" fontId="24" fillId="2" borderId="308" xfId="0" applyFont="1" applyFill="1" applyBorder="1" applyAlignment="1" applyProtection="1">
      <alignment horizontal="center" vertical="center"/>
      <protection locked="0"/>
    </xf>
    <xf numFmtId="0" fontId="24" fillId="2" borderId="353" xfId="0" applyFont="1" applyFill="1" applyBorder="1" applyAlignment="1" applyProtection="1">
      <alignment horizontal="center" vertical="center"/>
      <protection locked="0"/>
    </xf>
    <xf numFmtId="0" fontId="24" fillId="2" borderId="311" xfId="0" applyFont="1" applyFill="1" applyBorder="1" applyAlignment="1" applyProtection="1">
      <alignment horizontal="center" vertical="center"/>
      <protection locked="0"/>
    </xf>
    <xf numFmtId="0" fontId="24" fillId="2" borderId="312" xfId="0" applyFont="1" applyFill="1" applyBorder="1" applyAlignment="1" applyProtection="1">
      <alignment horizontal="center" vertical="center"/>
      <protection locked="0"/>
    </xf>
    <xf numFmtId="0" fontId="24" fillId="2" borderId="313" xfId="0" applyFont="1" applyFill="1" applyBorder="1" applyAlignment="1" applyProtection="1">
      <alignment horizontal="center" vertical="center"/>
      <protection locked="0"/>
    </xf>
    <xf numFmtId="0" fontId="31" fillId="24" borderId="307" xfId="0" applyFont="1" applyFill="1" applyBorder="1" applyAlignment="1">
      <alignment horizontal="center" vertical="center"/>
    </xf>
    <xf numFmtId="0" fontId="31" fillId="24" borderId="308" xfId="0" applyFont="1" applyFill="1" applyBorder="1" applyAlignment="1">
      <alignment horizontal="center" vertical="center"/>
    </xf>
    <xf numFmtId="0" fontId="31" fillId="24" borderId="351" xfId="0" applyFont="1" applyFill="1" applyBorder="1" applyAlignment="1">
      <alignment horizontal="center" vertical="center"/>
    </xf>
    <xf numFmtId="164" fontId="24" fillId="2" borderId="352" xfId="0" applyNumberFormat="1" applyFont="1" applyFill="1" applyBorder="1" applyAlignment="1" applyProtection="1">
      <alignment horizontal="center" vertical="center"/>
      <protection locked="0"/>
    </xf>
    <xf numFmtId="164" fontId="24" fillId="2" borderId="308" xfId="0" applyNumberFormat="1" applyFont="1" applyFill="1" applyBorder="1" applyAlignment="1" applyProtection="1">
      <alignment horizontal="center" vertical="center"/>
      <protection locked="0"/>
    </xf>
    <xf numFmtId="164" fontId="24" fillId="2" borderId="351" xfId="0" applyNumberFormat="1" applyFont="1" applyFill="1" applyBorder="1" applyAlignment="1" applyProtection="1">
      <alignment horizontal="center" vertical="center"/>
      <protection locked="0"/>
    </xf>
    <xf numFmtId="0" fontId="31" fillId="0" borderId="308" xfId="0" applyFont="1" applyBorder="1" applyAlignment="1">
      <alignment horizontal="center" vertical="center"/>
    </xf>
    <xf numFmtId="0" fontId="261" fillId="35" borderId="206" xfId="0" applyFont="1" applyFill="1" applyBorder="1" applyAlignment="1">
      <alignment horizontal="center" vertical="center" wrapText="1"/>
    </xf>
    <xf numFmtId="0" fontId="198" fillId="6" borderId="40" xfId="0" applyFont="1" applyFill="1" applyBorder="1" applyAlignment="1">
      <alignment horizontal="left" vertical="center"/>
    </xf>
    <xf numFmtId="0" fontId="198" fillId="6" borderId="302" xfId="0" applyFont="1" applyFill="1" applyBorder="1" applyAlignment="1">
      <alignment horizontal="left" vertical="center"/>
    </xf>
    <xf numFmtId="0" fontId="198" fillId="6" borderId="42" xfId="0" applyFont="1" applyFill="1" applyBorder="1" applyAlignment="1">
      <alignment horizontal="left" vertical="center"/>
    </xf>
    <xf numFmtId="0" fontId="198" fillId="6" borderId="265" xfId="0" applyFont="1" applyFill="1" applyBorder="1" applyAlignment="1">
      <alignment horizontal="left" vertical="center"/>
    </xf>
    <xf numFmtId="0" fontId="198" fillId="6" borderId="268" xfId="0" applyFont="1" applyFill="1" applyBorder="1" applyAlignment="1">
      <alignment horizontal="left" vertical="center"/>
    </xf>
    <xf numFmtId="0" fontId="198" fillId="6" borderId="263" xfId="0" applyFont="1" applyFill="1" applyBorder="1" applyAlignment="1">
      <alignment horizontal="left" vertical="center"/>
    </xf>
    <xf numFmtId="0" fontId="198" fillId="6" borderId="306" xfId="0" applyFont="1" applyFill="1" applyBorder="1" applyAlignment="1">
      <alignment horizontal="left" vertical="center"/>
    </xf>
    <xf numFmtId="0" fontId="198" fillId="6" borderId="0" xfId="0" applyFont="1" applyFill="1" applyAlignment="1">
      <alignment horizontal="left" vertical="center"/>
    </xf>
    <xf numFmtId="0" fontId="198" fillId="6" borderId="5" xfId="0" applyFont="1" applyFill="1" applyBorder="1" applyAlignment="1">
      <alignment horizontal="left" vertical="center"/>
    </xf>
    <xf numFmtId="0" fontId="342" fillId="24" borderId="0" xfId="0" applyFont="1" applyFill="1" applyAlignment="1">
      <alignment horizontal="center" vertical="center" shrinkToFit="1"/>
    </xf>
    <xf numFmtId="0" fontId="341" fillId="2" borderId="18" xfId="0" applyFont="1" applyFill="1" applyBorder="1" applyAlignment="1" applyProtection="1">
      <alignment horizontal="center" vertical="center"/>
      <protection locked="0"/>
    </xf>
    <xf numFmtId="0" fontId="341" fillId="2" borderId="21" xfId="0" applyFont="1" applyFill="1" applyBorder="1" applyAlignment="1" applyProtection="1">
      <alignment horizontal="center" vertical="center"/>
      <protection locked="0"/>
    </xf>
    <xf numFmtId="0" fontId="31" fillId="24" borderId="354" xfId="0" applyFont="1" applyFill="1" applyBorder="1" applyAlignment="1">
      <alignment horizontal="center" vertical="center"/>
    </xf>
    <xf numFmtId="0" fontId="31" fillId="24" borderId="264" xfId="0" applyFont="1" applyFill="1" applyBorder="1" applyAlignment="1">
      <alignment horizontal="center" vertical="center"/>
    </xf>
    <xf numFmtId="0" fontId="31" fillId="24" borderId="263" xfId="0" applyFont="1" applyFill="1" applyBorder="1" applyAlignment="1">
      <alignment horizontal="center" vertical="center"/>
    </xf>
    <xf numFmtId="0" fontId="31" fillId="24" borderId="223" xfId="0" applyFont="1" applyFill="1" applyBorder="1" applyAlignment="1">
      <alignment horizontal="center" vertical="center"/>
    </xf>
    <xf numFmtId="0" fontId="31" fillId="24" borderId="41" xfId="0" applyFont="1" applyFill="1" applyBorder="1" applyAlignment="1">
      <alignment horizontal="center" vertical="center"/>
    </xf>
    <xf numFmtId="0" fontId="31" fillId="24" borderId="42" xfId="0" applyFont="1" applyFill="1" applyBorder="1" applyAlignment="1">
      <alignment horizontal="center" vertical="center"/>
    </xf>
    <xf numFmtId="169" fontId="31" fillId="35" borderId="40" xfId="0" applyNumberFormat="1" applyFont="1" applyFill="1" applyBorder="1" applyAlignment="1">
      <alignment horizontal="center" vertical="center"/>
    </xf>
    <xf numFmtId="169" fontId="31" fillId="35" borderId="309" xfId="0" applyNumberFormat="1" applyFont="1" applyFill="1" applyBorder="1" applyAlignment="1">
      <alignment horizontal="center" vertical="center"/>
    </xf>
    <xf numFmtId="169" fontId="31" fillId="2" borderId="265" xfId="0" applyNumberFormat="1" applyFont="1" applyFill="1" applyBorder="1" applyAlignment="1" applyProtection="1">
      <alignment horizontal="center" vertical="center"/>
      <protection locked="0"/>
    </xf>
    <xf numFmtId="169" fontId="31" fillId="2" borderId="264" xfId="0" applyNumberFormat="1" applyFont="1" applyFill="1" applyBorder="1" applyAlignment="1" applyProtection="1">
      <alignment horizontal="center" vertical="center"/>
      <protection locked="0"/>
    </xf>
    <xf numFmtId="169" fontId="31" fillId="2" borderId="263" xfId="0" applyNumberFormat="1" applyFont="1" applyFill="1" applyBorder="1" applyAlignment="1" applyProtection="1">
      <alignment horizontal="center" vertical="center"/>
      <protection locked="0"/>
    </xf>
    <xf numFmtId="169" fontId="31" fillId="2" borderId="40" xfId="0" applyNumberFormat="1" applyFont="1" applyFill="1" applyBorder="1" applyAlignment="1" applyProtection="1">
      <alignment horizontal="center" vertical="center"/>
      <protection locked="0"/>
    </xf>
    <xf numFmtId="169" fontId="31" fillId="2" borderId="41" xfId="0" applyNumberFormat="1" applyFont="1" applyFill="1" applyBorder="1" applyAlignment="1" applyProtection="1">
      <alignment horizontal="center" vertical="center"/>
      <protection locked="0"/>
    </xf>
    <xf numFmtId="169" fontId="31" fillId="2" borderId="42" xfId="0" applyNumberFormat="1" applyFont="1" applyFill="1" applyBorder="1" applyAlignment="1" applyProtection="1">
      <alignment horizontal="center" vertical="center"/>
      <protection locked="0"/>
    </xf>
    <xf numFmtId="169" fontId="31" fillId="2" borderId="168" xfId="0" applyNumberFormat="1" applyFont="1" applyFill="1" applyBorder="1" applyAlignment="1" applyProtection="1">
      <alignment horizontal="center" vertical="center"/>
      <protection locked="0"/>
    </xf>
    <xf numFmtId="169" fontId="31" fillId="2" borderId="169" xfId="0" applyNumberFormat="1" applyFont="1" applyFill="1" applyBorder="1" applyAlignment="1" applyProtection="1">
      <alignment horizontal="center" vertical="center"/>
      <protection locked="0"/>
    </xf>
    <xf numFmtId="0" fontId="31" fillId="24" borderId="314" xfId="0" applyFont="1" applyFill="1" applyBorder="1" applyAlignment="1">
      <alignment horizontal="right" vertical="center"/>
    </xf>
    <xf numFmtId="0" fontId="31" fillId="24" borderId="312" xfId="0" applyFont="1" applyFill="1" applyBorder="1" applyAlignment="1">
      <alignment horizontal="right" vertical="center"/>
    </xf>
    <xf numFmtId="0" fontId="31" fillId="24" borderId="358" xfId="0" applyFont="1" applyFill="1" applyBorder="1" applyAlignment="1">
      <alignment horizontal="right" vertical="center"/>
    </xf>
    <xf numFmtId="0" fontId="262" fillId="24" borderId="284" xfId="0" applyFont="1" applyFill="1" applyBorder="1" applyAlignment="1">
      <alignment horizontal="center" vertical="top" wrapText="1"/>
    </xf>
    <xf numFmtId="14" fontId="261" fillId="2" borderId="206" xfId="0" applyNumberFormat="1" applyFont="1" applyFill="1" applyBorder="1" applyAlignment="1" applyProtection="1">
      <alignment horizontal="center" shrinkToFit="1"/>
      <protection locked="0"/>
    </xf>
    <xf numFmtId="0" fontId="261" fillId="2" borderId="206" xfId="0" applyFont="1" applyFill="1" applyBorder="1" applyAlignment="1" applyProtection="1">
      <alignment horizontal="center" shrinkToFit="1"/>
      <protection locked="0"/>
    </xf>
    <xf numFmtId="0" fontId="261" fillId="24" borderId="206" xfId="0" applyFont="1" applyFill="1" applyBorder="1" applyAlignment="1">
      <alignment horizontal="center" wrapText="1"/>
    </xf>
    <xf numFmtId="0" fontId="261" fillId="2" borderId="206" xfId="0" applyFont="1" applyFill="1" applyBorder="1" applyAlignment="1" applyProtection="1">
      <alignment wrapText="1"/>
      <protection locked="0"/>
    </xf>
    <xf numFmtId="0" fontId="261" fillId="24" borderId="206" xfId="0" applyFont="1" applyFill="1" applyBorder="1" applyAlignment="1">
      <alignment horizontal="left" wrapText="1"/>
    </xf>
    <xf numFmtId="0" fontId="261" fillId="2" borderId="206" xfId="0" applyFont="1" applyFill="1" applyBorder="1" applyAlignment="1" applyProtection="1">
      <alignment horizontal="center" wrapText="1"/>
      <protection locked="0"/>
    </xf>
    <xf numFmtId="0" fontId="33" fillId="24" borderId="0" xfId="0" applyFont="1" applyFill="1" applyAlignment="1">
      <alignment horizontal="center" vertical="center" wrapText="1"/>
    </xf>
    <xf numFmtId="0" fontId="33" fillId="24" borderId="207" xfId="0" applyFont="1" applyFill="1" applyBorder="1" applyAlignment="1">
      <alignment horizontal="center" vertical="center" wrapText="1"/>
    </xf>
    <xf numFmtId="0" fontId="261" fillId="2" borderId="204" xfId="0" applyFont="1" applyFill="1" applyBorder="1" applyAlignment="1" applyProtection="1">
      <alignment horizontal="center" wrapText="1"/>
      <protection locked="0"/>
    </xf>
    <xf numFmtId="0" fontId="261" fillId="24" borderId="204" xfId="0" applyFont="1" applyFill="1" applyBorder="1" applyAlignment="1">
      <alignment horizontal="left" wrapText="1"/>
    </xf>
    <xf numFmtId="0" fontId="253" fillId="24" borderId="41" xfId="0" applyFont="1" applyFill="1" applyBorder="1" applyAlignment="1">
      <alignment horizontal="center"/>
    </xf>
    <xf numFmtId="0" fontId="261" fillId="24" borderId="41" xfId="0" applyFont="1" applyFill="1" applyBorder="1" applyAlignment="1">
      <alignment horizontal="center"/>
    </xf>
    <xf numFmtId="0" fontId="261" fillId="24" borderId="0" xfId="0" applyFont="1" applyFill="1" applyAlignment="1">
      <alignment horizontal="left" vertical="center"/>
    </xf>
    <xf numFmtId="0" fontId="222" fillId="19" borderId="204" xfId="0" applyFont="1" applyFill="1" applyBorder="1" applyAlignment="1">
      <alignment horizontal="center" vertical="center" wrapText="1"/>
    </xf>
    <xf numFmtId="0" fontId="222" fillId="19" borderId="206" xfId="0" applyFont="1" applyFill="1" applyBorder="1" applyAlignment="1">
      <alignment horizontal="center" vertical="center" wrapText="1"/>
    </xf>
    <xf numFmtId="0" fontId="334" fillId="24" borderId="0" xfId="0" applyFont="1" applyFill="1" applyAlignment="1">
      <alignment horizontal="left" wrapText="1"/>
    </xf>
    <xf numFmtId="0" fontId="261" fillId="24" borderId="0" xfId="0" applyFont="1" applyFill="1" applyAlignment="1">
      <alignment horizontal="left"/>
    </xf>
    <xf numFmtId="0" fontId="268" fillId="6" borderId="0" xfId="0" applyFont="1" applyFill="1" applyAlignment="1">
      <alignment horizontal="left"/>
    </xf>
    <xf numFmtId="0" fontId="198" fillId="0" borderId="296" xfId="0" applyFont="1" applyBorder="1"/>
    <xf numFmtId="0" fontId="198" fillId="0" borderId="207" xfId="0" applyFont="1" applyBorder="1"/>
    <xf numFmtId="0" fontId="198" fillId="0" borderId="297" xfId="0" applyFont="1" applyBorder="1"/>
    <xf numFmtId="0" fontId="0" fillId="2" borderId="0" xfId="0" applyFill="1" applyAlignment="1" applyProtection="1">
      <alignment horizontal="left"/>
      <protection locked="0"/>
    </xf>
    <xf numFmtId="0" fontId="251" fillId="24" borderId="207" xfId="0" applyFont="1" applyFill="1" applyBorder="1" applyAlignment="1">
      <alignment horizontal="center"/>
    </xf>
    <xf numFmtId="0" fontId="253" fillId="2" borderId="206" xfId="0" applyFont="1" applyFill="1" applyBorder="1" applyAlignment="1" applyProtection="1">
      <alignment horizontal="center" wrapText="1"/>
      <protection locked="0"/>
    </xf>
    <xf numFmtId="0" fontId="251" fillId="2" borderId="206" xfId="0" applyFont="1" applyFill="1" applyBorder="1" applyAlignment="1" applyProtection="1">
      <alignment horizontal="center" wrapText="1"/>
      <protection locked="0"/>
    </xf>
    <xf numFmtId="172" fontId="261" fillId="2" borderId="0" xfId="0" applyNumberFormat="1" applyFont="1" applyFill="1" applyAlignment="1" applyProtection="1">
      <alignment horizontal="right" wrapText="1"/>
      <protection locked="0"/>
    </xf>
    <xf numFmtId="0" fontId="261" fillId="24" borderId="204" xfId="0" applyFont="1" applyFill="1" applyBorder="1" applyAlignment="1">
      <alignment horizontal="center" shrinkToFit="1"/>
    </xf>
    <xf numFmtId="0" fontId="261" fillId="24" borderId="204" xfId="0" applyFont="1" applyFill="1" applyBorder="1" applyAlignment="1">
      <alignment horizontal="center" wrapText="1"/>
    </xf>
    <xf numFmtId="0" fontId="251" fillId="24" borderId="204" xfId="0" applyFont="1" applyFill="1" applyBorder="1" applyAlignment="1">
      <alignment horizontal="left" wrapText="1"/>
    </xf>
    <xf numFmtId="0" fontId="44" fillId="24" borderId="0" xfId="0" applyFont="1" applyFill="1" applyAlignment="1">
      <alignment horizontal="right" shrinkToFit="1"/>
    </xf>
    <xf numFmtId="0" fontId="0" fillId="0" borderId="0" xfId="0" applyAlignment="1">
      <alignment horizontal="right" shrinkToFit="1"/>
    </xf>
    <xf numFmtId="0" fontId="273" fillId="24" borderId="0" xfId="0" applyFont="1" applyFill="1" applyAlignment="1">
      <alignment horizontal="right" shrinkToFit="1"/>
    </xf>
    <xf numFmtId="0" fontId="22" fillId="0" borderId="0" xfId="0" applyFont="1" applyAlignment="1">
      <alignment horizontal="right" shrinkToFit="1"/>
    </xf>
    <xf numFmtId="173" fontId="44" fillId="24" borderId="0" xfId="0" applyNumberFormat="1" applyFont="1" applyFill="1" applyAlignment="1">
      <alignment horizontal="right" shrinkToFit="1"/>
    </xf>
    <xf numFmtId="0" fontId="0" fillId="24" borderId="0" xfId="0" applyFill="1" applyAlignment="1">
      <alignment horizontal="right" shrinkToFit="1"/>
    </xf>
    <xf numFmtId="0" fontId="22" fillId="5" borderId="1" xfId="0" applyFont="1" applyFill="1" applyBorder="1" applyAlignment="1" applyProtection="1">
      <alignment horizontal="center"/>
      <protection locked="0"/>
    </xf>
    <xf numFmtId="0" fontId="33" fillId="0" borderId="0" xfId="0" applyFont="1" applyAlignment="1">
      <alignment horizontal="left"/>
    </xf>
    <xf numFmtId="0" fontId="0" fillId="2" borderId="1" xfId="0" applyFill="1" applyBorder="1" applyAlignment="1" applyProtection="1">
      <alignment horizontal="center"/>
      <protection locked="0"/>
    </xf>
    <xf numFmtId="0" fontId="0" fillId="0" borderId="1" xfId="0" applyBorder="1" applyAlignment="1" applyProtection="1">
      <alignment horizontal="center"/>
      <protection locked="0"/>
    </xf>
    <xf numFmtId="0" fontId="267" fillId="27" borderId="0" xfId="0" applyFont="1" applyFill="1" applyAlignment="1">
      <alignment horizontal="left"/>
    </xf>
    <xf numFmtId="0" fontId="0" fillId="27" borderId="0" xfId="0" applyFill="1" applyAlignment="1" applyProtection="1">
      <alignment horizontal="left"/>
      <protection locked="0"/>
    </xf>
    <xf numFmtId="0" fontId="111" fillId="6" borderId="0" xfId="0" applyFont="1" applyFill="1" applyAlignment="1">
      <alignment horizontal="left"/>
    </xf>
    <xf numFmtId="0" fontId="33" fillId="27" borderId="0" xfId="0" applyFont="1" applyFill="1" applyAlignment="1">
      <alignment horizontal="left"/>
    </xf>
    <xf numFmtId="0" fontId="44" fillId="24" borderId="0" xfId="0" applyFont="1" applyFill="1" applyAlignment="1">
      <alignment horizontal="right"/>
    </xf>
    <xf numFmtId="173" fontId="44" fillId="24" borderId="0" xfId="0" applyNumberFormat="1" applyFont="1" applyFill="1" applyAlignment="1">
      <alignment horizontal="right" wrapText="1"/>
    </xf>
    <xf numFmtId="0" fontId="0" fillId="24" borderId="0" xfId="0" applyFill="1" applyAlignment="1">
      <alignment horizontal="right" wrapText="1"/>
    </xf>
    <xf numFmtId="0" fontId="0" fillId="0" borderId="204" xfId="0" applyBorder="1" applyAlignment="1">
      <alignment wrapText="1"/>
    </xf>
    <xf numFmtId="0" fontId="0" fillId="40" borderId="7" xfId="0" applyFill="1" applyBorder="1" applyAlignment="1">
      <alignment horizontal="center" vertical="center" wrapText="1"/>
    </xf>
    <xf numFmtId="0" fontId="0" fillId="40" borderId="11" xfId="0" applyFill="1" applyBorder="1" applyAlignment="1">
      <alignment horizontal="center" vertical="center" wrapText="1"/>
    </xf>
    <xf numFmtId="2" fontId="48" fillId="0" borderId="0" xfId="0" applyNumberFormat="1" applyFont="1" applyAlignment="1">
      <alignment horizontal="center" vertical="center"/>
    </xf>
    <xf numFmtId="2" fontId="48" fillId="0" borderId="40" xfId="0" applyNumberFormat="1" applyFont="1" applyBorder="1" applyAlignment="1">
      <alignment horizontal="center" vertical="center"/>
    </xf>
    <xf numFmtId="2" fontId="48" fillId="0" borderId="41" xfId="0" applyNumberFormat="1" applyFont="1" applyBorder="1" applyAlignment="1">
      <alignment horizontal="center" vertical="center"/>
    </xf>
    <xf numFmtId="2" fontId="48" fillId="0" borderId="42" xfId="0" applyNumberFormat="1" applyFont="1" applyBorder="1" applyAlignment="1">
      <alignment horizontal="center" vertical="center"/>
    </xf>
    <xf numFmtId="2" fontId="48" fillId="14" borderId="306" xfId="0" quotePrefix="1" applyNumberFormat="1" applyFont="1" applyFill="1" applyBorder="1" applyAlignment="1">
      <alignment vertical="center"/>
    </xf>
    <xf numFmtId="2" fontId="48" fillId="14" borderId="0" xfId="0" applyNumberFormat="1" applyFont="1" applyFill="1" applyAlignment="1">
      <alignment vertical="center"/>
    </xf>
    <xf numFmtId="2" fontId="48" fillId="14" borderId="5" xfId="0" applyNumberFormat="1" applyFont="1" applyFill="1" applyBorder="1" applyAlignment="1">
      <alignment vertical="center"/>
    </xf>
    <xf numFmtId="2" fontId="48" fillId="14" borderId="306" xfId="0" applyNumberFormat="1" applyFont="1" applyFill="1" applyBorder="1" applyAlignment="1">
      <alignment vertical="center" wrapText="1"/>
    </xf>
    <xf numFmtId="2" fontId="48" fillId="14" borderId="0" xfId="0" applyNumberFormat="1" applyFont="1" applyFill="1" applyAlignment="1">
      <alignment vertical="center" wrapText="1"/>
    </xf>
    <xf numFmtId="2" fontId="48" fillId="14" borderId="5" xfId="0" applyNumberFormat="1" applyFont="1" applyFill="1" applyBorder="1" applyAlignment="1">
      <alignment vertical="center" wrapText="1"/>
    </xf>
    <xf numFmtId="2" fontId="48" fillId="14" borderId="306" xfId="0" applyNumberFormat="1" applyFont="1" applyFill="1" applyBorder="1" applyAlignment="1">
      <alignment vertical="center"/>
    </xf>
    <xf numFmtId="0" fontId="198" fillId="14" borderId="265" xfId="0" applyFont="1" applyFill="1" applyBorder="1" applyAlignment="1">
      <alignment horizontal="left" vertical="center"/>
    </xf>
    <xf numFmtId="0" fontId="198" fillId="14" borderId="264" xfId="0" applyFont="1" applyFill="1" applyBorder="1" applyAlignment="1">
      <alignment horizontal="left" vertical="center"/>
    </xf>
    <xf numFmtId="0" fontId="198" fillId="14" borderId="263" xfId="0" applyFont="1" applyFill="1" applyBorder="1" applyAlignment="1">
      <alignment horizontal="left" vertical="center"/>
    </xf>
    <xf numFmtId="2" fontId="33" fillId="39" borderId="14" xfId="0" applyNumberFormat="1" applyFont="1" applyFill="1" applyBorder="1" applyAlignment="1">
      <alignment horizontal="center" vertical="center" shrinkToFit="1"/>
    </xf>
    <xf numFmtId="2" fontId="198" fillId="39" borderId="15" xfId="0" applyNumberFormat="1" applyFont="1" applyFill="1" applyBorder="1" applyAlignment="1">
      <alignment horizontal="center" vertical="center"/>
    </xf>
    <xf numFmtId="2" fontId="198" fillId="39" borderId="19" xfId="0" applyNumberFormat="1" applyFont="1" applyFill="1" applyBorder="1" applyAlignment="1">
      <alignment horizontal="center" vertical="center"/>
    </xf>
    <xf numFmtId="2" fontId="345" fillId="0" borderId="0" xfId="0" applyNumberFormat="1" applyFont="1" applyAlignment="1">
      <alignment horizontal="left" vertical="center" wrapText="1"/>
    </xf>
    <xf numFmtId="2" fontId="199" fillId="0" borderId="0" xfId="0" applyNumberFormat="1" applyFont="1" applyAlignment="1">
      <alignment horizontal="left" vertical="center" wrapText="1"/>
    </xf>
    <xf numFmtId="2" fontId="199" fillId="0" borderId="5" xfId="0" applyNumberFormat="1" applyFont="1" applyBorder="1" applyAlignment="1">
      <alignment horizontal="left" vertical="center" wrapText="1"/>
    </xf>
    <xf numFmtId="0" fontId="0" fillId="14" borderId="8" xfId="0" applyFill="1" applyBorder="1" applyAlignment="1">
      <alignment horizontal="center" vertical="center"/>
    </xf>
    <xf numFmtId="0" fontId="0" fillId="14" borderId="7" xfId="0" applyFill="1" applyBorder="1" applyAlignment="1">
      <alignment horizontal="center" vertical="center"/>
    </xf>
    <xf numFmtId="0" fontId="0" fillId="22" borderId="7" xfId="0" applyFill="1" applyBorder="1" applyAlignment="1">
      <alignment horizontal="center" vertical="center"/>
    </xf>
    <xf numFmtId="14" fontId="0" fillId="0" borderId="0" xfId="0" applyNumberFormat="1" applyAlignment="1">
      <alignment horizontal="center" vertical="center"/>
    </xf>
    <xf numFmtId="14" fontId="0" fillId="0" borderId="5" xfId="0" applyNumberFormat="1" applyBorder="1" applyAlignment="1">
      <alignment horizontal="center" vertical="center"/>
    </xf>
    <xf numFmtId="2" fontId="26" fillId="0" borderId="306" xfId="0" applyNumberFormat="1" applyFont="1" applyBorder="1" applyAlignment="1">
      <alignment horizontal="center" vertical="top"/>
    </xf>
    <xf numFmtId="2" fontId="26" fillId="0" borderId="0" xfId="0" applyNumberFormat="1" applyFont="1" applyAlignment="1">
      <alignment horizontal="center" vertical="top"/>
    </xf>
    <xf numFmtId="2" fontId="26" fillId="0" borderId="5" xfId="0" applyNumberFormat="1" applyFont="1" applyBorder="1" applyAlignment="1">
      <alignment horizontal="center" vertical="top"/>
    </xf>
    <xf numFmtId="2" fontId="198" fillId="0" borderId="22" xfId="0" applyNumberFormat="1" applyFont="1" applyBorder="1" applyAlignment="1">
      <alignment horizontal="right" vertical="center" shrinkToFit="1"/>
    </xf>
    <xf numFmtId="2" fontId="0" fillId="0" borderId="18" xfId="0" applyNumberFormat="1" applyBorder="1" applyAlignment="1">
      <alignment horizontal="right" vertical="center" shrinkToFit="1"/>
    </xf>
    <xf numFmtId="0" fontId="0" fillId="0" borderId="21" xfId="0" applyBorder="1" applyAlignment="1">
      <alignment horizontal="left" vertical="center" shrinkToFit="1"/>
    </xf>
    <xf numFmtId="0" fontId="0" fillId="0" borderId="14" xfId="0" applyBorder="1" applyAlignment="1">
      <alignment horizontal="left" vertical="center" shrinkToFit="1"/>
    </xf>
    <xf numFmtId="14" fontId="0" fillId="0" borderId="32" xfId="0" applyNumberFormat="1" applyBorder="1" applyAlignment="1">
      <alignment horizontal="center" vertical="center" shrinkToFit="1"/>
    </xf>
    <xf numFmtId="14" fontId="0" fillId="0" borderId="180" xfId="0" applyNumberFormat="1" applyBorder="1" applyAlignment="1">
      <alignment horizontal="center" vertical="center" shrinkToFit="1"/>
    </xf>
    <xf numFmtId="0" fontId="198" fillId="0" borderId="18" xfId="0" applyFont="1" applyBorder="1" applyAlignment="1">
      <alignment horizontal="right" vertical="center" shrinkToFit="1"/>
    </xf>
    <xf numFmtId="0" fontId="0" fillId="0" borderId="32" xfId="0" applyBorder="1" applyAlignment="1">
      <alignment horizontal="right" vertical="center" shrinkToFit="1"/>
    </xf>
    <xf numFmtId="49" fontId="0" fillId="0" borderId="32" xfId="0" applyNumberFormat="1" applyBorder="1" applyAlignment="1">
      <alignment horizontal="left" vertical="center" shrinkToFit="1"/>
    </xf>
    <xf numFmtId="49" fontId="0" fillId="0" borderId="21" xfId="0" applyNumberFormat="1" applyBorder="1" applyAlignment="1">
      <alignment horizontal="left" vertical="center" shrinkToFit="1"/>
    </xf>
    <xf numFmtId="0" fontId="0" fillId="0" borderId="32" xfId="0" applyBorder="1" applyAlignment="1">
      <alignment horizontal="left" vertical="center" shrinkToFit="1"/>
    </xf>
    <xf numFmtId="0" fontId="0" fillId="0" borderId="264" xfId="0" applyBorder="1" applyAlignment="1">
      <alignment horizontal="center" vertical="center" wrapText="1"/>
    </xf>
    <xf numFmtId="0" fontId="44" fillId="0" borderId="264" xfId="0" applyFont="1" applyBorder="1" applyAlignment="1">
      <alignment horizontal="right" vertical="center"/>
    </xf>
    <xf numFmtId="0" fontId="44" fillId="0" borderId="263" xfId="0" applyFont="1" applyBorder="1" applyAlignment="1">
      <alignment horizontal="right" vertical="center"/>
    </xf>
    <xf numFmtId="0" fontId="198" fillId="0" borderId="11" xfId="0" applyFont="1" applyBorder="1" applyAlignment="1">
      <alignment horizontal="right" vertical="center" shrinkToFit="1"/>
    </xf>
    <xf numFmtId="0" fontId="0" fillId="0" borderId="1" xfId="0" applyBorder="1" applyAlignment="1">
      <alignment horizontal="right" vertical="center" shrinkToFit="1"/>
    </xf>
    <xf numFmtId="2" fontId="23" fillId="37" borderId="15" xfId="0" applyNumberFormat="1" applyFont="1" applyFill="1" applyBorder="1" applyAlignment="1">
      <alignment horizontal="center" vertical="center" wrapText="1"/>
    </xf>
    <xf numFmtId="2" fontId="23" fillId="37" borderId="19" xfId="0" applyNumberFormat="1" applyFont="1" applyFill="1" applyBorder="1" applyAlignment="1">
      <alignment horizontal="center" vertical="center" wrapText="1"/>
    </xf>
    <xf numFmtId="2" fontId="30" fillId="37" borderId="15" xfId="0" applyNumberFormat="1" applyFont="1" applyFill="1" applyBorder="1" applyAlignment="1">
      <alignment horizontal="center" vertical="center" wrapText="1"/>
    </xf>
    <xf numFmtId="2" fontId="30" fillId="37" borderId="19" xfId="0" applyNumberFormat="1" applyFont="1" applyFill="1" applyBorder="1" applyAlignment="1">
      <alignment horizontal="center" vertical="center" wrapText="1"/>
    </xf>
    <xf numFmtId="2" fontId="345" fillId="0" borderId="0" xfId="0" applyNumberFormat="1" applyFont="1" applyAlignment="1">
      <alignment horizontal="center" vertical="center" wrapText="1"/>
    </xf>
    <xf numFmtId="2" fontId="345" fillId="0" borderId="5" xfId="0" applyNumberFormat="1" applyFont="1" applyBorder="1" applyAlignment="1">
      <alignment horizontal="center" vertical="center" wrapText="1"/>
    </xf>
    <xf numFmtId="2" fontId="30" fillId="0" borderId="0" xfId="0" applyNumberFormat="1" applyFont="1" applyAlignment="1">
      <alignment horizontal="center" vertical="center" wrapText="1"/>
    </xf>
    <xf numFmtId="2" fontId="33" fillId="38" borderId="168" xfId="0" applyNumberFormat="1" applyFont="1" applyFill="1" applyBorder="1" applyAlignment="1">
      <alignment horizontal="center" vertical="center"/>
    </xf>
    <xf numFmtId="2" fontId="33" fillId="38" borderId="169" xfId="0" applyNumberFormat="1" applyFont="1" applyFill="1" applyBorder="1" applyAlignment="1">
      <alignment horizontal="center" vertical="center"/>
    </xf>
    <xf numFmtId="2" fontId="198" fillId="0" borderId="306" xfId="0" applyNumberFormat="1" applyFont="1" applyBorder="1" applyAlignment="1">
      <alignment horizontal="left" vertical="center" wrapText="1"/>
    </xf>
    <xf numFmtId="2" fontId="198" fillId="0" borderId="5" xfId="0" applyNumberFormat="1" applyFont="1" applyBorder="1" applyAlignment="1">
      <alignment horizontal="left" vertical="center" wrapText="1"/>
    </xf>
    <xf numFmtId="2" fontId="23" fillId="37" borderId="14" xfId="0" applyNumberFormat="1" applyFont="1" applyFill="1" applyBorder="1" applyAlignment="1">
      <alignment horizontal="center" vertical="center" wrapText="1"/>
    </xf>
    <xf numFmtId="0" fontId="48" fillId="14" borderId="306" xfId="0" applyFont="1" applyFill="1" applyBorder="1" applyAlignment="1">
      <alignment horizontal="left" vertical="center" wrapText="1"/>
    </xf>
    <xf numFmtId="0" fontId="48" fillId="14" borderId="0" xfId="0" applyFont="1" applyFill="1" applyAlignment="1">
      <alignment horizontal="left" vertical="center" wrapText="1"/>
    </xf>
    <xf numFmtId="0" fontId="48" fillId="14" borderId="5" xfId="0" applyFont="1" applyFill="1" applyBorder="1" applyAlignment="1">
      <alignment horizontal="left" vertical="center" wrapText="1"/>
    </xf>
    <xf numFmtId="0" fontId="48" fillId="14" borderId="40" xfId="0" applyFont="1" applyFill="1" applyBorder="1" applyAlignment="1">
      <alignment horizontal="left" vertical="center" wrapText="1"/>
    </xf>
    <xf numFmtId="0" fontId="48" fillId="14" borderId="41" xfId="0" applyFont="1" applyFill="1" applyBorder="1" applyAlignment="1">
      <alignment horizontal="left" vertical="center" wrapText="1"/>
    </xf>
    <xf numFmtId="0" fontId="48" fillId="14" borderId="42" xfId="0" applyFont="1" applyFill="1" applyBorder="1" applyAlignment="1">
      <alignment horizontal="left" vertical="center" wrapText="1"/>
    </xf>
    <xf numFmtId="0" fontId="198" fillId="0" borderId="179" xfId="0" applyFont="1" applyBorder="1" applyAlignment="1">
      <alignment horizontal="right" vertical="center" shrinkToFit="1"/>
    </xf>
    <xf numFmtId="2" fontId="344" fillId="0" borderId="306" xfId="0" applyNumberFormat="1" applyFont="1" applyBorder="1" applyAlignment="1">
      <alignment horizontal="center" vertical="center"/>
    </xf>
    <xf numFmtId="2" fontId="344" fillId="0" borderId="0" xfId="0" applyNumberFormat="1" applyFont="1" applyAlignment="1">
      <alignment horizontal="center" vertical="center"/>
    </xf>
    <xf numFmtId="2" fontId="344" fillId="0" borderId="5" xfId="0" applyNumberFormat="1" applyFont="1" applyBorder="1" applyAlignment="1">
      <alignment horizontal="center" vertical="center"/>
    </xf>
    <xf numFmtId="0" fontId="0" fillId="0" borderId="32" xfId="0" applyBorder="1" applyAlignment="1">
      <alignment horizontal="center" vertical="center" shrinkToFit="1"/>
    </xf>
    <xf numFmtId="0" fontId="0" fillId="0" borderId="180" xfId="0" applyBorder="1" applyAlignment="1">
      <alignment horizontal="center" vertical="center" shrinkToFit="1"/>
    </xf>
    <xf numFmtId="0" fontId="198" fillId="0" borderId="32" xfId="0" applyFont="1" applyBorder="1" applyAlignment="1">
      <alignment horizontal="right" vertical="center" shrinkToFit="1"/>
    </xf>
    <xf numFmtId="2" fontId="0" fillId="0" borderId="0" xfId="0" applyNumberFormat="1" applyAlignment="1">
      <alignment horizontal="right" vertical="center"/>
    </xf>
    <xf numFmtId="2" fontId="346" fillId="0" borderId="0" xfId="0" applyNumberFormat="1" applyFont="1" applyAlignment="1">
      <alignment horizontal="center" vertical="center"/>
    </xf>
    <xf numFmtId="2" fontId="346" fillId="0" borderId="5" xfId="0" applyNumberFormat="1" applyFont="1" applyBorder="1" applyAlignment="1">
      <alignment horizontal="center" vertical="center"/>
    </xf>
    <xf numFmtId="2" fontId="0" fillId="0" borderId="0" xfId="0" applyNumberFormat="1" applyAlignment="1">
      <alignment horizontal="center" vertical="center"/>
    </xf>
    <xf numFmtId="2" fontId="0" fillId="0" borderId="5" xfId="0" applyNumberFormat="1" applyBorder="1" applyAlignment="1">
      <alignment horizontal="center" vertical="center"/>
    </xf>
    <xf numFmtId="2" fontId="23" fillId="37" borderId="182" xfId="0" applyNumberFormat="1" applyFont="1" applyFill="1" applyBorder="1" applyAlignment="1">
      <alignment horizontal="center" vertical="center" wrapText="1"/>
    </xf>
    <xf numFmtId="2" fontId="23" fillId="37" borderId="114" xfId="0" applyNumberFormat="1" applyFont="1" applyFill="1" applyBorder="1" applyAlignment="1">
      <alignment horizontal="center" vertical="center" wrapText="1"/>
    </xf>
    <xf numFmtId="2" fontId="23" fillId="0" borderId="0" xfId="0" applyNumberFormat="1" applyFont="1" applyAlignment="1">
      <alignment horizontal="center" vertical="center" wrapText="1"/>
    </xf>
    <xf numFmtId="2" fontId="23" fillId="0" borderId="41" xfId="0" applyNumberFormat="1" applyFont="1" applyBorder="1" applyAlignment="1">
      <alignment horizontal="center" vertical="center" wrapText="1"/>
    </xf>
    <xf numFmtId="2" fontId="0" fillId="0" borderId="0" xfId="0" applyNumberFormat="1" applyAlignment="1">
      <alignment horizontal="right" vertical="center" wrapText="1"/>
    </xf>
    <xf numFmtId="0" fontId="0" fillId="0" borderId="5" xfId="0" applyBorder="1" applyAlignment="1">
      <alignment horizontal="center" vertical="center"/>
    </xf>
  </cellXfs>
  <cellStyles count="14">
    <cellStyle name="Normal" xfId="0" builtinId="0"/>
    <cellStyle name="Normal 2" xfId="1" xr:uid="{00000000-0005-0000-0000-000001000000}"/>
    <cellStyle name="Normal 2 2" xfId="8" xr:uid="{01284DE8-F3C5-40A7-8722-0DA6327F9D39}"/>
    <cellStyle name="Normal 3" xfId="2" xr:uid="{00000000-0005-0000-0000-000002000000}"/>
    <cellStyle name="Normal 3 2" xfId="9" xr:uid="{B3476774-173D-41A2-B670-EF920A203B46}"/>
    <cellStyle name="Normal 4" xfId="3" xr:uid="{00000000-0005-0000-0000-000003000000}"/>
    <cellStyle name="Normal 4 2" xfId="10" xr:uid="{1F59F260-87E9-47EB-B997-4A26D0DB3F46}"/>
    <cellStyle name="Normal 5" xfId="4" xr:uid="{00000000-0005-0000-0000-000004000000}"/>
    <cellStyle name="Normal 5 2" xfId="11" xr:uid="{CF058B1E-5005-4560-AE02-54B0F59E67AE}"/>
    <cellStyle name="Normal 6" xfId="5" xr:uid="{00000000-0005-0000-0000-000005000000}"/>
    <cellStyle name="Normal 6 2" xfId="12" xr:uid="{7B0AA090-83BC-40D8-A478-30D3E52D9AD0}"/>
    <cellStyle name="Normal 7" xfId="6" xr:uid="{00000000-0005-0000-0000-000006000000}"/>
    <cellStyle name="Normal 7 2" xfId="13" xr:uid="{AF421E4C-74A9-4561-981D-5CEB918E2E49}"/>
    <cellStyle name="Normal 8" xfId="7" xr:uid="{00000000-0005-0000-0000-000007000000}"/>
  </cellStyles>
  <dxfs count="143">
    <dxf>
      <font>
        <color rgb="FFFF0000"/>
      </font>
    </dxf>
    <dxf>
      <font>
        <color rgb="FFFF0000"/>
      </font>
    </dxf>
    <dxf>
      <font>
        <color rgb="FFFF0000"/>
      </font>
    </dxf>
    <dxf>
      <fill>
        <patternFill patternType="none">
          <bgColor auto="1"/>
        </patternFill>
      </fill>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b/>
        <i val="0"/>
        <color rgb="FF004600"/>
      </font>
      <fill>
        <patternFill>
          <bgColor rgb="FFFFFFEB"/>
        </patternFill>
      </fill>
    </dxf>
    <dxf>
      <font>
        <color rgb="FF004600"/>
      </font>
    </dxf>
    <dxf>
      <font>
        <b/>
        <i val="0"/>
        <color rgb="FF004600"/>
      </font>
      <fill>
        <patternFill patternType="solid">
          <bgColor rgb="FFFFFFEB"/>
        </patternFill>
      </fill>
    </dxf>
    <dxf>
      <font>
        <b/>
        <i val="0"/>
        <color rgb="FFC00000"/>
      </font>
      <fill>
        <patternFill>
          <bgColor rgb="FFFFFFEB"/>
        </patternFill>
      </fill>
      <border>
        <left style="dotted">
          <color auto="1"/>
        </left>
        <right style="dotted">
          <color auto="1"/>
        </right>
        <top style="dotted">
          <color auto="1"/>
        </top>
        <bottom style="dotted">
          <color auto="1"/>
        </bottom>
      </border>
    </dxf>
    <dxf>
      <font>
        <color rgb="FFC00000"/>
      </font>
      <fill>
        <patternFill>
          <bgColor rgb="FFFFFFEB"/>
        </patternFill>
      </fill>
    </dxf>
    <dxf>
      <font>
        <b/>
        <i val="0"/>
        <color rgb="FF004600"/>
      </font>
      <fill>
        <patternFill>
          <bgColor rgb="FFFFFFEB"/>
        </patternFill>
      </fill>
    </dxf>
    <dxf>
      <fill>
        <patternFill patternType="none">
          <bgColor auto="1"/>
        </patternFill>
      </fill>
    </dxf>
    <dxf>
      <font>
        <color rgb="FF0000FF"/>
      </font>
    </dxf>
    <dxf>
      <font>
        <color rgb="FF0000FF"/>
      </font>
    </dxf>
    <dxf>
      <font>
        <color rgb="FF0000FF"/>
      </font>
    </dxf>
    <dxf>
      <font>
        <color rgb="FF0000FF"/>
      </font>
    </dxf>
    <dxf>
      <font>
        <color rgb="FF0000FF"/>
      </font>
    </dxf>
    <dxf>
      <fill>
        <patternFill patternType="none">
          <bgColor auto="1"/>
        </patternFill>
      </fill>
    </dxf>
    <dxf>
      <font>
        <color rgb="FFFF0000"/>
      </font>
    </dxf>
    <dxf>
      <font>
        <color rgb="FF0000FF"/>
      </font>
    </dxf>
    <dxf>
      <font>
        <color rgb="FF0000FF"/>
      </font>
    </dxf>
    <dxf>
      <font>
        <color rgb="FF0000FF"/>
      </font>
    </dxf>
    <dxf>
      <font>
        <color rgb="FFC00000"/>
      </font>
    </dxf>
    <dxf>
      <font>
        <color rgb="FF0000FF"/>
      </font>
    </dxf>
    <dxf>
      <font>
        <color rgb="FFFF0000"/>
      </font>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rgb="FFC00000"/>
      </font>
    </dxf>
    <dxf>
      <font>
        <color rgb="FF0000FF"/>
      </font>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ill>
        <patternFill patternType="none">
          <bgColor auto="1"/>
        </patternFill>
      </fill>
    </dxf>
    <dxf>
      <font>
        <color rgb="FFFF0000"/>
      </font>
    </dxf>
    <dxf>
      <font>
        <color rgb="FF0000FF"/>
      </font>
    </dxf>
    <dxf>
      <font>
        <color rgb="FF0000FF"/>
      </font>
    </dxf>
    <dxf>
      <font>
        <color rgb="FF0000FF"/>
      </font>
    </dxf>
    <dxf>
      <font>
        <color rgb="FFC00000"/>
      </font>
    </dxf>
    <dxf>
      <font>
        <color rgb="FF0000FF"/>
      </font>
    </dxf>
    <dxf>
      <font>
        <color rgb="FFFF0000"/>
      </font>
    </dxf>
    <dxf>
      <font>
        <color auto="1"/>
      </font>
      <fill>
        <patternFill patternType="none">
          <bgColor auto="1"/>
        </patternFill>
      </fill>
    </dxf>
    <dxf>
      <font>
        <color auto="1"/>
      </font>
      <fill>
        <patternFill patternType="none">
          <bgColor auto="1"/>
        </patternFill>
      </fill>
    </dxf>
    <dxf>
      <font>
        <color rgb="FFC00000"/>
      </font>
    </dxf>
    <dxf>
      <font>
        <color rgb="FF0000FF"/>
      </font>
    </dxf>
    <dxf>
      <font>
        <color auto="1"/>
      </font>
      <fill>
        <patternFill patternType="none">
          <bgColor auto="1"/>
        </patternFill>
      </fill>
    </dxf>
    <dxf>
      <font>
        <color auto="1"/>
      </font>
      <fill>
        <patternFill patternType="none">
          <bgColor auto="1"/>
        </patternFill>
      </fill>
    </dxf>
    <dxf>
      <font>
        <color rgb="FFFF0000"/>
      </font>
    </dxf>
    <dxf>
      <border>
        <right style="thin">
          <color rgb="FFFF0000"/>
        </right>
        <vertical/>
        <horizontal/>
      </border>
    </dxf>
    <dxf>
      <border>
        <right style="thin">
          <color rgb="FFFF0000"/>
        </right>
        <vertical/>
        <horizontal/>
      </border>
    </dxf>
    <dxf>
      <border>
        <bottom style="thin">
          <color rgb="FFFF0000"/>
        </bottom>
        <vertical/>
        <horizontal/>
      </border>
    </dxf>
    <dxf>
      <border>
        <left style="thin">
          <color rgb="FFFF0000"/>
        </left>
        <vertical/>
        <horizontal/>
      </border>
    </dxf>
    <dxf>
      <fill>
        <patternFill patternType="none">
          <bgColor auto="1"/>
        </patternFill>
      </fill>
      <border>
        <left/>
        <right/>
        <top style="thin">
          <color rgb="FFFF0000"/>
        </top>
        <bottom/>
        <vertical/>
        <horizontal/>
      </border>
    </dxf>
    <dxf>
      <border>
        <bottom style="thin">
          <color rgb="FFFF0000"/>
        </bottom>
        <vertical/>
        <horizontal/>
      </border>
    </dxf>
    <dxf>
      <border>
        <left style="thin">
          <color rgb="FFFF0000"/>
        </left>
        <vertical/>
        <horizontal/>
      </border>
    </dxf>
    <dxf>
      <fill>
        <patternFill patternType="none">
          <bgColor auto="1"/>
        </patternFill>
      </fill>
      <border>
        <left/>
        <right/>
        <top style="thin">
          <color rgb="FFFF0000"/>
        </top>
        <bottom/>
        <vertical/>
        <horizontal/>
      </border>
    </dxf>
    <dxf>
      <font>
        <color theme="5"/>
      </font>
    </dxf>
    <dxf>
      <font>
        <color rgb="FFC00000"/>
      </font>
    </dxf>
    <dxf>
      <font>
        <color auto="1"/>
      </font>
    </dxf>
    <dxf>
      <font>
        <color rgb="FFC00000"/>
      </font>
    </dxf>
    <dxf>
      <font>
        <color rgb="FFC00000"/>
      </font>
    </dxf>
    <dxf>
      <font>
        <color rgb="FFC00000"/>
      </font>
    </dxf>
    <dxf>
      <font>
        <color rgb="FFC00000"/>
      </font>
    </dxf>
    <dxf>
      <font>
        <color rgb="FFFF0000"/>
      </font>
      <fill>
        <patternFill>
          <bgColor rgb="FFFFFF00"/>
        </patternFill>
      </fill>
    </dxf>
    <dxf>
      <fill>
        <patternFill patternType="solid">
          <bgColor rgb="FFFFFF00"/>
        </patternFill>
      </fill>
    </dxf>
    <dxf>
      <border>
        <right style="thin">
          <color rgb="FFFF0000"/>
        </right>
        <vertical/>
        <horizontal/>
      </border>
    </dxf>
    <dxf>
      <border>
        <bottom style="thin">
          <color rgb="FFFF0000"/>
        </bottom>
        <vertical/>
        <horizontal/>
      </border>
    </dxf>
    <dxf>
      <fill>
        <patternFill patternType="none">
          <bgColor auto="1"/>
        </patternFill>
      </fill>
      <border>
        <left/>
        <right/>
        <top style="thin">
          <color rgb="FFFF0000"/>
        </top>
        <bottom/>
        <vertical/>
        <horizontal/>
      </border>
    </dxf>
    <dxf>
      <border>
        <left style="thin">
          <color rgb="FFFF0000"/>
        </left>
        <vertical/>
        <horizontal/>
      </border>
    </dxf>
    <dxf>
      <font>
        <color rgb="FFFF0000"/>
      </font>
    </dxf>
    <dxf>
      <font>
        <color auto="1"/>
      </font>
      <fill>
        <patternFill patternType="none">
          <bgColor auto="1"/>
        </patternFill>
      </fill>
    </dxf>
    <dxf>
      <font>
        <color auto="1"/>
      </font>
      <fill>
        <patternFill patternType="none">
          <bgColor auto="1"/>
        </patternFill>
      </fill>
    </dxf>
    <dxf>
      <font>
        <color rgb="FF7030A0"/>
      </font>
    </dxf>
    <dxf>
      <font>
        <color rgb="FFC00000"/>
      </font>
    </dxf>
    <dxf>
      <border>
        <right style="thin">
          <color rgb="FFFF0000"/>
        </right>
        <vertical/>
        <horizontal/>
      </border>
    </dxf>
    <dxf>
      <border>
        <bottom style="thin">
          <color rgb="FFFF0000"/>
        </bottom>
        <vertical/>
        <horizontal/>
      </border>
    </dxf>
    <dxf>
      <border>
        <left style="thin">
          <color rgb="FFFF0000"/>
        </left>
        <vertical/>
        <horizontal/>
      </border>
    </dxf>
    <dxf>
      <border>
        <top style="thin">
          <color rgb="FFFF0000"/>
        </top>
        <vertical/>
        <horizontal/>
      </border>
    </dxf>
    <dxf>
      <font>
        <color auto="1"/>
      </font>
      <fill>
        <patternFill patternType="none">
          <bgColor auto="1"/>
        </patternFill>
      </fill>
    </dxf>
    <dxf>
      <font>
        <color rgb="FF9C0006"/>
      </font>
      <fill>
        <patternFill>
          <bgColor rgb="FFFFC7CE"/>
        </patternFill>
      </fill>
    </dxf>
    <dxf>
      <font>
        <color rgb="FFFF0000"/>
      </font>
      <fill>
        <patternFill patternType="lightUp">
          <bgColor auto="1"/>
        </patternFill>
      </fill>
    </dxf>
    <dxf>
      <fill>
        <patternFill patternType="none">
          <bgColor auto="1"/>
        </patternFill>
      </fill>
    </dxf>
    <dxf>
      <border>
        <left/>
        <right/>
        <top/>
        <vertical/>
        <horizontal/>
      </border>
    </dxf>
    <dxf>
      <font>
        <color rgb="FFFF0000"/>
      </font>
      <fill>
        <patternFill patternType="lightUp">
          <fgColor auto="1"/>
          <bgColor auto="1"/>
        </patternFill>
      </fill>
    </dxf>
    <dxf>
      <fill>
        <patternFill patternType="none">
          <bgColor auto="1"/>
        </patternFill>
      </fill>
    </dxf>
    <dxf>
      <font>
        <color rgb="FFFF0000"/>
      </font>
      <fill>
        <patternFill patternType="lightUp">
          <bgColor auto="1"/>
        </patternFill>
      </fill>
    </dxf>
    <dxf>
      <fill>
        <patternFill patternType="none">
          <bgColor auto="1"/>
        </patternFill>
      </fill>
    </dxf>
    <dxf>
      <font>
        <color rgb="FFFF0000"/>
      </font>
      <fill>
        <patternFill patternType="lightUp">
          <bgColor auto="1"/>
        </patternFill>
      </fill>
    </dxf>
    <dxf>
      <fill>
        <patternFill patternType="none">
          <bgColor auto="1"/>
        </patternFill>
      </fill>
    </dxf>
    <dxf>
      <fill>
        <patternFill>
          <bgColor theme="9" tint="0.79998168889431442"/>
        </patternFill>
      </fill>
    </dxf>
    <dxf>
      <border>
        <left/>
        <right/>
        <top/>
        <vertical/>
        <horizontal/>
      </border>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strike val="0"/>
        <color theme="5" tint="-0.24994659260841701"/>
      </font>
    </dxf>
    <dxf>
      <font>
        <strike val="0"/>
        <color theme="5" tint="-0.24994659260841701"/>
      </font>
    </dxf>
    <dxf>
      <font>
        <strike val="0"/>
        <color theme="5" tint="-0.24994659260841701"/>
      </font>
    </dxf>
    <dxf>
      <font>
        <strike val="0"/>
        <color theme="5" tint="-0.24994659260841701"/>
      </font>
    </dxf>
    <dxf>
      <font>
        <color theme="5" tint="-0.24994659260841701"/>
      </font>
    </dxf>
    <dxf>
      <font>
        <color theme="0"/>
      </font>
    </dxf>
    <dxf>
      <font>
        <color theme="0"/>
      </font>
    </dxf>
    <dxf>
      <font>
        <color theme="5" tint="-0.24994659260841701"/>
      </font>
    </dxf>
    <dxf>
      <font>
        <color theme="0"/>
      </font>
    </dxf>
    <dxf>
      <font>
        <color theme="0"/>
      </font>
    </dxf>
    <dxf>
      <font>
        <color rgb="FF7030A0"/>
      </font>
    </dxf>
    <dxf>
      <font>
        <color theme="0"/>
      </font>
    </dxf>
    <dxf>
      <font>
        <color theme="0"/>
      </font>
    </dxf>
  </dxfs>
  <tableStyles count="0" defaultTableStyle="TableStyleMedium9" defaultPivotStyle="PivotStyleLight16"/>
  <colors>
    <mruColors>
      <color rgb="FFFFFFDD"/>
      <color rgb="FF0000FF"/>
      <color rgb="FFFFFFFB"/>
      <color rgb="FFFFFFF3"/>
      <color rgb="FFE8F5F8"/>
      <color rgb="FFF9FCFD"/>
      <color rgb="FFEDF7F9"/>
      <color rgb="FFFFFFF7"/>
      <color rgb="FFFFFFE5"/>
      <color rgb="FFFFFFE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sharedStrings" Target="sharedStrings.xml"/><Relationship Id="rId35" Type="http://schemas.openxmlformats.org/officeDocument/2006/relationships/customXml" Target="../customXml/item3.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smoothMarker"/>
        <c:varyColors val="0"/>
        <c:ser>
          <c:idx val="3"/>
          <c:order val="0"/>
          <c:tx>
            <c:v>3.5 Dia</c:v>
          </c:tx>
          <c:spPr>
            <a:ln w="12700">
              <a:solidFill>
                <a:schemeClr val="tx1"/>
              </a:solidFill>
            </a:ln>
          </c:spPr>
          <c:xVal>
            <c:numRef>
              <c:f>'Est Steel Vol'!$U$102:$U$103</c:f>
              <c:numCache>
                <c:formatCode>0.000</c:formatCode>
                <c:ptCount val="2"/>
                <c:pt idx="0" formatCode="0">
                  <c:v>0</c:v>
                </c:pt>
                <c:pt idx="1">
                  <c:v>0.29181964706106867</c:v>
                </c:pt>
              </c:numCache>
            </c:numRef>
          </c:xVal>
          <c:yVal>
            <c:numRef>
              <c:f>'Est Steel Vol'!$V$102:$V$103</c:f>
              <c:numCache>
                <c:formatCode>0.00</c:formatCode>
                <c:ptCount val="2"/>
                <c:pt idx="0" formatCode="General">
                  <c:v>0</c:v>
                </c:pt>
                <c:pt idx="1">
                  <c:v>40</c:v>
                </c:pt>
              </c:numCache>
            </c:numRef>
          </c:yVal>
          <c:smooth val="1"/>
          <c:extLst>
            <c:ext xmlns:c16="http://schemas.microsoft.com/office/drawing/2014/chart" uri="{C3380CC4-5D6E-409C-BE32-E72D297353CC}">
              <c16:uniqueId val="{00000000-4523-4BAD-9A85-70FF39CB8A04}"/>
            </c:ext>
          </c:extLst>
        </c:ser>
        <c:ser>
          <c:idx val="1"/>
          <c:order val="1"/>
          <c:tx>
            <c:v>4.0 Dia</c:v>
          </c:tx>
          <c:spPr>
            <a:ln w="12700"/>
          </c:spPr>
          <c:marker>
            <c:symbol val="square"/>
            <c:size val="3"/>
          </c:marker>
          <c:xVal>
            <c:numRef>
              <c:f>'Est Steel Vol'!$X$102:$X$103</c:f>
              <c:numCache>
                <c:formatCode>0.000</c:formatCode>
                <c:ptCount val="2"/>
                <c:pt idx="0" formatCode="0">
                  <c:v>0</c:v>
                </c:pt>
                <c:pt idx="1">
                  <c:v>0.36211745066018031</c:v>
                </c:pt>
              </c:numCache>
            </c:numRef>
          </c:xVal>
          <c:yVal>
            <c:numRef>
              <c:f>'Est Steel Vol'!$Y$102:$Y$103</c:f>
              <c:numCache>
                <c:formatCode>0.00</c:formatCode>
                <c:ptCount val="2"/>
                <c:pt idx="0" formatCode="General">
                  <c:v>0</c:v>
                </c:pt>
                <c:pt idx="1">
                  <c:v>40</c:v>
                </c:pt>
              </c:numCache>
            </c:numRef>
          </c:yVal>
          <c:smooth val="1"/>
          <c:extLst>
            <c:ext xmlns:c16="http://schemas.microsoft.com/office/drawing/2014/chart" uri="{C3380CC4-5D6E-409C-BE32-E72D297353CC}">
              <c16:uniqueId val="{00000001-4523-4BAD-9A85-70FF39CB8A04}"/>
            </c:ext>
          </c:extLst>
        </c:ser>
        <c:ser>
          <c:idx val="0"/>
          <c:order val="2"/>
          <c:tx>
            <c:v>4.5 Dia</c:v>
          </c:tx>
          <c:spPr>
            <a:ln w="12700">
              <a:solidFill>
                <a:srgbClr val="0000FF"/>
              </a:solidFill>
            </a:ln>
          </c:spPr>
          <c:marker>
            <c:symbol val="diamond"/>
            <c:size val="3"/>
          </c:marker>
          <c:xVal>
            <c:numRef>
              <c:f>'Est Steel Vol'!$AA$102:$AA$103</c:f>
              <c:numCache>
                <c:formatCode>0.000</c:formatCode>
                <c:ptCount val="2"/>
                <c:pt idx="0" formatCode="General">
                  <c:v>0</c:v>
                </c:pt>
                <c:pt idx="1">
                  <c:v>0.42836941608737894</c:v>
                </c:pt>
              </c:numCache>
            </c:numRef>
          </c:xVal>
          <c:yVal>
            <c:numRef>
              <c:f>'Est Steel Vol'!$AB$102:$AB$103</c:f>
              <c:numCache>
                <c:formatCode>0.00</c:formatCode>
                <c:ptCount val="2"/>
                <c:pt idx="0" formatCode="General">
                  <c:v>0</c:v>
                </c:pt>
                <c:pt idx="1">
                  <c:v>40</c:v>
                </c:pt>
              </c:numCache>
            </c:numRef>
          </c:yVal>
          <c:smooth val="1"/>
          <c:extLst>
            <c:ext xmlns:c16="http://schemas.microsoft.com/office/drawing/2014/chart" uri="{C3380CC4-5D6E-409C-BE32-E72D297353CC}">
              <c16:uniqueId val="{00000002-4523-4BAD-9A85-70FF39CB8A04}"/>
            </c:ext>
          </c:extLst>
        </c:ser>
        <c:ser>
          <c:idx val="2"/>
          <c:order val="3"/>
          <c:tx>
            <c:v>5.0 Dia</c:v>
          </c:tx>
          <c:spPr>
            <a:ln w="12700">
              <a:solidFill>
                <a:srgbClr val="006600"/>
              </a:solidFill>
            </a:ln>
          </c:spPr>
          <c:marker>
            <c:symbol val="triangle"/>
            <c:size val="3"/>
            <c:spPr>
              <a:ln>
                <a:solidFill>
                  <a:srgbClr val="006600"/>
                </a:solidFill>
              </a:ln>
            </c:spPr>
          </c:marker>
          <c:xVal>
            <c:numRef>
              <c:f>'Est Steel Vol'!$AD$102:$AD$103</c:f>
              <c:numCache>
                <c:formatCode>0.000</c:formatCode>
                <c:ptCount val="2"/>
                <c:pt idx="0" formatCode="General">
                  <c:v>0</c:v>
                </c:pt>
                <c:pt idx="1">
                  <c:v>0.47287840567061196</c:v>
                </c:pt>
              </c:numCache>
            </c:numRef>
          </c:xVal>
          <c:yVal>
            <c:numRef>
              <c:f>'Est Steel Vol'!$AE$102:$AE$103</c:f>
              <c:numCache>
                <c:formatCode>0.00</c:formatCode>
                <c:ptCount val="2"/>
                <c:pt idx="0" formatCode="General">
                  <c:v>0</c:v>
                </c:pt>
                <c:pt idx="1">
                  <c:v>40</c:v>
                </c:pt>
              </c:numCache>
            </c:numRef>
          </c:yVal>
          <c:smooth val="1"/>
          <c:extLst>
            <c:ext xmlns:c16="http://schemas.microsoft.com/office/drawing/2014/chart" uri="{C3380CC4-5D6E-409C-BE32-E72D297353CC}">
              <c16:uniqueId val="{00000003-4523-4BAD-9A85-70FF39CB8A04}"/>
            </c:ext>
          </c:extLst>
        </c:ser>
        <c:dLbls>
          <c:showLegendKey val="0"/>
          <c:showVal val="0"/>
          <c:showCatName val="0"/>
          <c:showSerName val="0"/>
          <c:showPercent val="0"/>
          <c:showBubbleSize val="0"/>
        </c:dLbls>
        <c:axId val="465810528"/>
        <c:axId val="465806216"/>
      </c:scatterChart>
      <c:valAx>
        <c:axId val="465810528"/>
        <c:scaling>
          <c:orientation val="minMax"/>
        </c:scaling>
        <c:delete val="0"/>
        <c:axPos val="b"/>
        <c:majorGridlines/>
        <c:minorGridlines/>
        <c:title>
          <c:tx>
            <c:rich>
              <a:bodyPr/>
              <a:lstStyle/>
              <a:p>
                <a:pPr>
                  <a:defRPr sz="1000" b="0" i="0" u="none" strike="noStrike" baseline="0">
                    <a:solidFill>
                      <a:srgbClr val="000000"/>
                    </a:solidFill>
                    <a:latin typeface="Arial"/>
                    <a:ea typeface="Arial"/>
                    <a:cs typeface="Arial"/>
                  </a:defRPr>
                </a:pPr>
                <a:r>
                  <a:rPr lang="en-US" sz="1200" b="0" i="0" strike="noStrike">
                    <a:solidFill>
                      <a:srgbClr val="000000"/>
                    </a:solidFill>
                    <a:latin typeface="Arial"/>
                    <a:cs typeface="Arial"/>
                  </a:rPr>
                  <a:t>Est. Steel Volume (cu yds)</a:t>
                </a:r>
              </a:p>
              <a:p>
                <a:pPr>
                  <a:defRPr sz="1000" b="0" i="0" u="none" strike="noStrike" baseline="0">
                    <a:solidFill>
                      <a:srgbClr val="000000"/>
                    </a:solidFill>
                    <a:latin typeface="Arial"/>
                    <a:ea typeface="Arial"/>
                    <a:cs typeface="Arial"/>
                  </a:defRPr>
                </a:pPr>
                <a:r>
                  <a:rPr lang="en-US" sz="800" b="0" i="0" strike="noStrike">
                    <a:solidFill>
                      <a:srgbClr val="000000"/>
                    </a:solidFill>
                    <a:latin typeface="Arial"/>
                    <a:cs typeface="Arial"/>
                  </a:rPr>
                  <a:t>(incl. Rebar Cage &amp; CSL Tubes)</a:t>
                </a:r>
              </a:p>
            </c:rich>
          </c:tx>
          <c:layout>
            <c:manualLayout>
              <c:xMode val="edge"/>
              <c:yMode val="edge"/>
              <c:x val="0.37768855541317581"/>
              <c:y val="0.9289899156252277"/>
            </c:manualLayout>
          </c:layout>
          <c:overlay val="0"/>
        </c:title>
        <c:numFmt formatCode="0.0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465806216"/>
        <c:crosses val="autoZero"/>
        <c:crossBetween val="midCat"/>
      </c:valAx>
      <c:valAx>
        <c:axId val="465806216"/>
        <c:scaling>
          <c:orientation val="minMax"/>
        </c:scaling>
        <c:delete val="0"/>
        <c:axPos val="l"/>
        <c:majorGridlines>
          <c:spPr>
            <a:ln w="3175">
              <a:solidFill>
                <a:srgbClr val="000000"/>
              </a:solidFill>
              <a:prstDash val="solid"/>
            </a:ln>
          </c:spPr>
        </c:majorGridlines>
        <c:minorGridlines/>
        <c:title>
          <c:tx>
            <c:rich>
              <a:bodyPr/>
              <a:lstStyle/>
              <a:p>
                <a:pPr>
                  <a:defRPr sz="1200" b="0" i="0" u="none" strike="noStrike" baseline="0">
                    <a:solidFill>
                      <a:srgbClr val="000000"/>
                    </a:solidFill>
                    <a:latin typeface="Arial"/>
                    <a:ea typeface="Arial"/>
                    <a:cs typeface="Arial"/>
                  </a:defRPr>
                </a:pPr>
                <a:r>
                  <a:rPr lang="en-US"/>
                  <a:t>Shaft Length  (ft)</a:t>
                </a:r>
              </a:p>
            </c:rich>
          </c:tx>
          <c:overlay val="0"/>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465810528"/>
        <c:crosses val="autoZero"/>
        <c:crossBetween val="midCat"/>
      </c:valAx>
      <c:spPr>
        <a:noFill/>
        <a:ln w="25400">
          <a:noFill/>
        </a:ln>
      </c:spPr>
    </c:plotArea>
    <c:legend>
      <c:legendPos val="t"/>
      <c:layout>
        <c:manualLayout>
          <c:xMode val="edge"/>
          <c:yMode val="edge"/>
          <c:x val="0.13291636542094837"/>
          <c:y val="7.9152880414106924E-2"/>
          <c:w val="0.58105296970051379"/>
          <c:h val="3.5498749733052774E-2"/>
        </c:manualLayout>
      </c:layout>
      <c:overlay val="0"/>
      <c:spPr>
        <a:solidFill>
          <a:srgbClr val="FFFFFF"/>
        </a:solidFill>
        <a:ln w="3175">
          <a:solidFill>
            <a:srgbClr val="000000"/>
          </a:solidFill>
          <a:prstDash val="solid"/>
        </a:ln>
      </c:spPr>
      <c:txPr>
        <a:bodyPr/>
        <a:lstStyle/>
        <a:p>
          <a:pPr>
            <a:defRPr sz="110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0.25" l="0.25" r="0.25" t="0.25" header="0.25" footer="0.25"/>
    <c:pageSetup orientation="landscape"/>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smoothMarker"/>
        <c:varyColors val="0"/>
        <c:ser>
          <c:idx val="3"/>
          <c:order val="0"/>
          <c:tx>
            <c:v>3.5 Dia</c:v>
          </c:tx>
          <c:spPr>
            <a:ln w="12700">
              <a:solidFill>
                <a:schemeClr val="tx1"/>
              </a:solidFill>
            </a:ln>
          </c:spPr>
          <c:xVal>
            <c:numRef>
              <c:f>'Est Steel Vol'!$U$102:$U$103</c:f>
              <c:numCache>
                <c:formatCode>0.000</c:formatCode>
                <c:ptCount val="2"/>
                <c:pt idx="0" formatCode="0">
                  <c:v>0</c:v>
                </c:pt>
                <c:pt idx="1">
                  <c:v>0.29181964706106867</c:v>
                </c:pt>
              </c:numCache>
            </c:numRef>
          </c:xVal>
          <c:yVal>
            <c:numRef>
              <c:f>'Est Steel Vol'!$V$102:$V$103</c:f>
              <c:numCache>
                <c:formatCode>0.00</c:formatCode>
                <c:ptCount val="2"/>
                <c:pt idx="0" formatCode="General">
                  <c:v>0</c:v>
                </c:pt>
                <c:pt idx="1">
                  <c:v>40</c:v>
                </c:pt>
              </c:numCache>
            </c:numRef>
          </c:yVal>
          <c:smooth val="1"/>
          <c:extLst>
            <c:ext xmlns:c16="http://schemas.microsoft.com/office/drawing/2014/chart" uri="{C3380CC4-5D6E-409C-BE32-E72D297353CC}">
              <c16:uniqueId val="{00000000-206A-4D11-B7F0-85FDF0F7497E}"/>
            </c:ext>
          </c:extLst>
        </c:ser>
        <c:ser>
          <c:idx val="1"/>
          <c:order val="1"/>
          <c:tx>
            <c:v>4.0 Dia</c:v>
          </c:tx>
          <c:spPr>
            <a:ln w="12700"/>
          </c:spPr>
          <c:marker>
            <c:symbol val="square"/>
            <c:size val="3"/>
          </c:marker>
          <c:xVal>
            <c:numRef>
              <c:f>'Est Steel Vol'!$X$102:$X$103</c:f>
              <c:numCache>
                <c:formatCode>0.000</c:formatCode>
                <c:ptCount val="2"/>
                <c:pt idx="0" formatCode="0">
                  <c:v>0</c:v>
                </c:pt>
                <c:pt idx="1">
                  <c:v>0.36211745066018031</c:v>
                </c:pt>
              </c:numCache>
            </c:numRef>
          </c:xVal>
          <c:yVal>
            <c:numRef>
              <c:f>'Est Steel Vol'!$Y$102:$Y$103</c:f>
              <c:numCache>
                <c:formatCode>0.00</c:formatCode>
                <c:ptCount val="2"/>
                <c:pt idx="0" formatCode="General">
                  <c:v>0</c:v>
                </c:pt>
                <c:pt idx="1">
                  <c:v>40</c:v>
                </c:pt>
              </c:numCache>
            </c:numRef>
          </c:yVal>
          <c:smooth val="1"/>
          <c:extLst>
            <c:ext xmlns:c16="http://schemas.microsoft.com/office/drawing/2014/chart" uri="{C3380CC4-5D6E-409C-BE32-E72D297353CC}">
              <c16:uniqueId val="{00000001-206A-4D11-B7F0-85FDF0F7497E}"/>
            </c:ext>
          </c:extLst>
        </c:ser>
        <c:ser>
          <c:idx val="0"/>
          <c:order val="2"/>
          <c:tx>
            <c:v>4.5 Dia</c:v>
          </c:tx>
          <c:spPr>
            <a:ln w="12700">
              <a:solidFill>
                <a:srgbClr val="0000FF"/>
              </a:solidFill>
            </a:ln>
          </c:spPr>
          <c:marker>
            <c:symbol val="diamond"/>
            <c:size val="3"/>
          </c:marker>
          <c:xVal>
            <c:numRef>
              <c:f>'Est Steel Vol'!$AA$102:$AA$103</c:f>
              <c:numCache>
                <c:formatCode>0.000</c:formatCode>
                <c:ptCount val="2"/>
                <c:pt idx="0" formatCode="General">
                  <c:v>0</c:v>
                </c:pt>
                <c:pt idx="1">
                  <c:v>0.42836941608737894</c:v>
                </c:pt>
              </c:numCache>
            </c:numRef>
          </c:xVal>
          <c:yVal>
            <c:numRef>
              <c:f>'Est Steel Vol'!$AB$102:$AB$103</c:f>
              <c:numCache>
                <c:formatCode>0.00</c:formatCode>
                <c:ptCount val="2"/>
                <c:pt idx="0" formatCode="General">
                  <c:v>0</c:v>
                </c:pt>
                <c:pt idx="1">
                  <c:v>40</c:v>
                </c:pt>
              </c:numCache>
            </c:numRef>
          </c:yVal>
          <c:smooth val="1"/>
          <c:extLst>
            <c:ext xmlns:c16="http://schemas.microsoft.com/office/drawing/2014/chart" uri="{C3380CC4-5D6E-409C-BE32-E72D297353CC}">
              <c16:uniqueId val="{00000002-206A-4D11-B7F0-85FDF0F7497E}"/>
            </c:ext>
          </c:extLst>
        </c:ser>
        <c:ser>
          <c:idx val="2"/>
          <c:order val="3"/>
          <c:tx>
            <c:v>5.0 Dia</c:v>
          </c:tx>
          <c:spPr>
            <a:ln w="12700">
              <a:solidFill>
                <a:srgbClr val="006600"/>
              </a:solidFill>
            </a:ln>
          </c:spPr>
          <c:marker>
            <c:symbol val="triangle"/>
            <c:size val="3"/>
            <c:spPr>
              <a:ln>
                <a:solidFill>
                  <a:srgbClr val="006600"/>
                </a:solidFill>
              </a:ln>
            </c:spPr>
          </c:marker>
          <c:xVal>
            <c:numRef>
              <c:f>'Est Steel Vol'!$AD$102:$AD$103</c:f>
              <c:numCache>
                <c:formatCode>0.000</c:formatCode>
                <c:ptCount val="2"/>
                <c:pt idx="0" formatCode="General">
                  <c:v>0</c:v>
                </c:pt>
                <c:pt idx="1">
                  <c:v>0.47287840567061196</c:v>
                </c:pt>
              </c:numCache>
            </c:numRef>
          </c:xVal>
          <c:yVal>
            <c:numRef>
              <c:f>'Est Steel Vol'!$AE$102:$AE$103</c:f>
              <c:numCache>
                <c:formatCode>0.00</c:formatCode>
                <c:ptCount val="2"/>
                <c:pt idx="0" formatCode="General">
                  <c:v>0</c:v>
                </c:pt>
                <c:pt idx="1">
                  <c:v>40</c:v>
                </c:pt>
              </c:numCache>
            </c:numRef>
          </c:yVal>
          <c:smooth val="1"/>
          <c:extLst>
            <c:ext xmlns:c16="http://schemas.microsoft.com/office/drawing/2014/chart" uri="{C3380CC4-5D6E-409C-BE32-E72D297353CC}">
              <c16:uniqueId val="{00000003-206A-4D11-B7F0-85FDF0F7497E}"/>
            </c:ext>
          </c:extLst>
        </c:ser>
        <c:dLbls>
          <c:showLegendKey val="0"/>
          <c:showVal val="0"/>
          <c:showCatName val="0"/>
          <c:showSerName val="0"/>
          <c:showPercent val="0"/>
          <c:showBubbleSize val="0"/>
        </c:dLbls>
        <c:axId val="465813664"/>
        <c:axId val="465812488"/>
      </c:scatterChart>
      <c:valAx>
        <c:axId val="465813664"/>
        <c:scaling>
          <c:orientation val="minMax"/>
        </c:scaling>
        <c:delete val="0"/>
        <c:axPos val="b"/>
        <c:majorGridlines/>
        <c:minorGridlines/>
        <c:title>
          <c:tx>
            <c:rich>
              <a:bodyPr/>
              <a:lstStyle/>
              <a:p>
                <a:pPr>
                  <a:defRPr sz="1000" b="0" i="0" u="none" strike="noStrike" baseline="0">
                    <a:solidFill>
                      <a:srgbClr val="000000"/>
                    </a:solidFill>
                    <a:latin typeface="Arial"/>
                    <a:ea typeface="Arial"/>
                    <a:cs typeface="Arial"/>
                  </a:defRPr>
                </a:pPr>
                <a:r>
                  <a:rPr lang="en-US" sz="1200" b="0" i="0" strike="noStrike">
                    <a:solidFill>
                      <a:srgbClr val="000000"/>
                    </a:solidFill>
                    <a:latin typeface="Arial"/>
                    <a:cs typeface="Arial"/>
                  </a:rPr>
                  <a:t>Est. Steel Volume (cu yds)</a:t>
                </a:r>
              </a:p>
              <a:p>
                <a:pPr>
                  <a:defRPr sz="1000" b="0" i="0" u="none" strike="noStrike" baseline="0">
                    <a:solidFill>
                      <a:srgbClr val="000000"/>
                    </a:solidFill>
                    <a:latin typeface="Arial"/>
                    <a:ea typeface="Arial"/>
                    <a:cs typeface="Arial"/>
                  </a:defRPr>
                </a:pPr>
                <a:r>
                  <a:rPr lang="en-US" sz="800" b="0" i="0" strike="noStrike">
                    <a:solidFill>
                      <a:srgbClr val="000000"/>
                    </a:solidFill>
                    <a:latin typeface="Arial"/>
                    <a:cs typeface="Arial"/>
                  </a:rPr>
                  <a:t>(incl. Rebar Cage &amp; CSL Tubes)</a:t>
                </a:r>
              </a:p>
            </c:rich>
          </c:tx>
          <c:layout>
            <c:manualLayout>
              <c:xMode val="edge"/>
              <c:yMode val="edge"/>
              <c:x val="0.37768855541317581"/>
              <c:y val="0.9289899156252277"/>
            </c:manualLayout>
          </c:layout>
          <c:overlay val="0"/>
        </c:title>
        <c:numFmt formatCode="0.0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465812488"/>
        <c:crosses val="autoZero"/>
        <c:crossBetween val="midCat"/>
      </c:valAx>
      <c:valAx>
        <c:axId val="465812488"/>
        <c:scaling>
          <c:orientation val="minMax"/>
        </c:scaling>
        <c:delete val="0"/>
        <c:axPos val="l"/>
        <c:majorGridlines>
          <c:spPr>
            <a:ln w="3175">
              <a:solidFill>
                <a:srgbClr val="000000"/>
              </a:solidFill>
              <a:prstDash val="solid"/>
            </a:ln>
          </c:spPr>
        </c:majorGridlines>
        <c:minorGridlines/>
        <c:title>
          <c:tx>
            <c:rich>
              <a:bodyPr/>
              <a:lstStyle/>
              <a:p>
                <a:pPr>
                  <a:defRPr sz="1200" b="0" i="0" u="none" strike="noStrike" baseline="0">
                    <a:solidFill>
                      <a:srgbClr val="000000"/>
                    </a:solidFill>
                    <a:latin typeface="Arial"/>
                    <a:ea typeface="Arial"/>
                    <a:cs typeface="Arial"/>
                  </a:defRPr>
                </a:pPr>
                <a:r>
                  <a:rPr lang="en-US"/>
                  <a:t>Shaft Length  (ft)</a:t>
                </a:r>
              </a:p>
            </c:rich>
          </c:tx>
          <c:overlay val="0"/>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465813664"/>
        <c:crosses val="autoZero"/>
        <c:crossBetween val="midCat"/>
      </c:valAx>
      <c:spPr>
        <a:noFill/>
        <a:ln w="25400">
          <a:noFill/>
        </a:ln>
      </c:spPr>
    </c:plotArea>
    <c:legend>
      <c:legendPos val="t"/>
      <c:layout>
        <c:manualLayout>
          <c:xMode val="edge"/>
          <c:yMode val="edge"/>
          <c:x val="0.13291636542094845"/>
          <c:y val="7.9152880414106924E-2"/>
          <c:w val="0.23250522231328888"/>
          <c:h val="2.9985481763581068E-2"/>
        </c:manualLayout>
      </c:layout>
      <c:overlay val="0"/>
      <c:spPr>
        <a:solidFill>
          <a:srgbClr val="FFFFFF"/>
        </a:solidFill>
        <a:ln w="3175">
          <a:solidFill>
            <a:srgbClr val="000000"/>
          </a:solidFill>
          <a:prstDash val="solid"/>
        </a:ln>
      </c:spPr>
      <c:txPr>
        <a:bodyPr/>
        <a:lstStyle/>
        <a:p>
          <a:pPr>
            <a:defRPr sz="84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0.25" l="0.25" r="0.25" t="0.25" header="0.25" footer="0.25"/>
    <c:pageSetup orientation="landscape"/>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4192068728532682E-2"/>
          <c:y val="5.5610458007707898E-2"/>
          <c:w val="0.92591766633913553"/>
          <c:h val="0.82057702451302506"/>
        </c:manualLayout>
      </c:layout>
      <c:scatterChart>
        <c:scatterStyle val="smoothMarker"/>
        <c:varyColors val="0"/>
        <c:ser>
          <c:idx val="3"/>
          <c:order val="0"/>
          <c:tx>
            <c:v>3.5 Dia</c:v>
          </c:tx>
          <c:spPr>
            <a:ln w="12700">
              <a:solidFill>
                <a:schemeClr val="tx1"/>
              </a:solidFill>
            </a:ln>
          </c:spPr>
          <c:xVal>
            <c:numRef>
              <c:f>'Est Steel Vol'!$U$102:$U$103</c:f>
              <c:numCache>
                <c:formatCode>0.000</c:formatCode>
                <c:ptCount val="2"/>
                <c:pt idx="0" formatCode="0">
                  <c:v>0</c:v>
                </c:pt>
                <c:pt idx="1">
                  <c:v>0.29181964706106867</c:v>
                </c:pt>
              </c:numCache>
            </c:numRef>
          </c:xVal>
          <c:yVal>
            <c:numRef>
              <c:f>'Est Steel Vol'!$V$102:$V$103</c:f>
              <c:numCache>
                <c:formatCode>0.00</c:formatCode>
                <c:ptCount val="2"/>
                <c:pt idx="0" formatCode="General">
                  <c:v>0</c:v>
                </c:pt>
                <c:pt idx="1">
                  <c:v>40</c:v>
                </c:pt>
              </c:numCache>
            </c:numRef>
          </c:yVal>
          <c:smooth val="1"/>
          <c:extLst>
            <c:ext xmlns:c16="http://schemas.microsoft.com/office/drawing/2014/chart" uri="{C3380CC4-5D6E-409C-BE32-E72D297353CC}">
              <c16:uniqueId val="{00000000-9BFF-41CE-B643-F9C77C326A15}"/>
            </c:ext>
          </c:extLst>
        </c:ser>
        <c:ser>
          <c:idx val="1"/>
          <c:order val="1"/>
          <c:tx>
            <c:v>4.0 Dia</c:v>
          </c:tx>
          <c:spPr>
            <a:ln w="12700"/>
          </c:spPr>
          <c:marker>
            <c:symbol val="square"/>
            <c:size val="3"/>
          </c:marker>
          <c:xVal>
            <c:numRef>
              <c:f>'Est Steel Vol'!$X$102:$X$103</c:f>
              <c:numCache>
                <c:formatCode>0.000</c:formatCode>
                <c:ptCount val="2"/>
                <c:pt idx="0" formatCode="0">
                  <c:v>0</c:v>
                </c:pt>
                <c:pt idx="1">
                  <c:v>0.36211745066018031</c:v>
                </c:pt>
              </c:numCache>
            </c:numRef>
          </c:xVal>
          <c:yVal>
            <c:numRef>
              <c:f>'Est Steel Vol'!$Y$102:$Y$103</c:f>
              <c:numCache>
                <c:formatCode>0.00</c:formatCode>
                <c:ptCount val="2"/>
                <c:pt idx="0" formatCode="General">
                  <c:v>0</c:v>
                </c:pt>
                <c:pt idx="1">
                  <c:v>40</c:v>
                </c:pt>
              </c:numCache>
            </c:numRef>
          </c:yVal>
          <c:smooth val="1"/>
          <c:extLst>
            <c:ext xmlns:c16="http://schemas.microsoft.com/office/drawing/2014/chart" uri="{C3380CC4-5D6E-409C-BE32-E72D297353CC}">
              <c16:uniqueId val="{00000001-9BFF-41CE-B643-F9C77C326A15}"/>
            </c:ext>
          </c:extLst>
        </c:ser>
        <c:ser>
          <c:idx val="0"/>
          <c:order val="2"/>
          <c:tx>
            <c:v>4.5 Dia</c:v>
          </c:tx>
          <c:spPr>
            <a:ln w="12700">
              <a:solidFill>
                <a:srgbClr val="0000FF"/>
              </a:solidFill>
            </a:ln>
          </c:spPr>
          <c:marker>
            <c:symbol val="diamond"/>
            <c:size val="3"/>
          </c:marker>
          <c:xVal>
            <c:numRef>
              <c:f>'Est Steel Vol'!$AA$102:$AA$103</c:f>
              <c:numCache>
                <c:formatCode>0.000</c:formatCode>
                <c:ptCount val="2"/>
                <c:pt idx="0" formatCode="General">
                  <c:v>0</c:v>
                </c:pt>
                <c:pt idx="1">
                  <c:v>0.42836941608737894</c:v>
                </c:pt>
              </c:numCache>
            </c:numRef>
          </c:xVal>
          <c:yVal>
            <c:numRef>
              <c:f>'Est Steel Vol'!$AB$102:$AB$103</c:f>
              <c:numCache>
                <c:formatCode>0.00</c:formatCode>
                <c:ptCount val="2"/>
                <c:pt idx="0" formatCode="General">
                  <c:v>0</c:v>
                </c:pt>
                <c:pt idx="1">
                  <c:v>40</c:v>
                </c:pt>
              </c:numCache>
            </c:numRef>
          </c:yVal>
          <c:smooth val="1"/>
          <c:extLst>
            <c:ext xmlns:c16="http://schemas.microsoft.com/office/drawing/2014/chart" uri="{C3380CC4-5D6E-409C-BE32-E72D297353CC}">
              <c16:uniqueId val="{00000002-9BFF-41CE-B643-F9C77C326A15}"/>
            </c:ext>
          </c:extLst>
        </c:ser>
        <c:ser>
          <c:idx val="2"/>
          <c:order val="3"/>
          <c:tx>
            <c:v>5.0 Dia</c:v>
          </c:tx>
          <c:spPr>
            <a:ln w="12700">
              <a:solidFill>
                <a:srgbClr val="006600"/>
              </a:solidFill>
            </a:ln>
          </c:spPr>
          <c:marker>
            <c:symbol val="triangle"/>
            <c:size val="3"/>
            <c:spPr>
              <a:ln>
                <a:solidFill>
                  <a:srgbClr val="006600"/>
                </a:solidFill>
              </a:ln>
            </c:spPr>
          </c:marker>
          <c:xVal>
            <c:numRef>
              <c:f>'Est Steel Vol'!$AD$102:$AD$103</c:f>
              <c:numCache>
                <c:formatCode>0.000</c:formatCode>
                <c:ptCount val="2"/>
                <c:pt idx="0" formatCode="General">
                  <c:v>0</c:v>
                </c:pt>
                <c:pt idx="1">
                  <c:v>0.47287840567061196</c:v>
                </c:pt>
              </c:numCache>
            </c:numRef>
          </c:xVal>
          <c:yVal>
            <c:numRef>
              <c:f>'Est Steel Vol'!$AE$102:$AE$103</c:f>
              <c:numCache>
                <c:formatCode>0.00</c:formatCode>
                <c:ptCount val="2"/>
                <c:pt idx="0" formatCode="General">
                  <c:v>0</c:v>
                </c:pt>
                <c:pt idx="1">
                  <c:v>40</c:v>
                </c:pt>
              </c:numCache>
            </c:numRef>
          </c:yVal>
          <c:smooth val="1"/>
          <c:extLst>
            <c:ext xmlns:c16="http://schemas.microsoft.com/office/drawing/2014/chart" uri="{C3380CC4-5D6E-409C-BE32-E72D297353CC}">
              <c16:uniqueId val="{00000003-9BFF-41CE-B643-F9C77C326A15}"/>
            </c:ext>
          </c:extLst>
        </c:ser>
        <c:dLbls>
          <c:showLegendKey val="0"/>
          <c:showVal val="0"/>
          <c:showCatName val="0"/>
          <c:showSerName val="0"/>
          <c:showPercent val="0"/>
          <c:showBubbleSize val="0"/>
        </c:dLbls>
        <c:axId val="465805432"/>
        <c:axId val="465812096"/>
      </c:scatterChart>
      <c:valAx>
        <c:axId val="465805432"/>
        <c:scaling>
          <c:orientation val="minMax"/>
        </c:scaling>
        <c:delete val="0"/>
        <c:axPos val="b"/>
        <c:majorGridlines/>
        <c:minorGridlines/>
        <c:title>
          <c:tx>
            <c:rich>
              <a:bodyPr/>
              <a:lstStyle/>
              <a:p>
                <a:pPr>
                  <a:defRPr sz="1000" b="0" i="0" u="none" strike="noStrike" baseline="0">
                    <a:solidFill>
                      <a:srgbClr val="000000"/>
                    </a:solidFill>
                    <a:latin typeface="Arial"/>
                    <a:ea typeface="Arial"/>
                    <a:cs typeface="Arial"/>
                  </a:defRPr>
                </a:pPr>
                <a:r>
                  <a:rPr lang="en-US" sz="1200" b="0" i="0" strike="noStrike">
                    <a:solidFill>
                      <a:srgbClr val="000000"/>
                    </a:solidFill>
                    <a:latin typeface="Arial"/>
                    <a:cs typeface="Arial"/>
                  </a:rPr>
                  <a:t>Est. Steel Volume (cu yds)</a:t>
                </a:r>
              </a:p>
              <a:p>
                <a:pPr>
                  <a:defRPr sz="1000" b="0" i="0" u="none" strike="noStrike" baseline="0">
                    <a:solidFill>
                      <a:srgbClr val="000000"/>
                    </a:solidFill>
                    <a:latin typeface="Arial"/>
                    <a:ea typeface="Arial"/>
                    <a:cs typeface="Arial"/>
                  </a:defRPr>
                </a:pPr>
                <a:r>
                  <a:rPr lang="en-US" sz="800" b="0" i="0" strike="noStrike">
                    <a:solidFill>
                      <a:srgbClr val="000000"/>
                    </a:solidFill>
                    <a:latin typeface="Arial"/>
                    <a:cs typeface="Arial"/>
                  </a:rPr>
                  <a:t>(incl. Rebar Cage &amp; CSL Tubes)</a:t>
                </a:r>
              </a:p>
            </c:rich>
          </c:tx>
          <c:layout>
            <c:manualLayout>
              <c:xMode val="edge"/>
              <c:yMode val="edge"/>
              <c:x val="0.37768855541317581"/>
              <c:y val="0.9289899156252277"/>
            </c:manualLayout>
          </c:layout>
          <c:overlay val="0"/>
        </c:title>
        <c:numFmt formatCode="0.0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465812096"/>
        <c:crosses val="autoZero"/>
        <c:crossBetween val="midCat"/>
      </c:valAx>
      <c:valAx>
        <c:axId val="465812096"/>
        <c:scaling>
          <c:orientation val="minMax"/>
        </c:scaling>
        <c:delete val="0"/>
        <c:axPos val="l"/>
        <c:majorGridlines>
          <c:spPr>
            <a:ln w="3175">
              <a:solidFill>
                <a:srgbClr val="000000"/>
              </a:solidFill>
              <a:prstDash val="solid"/>
            </a:ln>
          </c:spPr>
        </c:majorGridlines>
        <c:minorGridlines/>
        <c:title>
          <c:tx>
            <c:rich>
              <a:bodyPr/>
              <a:lstStyle/>
              <a:p>
                <a:pPr>
                  <a:defRPr sz="1200" b="0" i="0" u="none" strike="noStrike" baseline="0">
                    <a:solidFill>
                      <a:srgbClr val="000000"/>
                    </a:solidFill>
                    <a:latin typeface="Arial"/>
                    <a:ea typeface="Arial"/>
                    <a:cs typeface="Arial"/>
                  </a:defRPr>
                </a:pPr>
                <a:r>
                  <a:rPr lang="en-US"/>
                  <a:t>Shaft Length  (ft)</a:t>
                </a:r>
              </a:p>
            </c:rich>
          </c:tx>
          <c:overlay val="0"/>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465805432"/>
        <c:crosses val="autoZero"/>
        <c:crossBetween val="midCat"/>
      </c:valAx>
      <c:spPr>
        <a:noFill/>
        <a:ln w="25400">
          <a:noFill/>
        </a:ln>
      </c:spPr>
    </c:plotArea>
    <c:legend>
      <c:legendPos val="t"/>
      <c:layout>
        <c:manualLayout>
          <c:xMode val="edge"/>
          <c:yMode val="edge"/>
          <c:x val="0.13291636542094837"/>
          <c:y val="7.9152880414106924E-2"/>
          <c:w val="0.58105296970051379"/>
          <c:h val="3.5498749733052774E-2"/>
        </c:manualLayout>
      </c:layout>
      <c:overlay val="0"/>
      <c:spPr>
        <a:solidFill>
          <a:srgbClr val="FFFFFF"/>
        </a:solidFill>
        <a:ln w="3175">
          <a:solidFill>
            <a:srgbClr val="000000"/>
          </a:solidFill>
          <a:prstDash val="solid"/>
        </a:ln>
      </c:spPr>
      <c:txPr>
        <a:bodyPr/>
        <a:lstStyle/>
        <a:p>
          <a:pPr>
            <a:defRPr sz="110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0.25" l="0.25" r="0.25" t="0.25" header="0.25" footer="0.25"/>
    <c:pageSetup orientation="landscape"/>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'Concr. Curve'!$BX$102</c:f>
          <c:strCache>
            <c:ptCount val="1"/>
            <c:pt idx="0">
              <c:v>        </c:v>
            </c:pt>
          </c:strCache>
        </c:strRef>
      </c:tx>
      <c:layout>
        <c:manualLayout>
          <c:xMode val="edge"/>
          <c:yMode val="edge"/>
          <c:x val="0.37839907452326782"/>
          <c:y val="3.6866442321970082E-2"/>
        </c:manualLayout>
      </c:layout>
      <c:overlay val="0"/>
      <c:spPr>
        <a:ln>
          <a:noFill/>
        </a:ln>
      </c:spPr>
      <c:txPr>
        <a:bodyPr/>
        <a:lstStyle/>
        <a:p>
          <a:pPr>
            <a:defRPr sz="1400" u="sng"/>
          </a:pPr>
          <a:endParaRPr lang="en-US"/>
        </a:p>
      </c:txPr>
    </c:title>
    <c:autoTitleDeleted val="0"/>
    <c:plotArea>
      <c:layout>
        <c:manualLayout>
          <c:layoutTarget val="inner"/>
          <c:xMode val="edge"/>
          <c:yMode val="edge"/>
          <c:x val="7.8895901056798015E-2"/>
          <c:y val="7.0035388367871626E-2"/>
          <c:w val="0.88224111666771465"/>
          <c:h val="0.73972493438327247"/>
        </c:manualLayout>
      </c:layout>
      <c:scatterChart>
        <c:scatterStyle val="lineMarker"/>
        <c:varyColors val="0"/>
        <c:ser>
          <c:idx val="2"/>
          <c:order val="0"/>
          <c:tx>
            <c:strRef>
              <c:f>'Concr. Curve'!$CU$56</c:f>
              <c:strCache>
                <c:ptCount val="1"/>
                <c:pt idx="0">
                  <c:v>Actual</c:v>
                </c:pt>
              </c:strCache>
            </c:strRef>
          </c:tx>
          <c:spPr>
            <a:ln w="15875">
              <a:solidFill>
                <a:schemeClr val="tx1"/>
              </a:solidFill>
            </a:ln>
          </c:spPr>
          <c:marker>
            <c:symbol val="none"/>
          </c:marker>
          <c:dLbls>
            <c:dLbl>
              <c:idx val="0"/>
              <c:tx>
                <c:strRef>
                  <c:f>'Concr. Curve'!$BS$16</c:f>
                  <c:strCache>
                    <c:ptCount val="1"/>
                    <c:pt idx="0">
                      <c:v>#DIV/0!</c:v>
                    </c:pt>
                  </c:strCache>
                </c:strRef>
              </c:tx>
              <c:spPr/>
              <c:txPr>
                <a:bodyPr/>
                <a:lstStyle/>
                <a:p>
                  <a:pPr>
                    <a:defRPr>
                      <a:solidFill>
                        <a:srgbClr val="C00000"/>
                      </a:solidFill>
                    </a:defRPr>
                  </a:pPr>
                  <a:endParaRPr lang="en-US"/>
                </a:p>
              </c:txPr>
              <c:showLegendKey val="0"/>
              <c:showVal val="1"/>
              <c:showCatName val="0"/>
              <c:showSerName val="0"/>
              <c:showPercent val="0"/>
              <c:showBubbleSize val="0"/>
              <c:extLst>
                <c:ext xmlns:c15="http://schemas.microsoft.com/office/drawing/2012/chart" uri="{CE6537A1-D6FC-4f65-9D91-7224C49458BB}">
                  <c15:dlblFieldTable>
                    <c15:dlblFTEntry>
                      <c15:txfldGUID>{EABC2953-D4B4-4FDE-AEEC-AEDCF06763C7}</c15:txfldGUID>
                      <c15:f>'Concr. Curve'!$BS$16</c15:f>
                      <c15:dlblFieldTableCache>
                        <c:ptCount val="1"/>
                        <c:pt idx="0">
                          <c:v>#DIV/0!</c:v>
                        </c:pt>
                      </c15:dlblFieldTableCache>
                    </c15:dlblFTEntry>
                  </c15:dlblFieldTable>
                  <c15:showDataLabelsRange val="0"/>
                </c:ext>
                <c:ext xmlns:c16="http://schemas.microsoft.com/office/drawing/2014/chart" uri="{C3380CC4-5D6E-409C-BE32-E72D297353CC}">
                  <c16:uniqueId val="{00000000-D491-480A-97C5-B94C3A912C93}"/>
                </c:ext>
              </c:extLst>
            </c:dLbl>
            <c:dLbl>
              <c:idx val="1"/>
              <c:tx>
                <c:strRef>
                  <c:f>'Concr. Curve'!$BS$17</c:f>
                  <c:strCache>
                    <c:ptCount val="1"/>
                    <c:pt idx="0">
                      <c:v>#DIV/0!</c:v>
                    </c:pt>
                  </c:strCache>
                </c:strRef>
              </c:tx>
              <c:spPr/>
              <c:txPr>
                <a:bodyPr/>
                <a:lstStyle/>
                <a:p>
                  <a:pPr>
                    <a:defRPr>
                      <a:solidFill>
                        <a:srgbClr val="C00000"/>
                      </a:solidFill>
                    </a:defRPr>
                  </a:pPr>
                  <a:endParaRPr lang="en-US"/>
                </a:p>
              </c:txPr>
              <c:showLegendKey val="0"/>
              <c:showVal val="1"/>
              <c:showCatName val="0"/>
              <c:showSerName val="0"/>
              <c:showPercent val="0"/>
              <c:showBubbleSize val="0"/>
              <c:extLst>
                <c:ext xmlns:c15="http://schemas.microsoft.com/office/drawing/2012/chart" uri="{CE6537A1-D6FC-4f65-9D91-7224C49458BB}">
                  <c15:dlblFieldTable>
                    <c15:dlblFTEntry>
                      <c15:txfldGUID>{40D96738-A5E2-44FD-8DB6-322156542FDC}</c15:txfldGUID>
                      <c15:f>'Concr. Curve'!$BS$17</c15:f>
                      <c15:dlblFieldTableCache>
                        <c:ptCount val="1"/>
                        <c:pt idx="0">
                          <c:v>#DIV/0!</c:v>
                        </c:pt>
                      </c15:dlblFieldTableCache>
                    </c15:dlblFTEntry>
                  </c15:dlblFieldTable>
                  <c15:showDataLabelsRange val="0"/>
                </c:ext>
                <c:ext xmlns:c16="http://schemas.microsoft.com/office/drawing/2014/chart" uri="{C3380CC4-5D6E-409C-BE32-E72D297353CC}">
                  <c16:uniqueId val="{00000001-D491-480A-97C5-B94C3A912C93}"/>
                </c:ext>
              </c:extLst>
            </c:dLbl>
            <c:dLbl>
              <c:idx val="2"/>
              <c:tx>
                <c:strRef>
                  <c:f>'Concr. Curve'!$BS$18</c:f>
                  <c:strCache>
                    <c:ptCount val="1"/>
                    <c:pt idx="0">
                      <c:v>#DIV/0!</c:v>
                    </c:pt>
                  </c:strCache>
                </c:strRef>
              </c:tx>
              <c:spPr/>
              <c:txPr>
                <a:bodyPr/>
                <a:lstStyle/>
                <a:p>
                  <a:pPr>
                    <a:defRPr>
                      <a:solidFill>
                        <a:srgbClr val="C00000"/>
                      </a:solidFill>
                    </a:defRPr>
                  </a:pPr>
                  <a:endParaRPr lang="en-US"/>
                </a:p>
              </c:txPr>
              <c:showLegendKey val="0"/>
              <c:showVal val="1"/>
              <c:showCatName val="0"/>
              <c:showSerName val="0"/>
              <c:showPercent val="0"/>
              <c:showBubbleSize val="0"/>
              <c:extLst>
                <c:ext xmlns:c15="http://schemas.microsoft.com/office/drawing/2012/chart" uri="{CE6537A1-D6FC-4f65-9D91-7224C49458BB}">
                  <c15:dlblFieldTable>
                    <c15:dlblFTEntry>
                      <c15:txfldGUID>{DCDC8EB4-9863-425A-9EA1-596C8FEB70B5}</c15:txfldGUID>
                      <c15:f>'Concr. Curve'!$BS$18</c15:f>
                      <c15:dlblFieldTableCache>
                        <c:ptCount val="1"/>
                        <c:pt idx="0">
                          <c:v>#DIV/0!</c:v>
                        </c:pt>
                      </c15:dlblFieldTableCache>
                    </c15:dlblFTEntry>
                  </c15:dlblFieldTable>
                  <c15:showDataLabelsRange val="0"/>
                </c:ext>
                <c:ext xmlns:c16="http://schemas.microsoft.com/office/drawing/2014/chart" uri="{C3380CC4-5D6E-409C-BE32-E72D297353CC}">
                  <c16:uniqueId val="{00000002-D491-480A-97C5-B94C3A912C93}"/>
                </c:ext>
              </c:extLst>
            </c:dLbl>
            <c:dLbl>
              <c:idx val="3"/>
              <c:tx>
                <c:strRef>
                  <c:f>'Concr. Curve'!$BS$19</c:f>
                  <c:strCache>
                    <c:ptCount val="1"/>
                    <c:pt idx="0">
                      <c:v>#DIV/0!</c:v>
                    </c:pt>
                  </c:strCache>
                </c:strRef>
              </c:tx>
              <c:spPr/>
              <c:txPr>
                <a:bodyPr/>
                <a:lstStyle/>
                <a:p>
                  <a:pPr>
                    <a:defRPr>
                      <a:solidFill>
                        <a:srgbClr val="C00000"/>
                      </a:solidFill>
                    </a:defRPr>
                  </a:pPr>
                  <a:endParaRPr lang="en-US"/>
                </a:p>
              </c:txPr>
              <c:showLegendKey val="0"/>
              <c:showVal val="1"/>
              <c:showCatName val="0"/>
              <c:showSerName val="0"/>
              <c:showPercent val="0"/>
              <c:showBubbleSize val="0"/>
              <c:extLst>
                <c:ext xmlns:c15="http://schemas.microsoft.com/office/drawing/2012/chart" uri="{CE6537A1-D6FC-4f65-9D91-7224C49458BB}">
                  <c15:dlblFieldTable>
                    <c15:dlblFTEntry>
                      <c15:txfldGUID>{5D05C44F-3A57-4D6E-8031-E47BC29B49F2}</c15:txfldGUID>
                      <c15:f>'Concr. Curve'!$BS$19</c15:f>
                      <c15:dlblFieldTableCache>
                        <c:ptCount val="1"/>
                        <c:pt idx="0">
                          <c:v>#DIV/0!</c:v>
                        </c:pt>
                      </c15:dlblFieldTableCache>
                    </c15:dlblFTEntry>
                  </c15:dlblFieldTable>
                  <c15:showDataLabelsRange val="0"/>
                </c:ext>
                <c:ext xmlns:c16="http://schemas.microsoft.com/office/drawing/2014/chart" uri="{C3380CC4-5D6E-409C-BE32-E72D297353CC}">
                  <c16:uniqueId val="{00000003-D491-480A-97C5-B94C3A912C93}"/>
                </c:ext>
              </c:extLst>
            </c:dLbl>
            <c:dLbl>
              <c:idx val="4"/>
              <c:tx>
                <c:strRef>
                  <c:f>'Concr. Curve'!$BS$20</c:f>
                  <c:strCache>
                    <c:ptCount val="1"/>
                    <c:pt idx="0">
                      <c:v>#DIV/0!</c:v>
                    </c:pt>
                  </c:strCache>
                </c:strRef>
              </c:tx>
              <c:spPr/>
              <c:txPr>
                <a:bodyPr/>
                <a:lstStyle/>
                <a:p>
                  <a:pPr>
                    <a:defRPr>
                      <a:solidFill>
                        <a:srgbClr val="C00000"/>
                      </a:solidFill>
                    </a:defRPr>
                  </a:pPr>
                  <a:endParaRPr lang="en-US"/>
                </a:p>
              </c:txPr>
              <c:showLegendKey val="0"/>
              <c:showVal val="1"/>
              <c:showCatName val="0"/>
              <c:showSerName val="0"/>
              <c:showPercent val="0"/>
              <c:showBubbleSize val="0"/>
              <c:extLst>
                <c:ext xmlns:c15="http://schemas.microsoft.com/office/drawing/2012/chart" uri="{CE6537A1-D6FC-4f65-9D91-7224C49458BB}">
                  <c15:dlblFieldTable>
                    <c15:dlblFTEntry>
                      <c15:txfldGUID>{96747BB7-1B78-4B34-A29A-3793760D9D66}</c15:txfldGUID>
                      <c15:f>'Concr. Curve'!$BS$20</c15:f>
                      <c15:dlblFieldTableCache>
                        <c:ptCount val="1"/>
                        <c:pt idx="0">
                          <c:v>#DIV/0!</c:v>
                        </c:pt>
                      </c15:dlblFieldTableCache>
                    </c15:dlblFTEntry>
                  </c15:dlblFieldTable>
                  <c15:showDataLabelsRange val="0"/>
                </c:ext>
                <c:ext xmlns:c16="http://schemas.microsoft.com/office/drawing/2014/chart" uri="{C3380CC4-5D6E-409C-BE32-E72D297353CC}">
                  <c16:uniqueId val="{00000004-D491-480A-97C5-B94C3A912C93}"/>
                </c:ext>
              </c:extLst>
            </c:dLbl>
            <c:dLbl>
              <c:idx val="5"/>
              <c:tx>
                <c:strRef>
                  <c:f>'Concr. Curve'!$BS$21</c:f>
                  <c:strCache>
                    <c:ptCount val="1"/>
                    <c:pt idx="0">
                      <c:v>#DIV/0!</c:v>
                    </c:pt>
                  </c:strCache>
                </c:strRef>
              </c:tx>
              <c:spPr/>
              <c:txPr>
                <a:bodyPr/>
                <a:lstStyle/>
                <a:p>
                  <a:pPr>
                    <a:defRPr>
                      <a:solidFill>
                        <a:srgbClr val="C00000"/>
                      </a:solidFill>
                    </a:defRPr>
                  </a:pPr>
                  <a:endParaRPr lang="en-US"/>
                </a:p>
              </c:txPr>
              <c:showLegendKey val="0"/>
              <c:showVal val="1"/>
              <c:showCatName val="0"/>
              <c:showSerName val="0"/>
              <c:showPercent val="0"/>
              <c:showBubbleSize val="0"/>
              <c:extLst>
                <c:ext xmlns:c15="http://schemas.microsoft.com/office/drawing/2012/chart" uri="{CE6537A1-D6FC-4f65-9D91-7224C49458BB}">
                  <c15:dlblFieldTable>
                    <c15:dlblFTEntry>
                      <c15:txfldGUID>{B85A6FC9-1EC8-4083-8C99-8D7D0F08F930}</c15:txfldGUID>
                      <c15:f>'Concr. Curve'!$BS$21</c15:f>
                      <c15:dlblFieldTableCache>
                        <c:ptCount val="1"/>
                        <c:pt idx="0">
                          <c:v>#DIV/0!</c:v>
                        </c:pt>
                      </c15:dlblFieldTableCache>
                    </c15:dlblFTEntry>
                  </c15:dlblFieldTable>
                  <c15:showDataLabelsRange val="0"/>
                </c:ext>
                <c:ext xmlns:c16="http://schemas.microsoft.com/office/drawing/2014/chart" uri="{C3380CC4-5D6E-409C-BE32-E72D297353CC}">
                  <c16:uniqueId val="{00000005-D491-480A-97C5-B94C3A912C93}"/>
                </c:ext>
              </c:extLst>
            </c:dLbl>
            <c:dLbl>
              <c:idx val="6"/>
              <c:tx>
                <c:strRef>
                  <c:f>'Concr. Curve'!$BS$22</c:f>
                  <c:strCache>
                    <c:ptCount val="1"/>
                    <c:pt idx="0">
                      <c:v>#DIV/0!</c:v>
                    </c:pt>
                  </c:strCache>
                </c:strRef>
              </c:tx>
              <c:spPr/>
              <c:txPr>
                <a:bodyPr/>
                <a:lstStyle/>
                <a:p>
                  <a:pPr>
                    <a:defRPr>
                      <a:solidFill>
                        <a:srgbClr val="C00000"/>
                      </a:solidFill>
                    </a:defRPr>
                  </a:pPr>
                  <a:endParaRPr lang="en-US"/>
                </a:p>
              </c:txPr>
              <c:showLegendKey val="0"/>
              <c:showVal val="1"/>
              <c:showCatName val="0"/>
              <c:showSerName val="0"/>
              <c:showPercent val="0"/>
              <c:showBubbleSize val="0"/>
              <c:extLst>
                <c:ext xmlns:c15="http://schemas.microsoft.com/office/drawing/2012/chart" uri="{CE6537A1-D6FC-4f65-9D91-7224C49458BB}">
                  <c15:dlblFieldTable>
                    <c15:dlblFTEntry>
                      <c15:txfldGUID>{48201BA4-D1D9-4F03-BE84-7FDA18C86EFB}</c15:txfldGUID>
                      <c15:f>'Concr. Curve'!$BS$22</c15:f>
                      <c15:dlblFieldTableCache>
                        <c:ptCount val="1"/>
                        <c:pt idx="0">
                          <c:v>#DIV/0!</c:v>
                        </c:pt>
                      </c15:dlblFieldTableCache>
                    </c15:dlblFTEntry>
                  </c15:dlblFieldTable>
                  <c15:showDataLabelsRange val="0"/>
                </c:ext>
                <c:ext xmlns:c16="http://schemas.microsoft.com/office/drawing/2014/chart" uri="{C3380CC4-5D6E-409C-BE32-E72D297353CC}">
                  <c16:uniqueId val="{00000006-D491-480A-97C5-B94C3A912C93}"/>
                </c:ext>
              </c:extLst>
            </c:dLbl>
            <c:dLbl>
              <c:idx val="7"/>
              <c:tx>
                <c:strRef>
                  <c:f>'Concr. Curve'!$BS$23</c:f>
                  <c:strCache>
                    <c:ptCount val="1"/>
                    <c:pt idx="0">
                      <c:v>#DIV/0!</c:v>
                    </c:pt>
                  </c:strCache>
                </c:strRef>
              </c:tx>
              <c:spPr/>
              <c:txPr>
                <a:bodyPr/>
                <a:lstStyle/>
                <a:p>
                  <a:pPr>
                    <a:defRPr>
                      <a:solidFill>
                        <a:srgbClr val="C00000"/>
                      </a:solidFill>
                    </a:defRPr>
                  </a:pPr>
                  <a:endParaRPr lang="en-US"/>
                </a:p>
              </c:txPr>
              <c:showLegendKey val="0"/>
              <c:showVal val="1"/>
              <c:showCatName val="0"/>
              <c:showSerName val="0"/>
              <c:showPercent val="0"/>
              <c:showBubbleSize val="0"/>
              <c:extLst>
                <c:ext xmlns:c15="http://schemas.microsoft.com/office/drawing/2012/chart" uri="{CE6537A1-D6FC-4f65-9D91-7224C49458BB}">
                  <c15:dlblFieldTable>
                    <c15:dlblFTEntry>
                      <c15:txfldGUID>{182F5931-F4A9-4AD4-97F1-32884EF2C838}</c15:txfldGUID>
                      <c15:f>'Concr. Curve'!$BS$23</c15:f>
                      <c15:dlblFieldTableCache>
                        <c:ptCount val="1"/>
                        <c:pt idx="0">
                          <c:v>#DIV/0!</c:v>
                        </c:pt>
                      </c15:dlblFieldTableCache>
                    </c15:dlblFTEntry>
                  </c15:dlblFieldTable>
                  <c15:showDataLabelsRange val="0"/>
                </c:ext>
                <c:ext xmlns:c16="http://schemas.microsoft.com/office/drawing/2014/chart" uri="{C3380CC4-5D6E-409C-BE32-E72D297353CC}">
                  <c16:uniqueId val="{00000007-D491-480A-97C5-B94C3A912C93}"/>
                </c:ext>
              </c:extLst>
            </c:dLbl>
            <c:dLbl>
              <c:idx val="8"/>
              <c:tx>
                <c:strRef>
                  <c:f>'Concr. Curve'!$BS$24</c:f>
                  <c:strCache>
                    <c:ptCount val="1"/>
                    <c:pt idx="0">
                      <c:v>#DIV/0!</c:v>
                    </c:pt>
                  </c:strCache>
                </c:strRef>
              </c:tx>
              <c:spPr/>
              <c:txPr>
                <a:bodyPr/>
                <a:lstStyle/>
                <a:p>
                  <a:pPr>
                    <a:defRPr>
                      <a:solidFill>
                        <a:srgbClr val="C00000"/>
                      </a:solidFill>
                    </a:defRPr>
                  </a:pPr>
                  <a:endParaRPr lang="en-US"/>
                </a:p>
              </c:txPr>
              <c:showLegendKey val="0"/>
              <c:showVal val="1"/>
              <c:showCatName val="0"/>
              <c:showSerName val="0"/>
              <c:showPercent val="0"/>
              <c:showBubbleSize val="0"/>
              <c:extLst>
                <c:ext xmlns:c15="http://schemas.microsoft.com/office/drawing/2012/chart" uri="{CE6537A1-D6FC-4f65-9D91-7224C49458BB}">
                  <c15:dlblFieldTable>
                    <c15:dlblFTEntry>
                      <c15:txfldGUID>{07C6F011-5A9B-4C6C-94B7-9993203BC124}</c15:txfldGUID>
                      <c15:f>'Concr. Curve'!$BS$24</c15:f>
                      <c15:dlblFieldTableCache>
                        <c:ptCount val="1"/>
                        <c:pt idx="0">
                          <c:v>#DIV/0!</c:v>
                        </c:pt>
                      </c15:dlblFieldTableCache>
                    </c15:dlblFTEntry>
                  </c15:dlblFieldTable>
                  <c15:showDataLabelsRange val="0"/>
                </c:ext>
                <c:ext xmlns:c16="http://schemas.microsoft.com/office/drawing/2014/chart" uri="{C3380CC4-5D6E-409C-BE32-E72D297353CC}">
                  <c16:uniqueId val="{00000008-D491-480A-97C5-B94C3A912C93}"/>
                </c:ext>
              </c:extLst>
            </c:dLbl>
            <c:dLbl>
              <c:idx val="9"/>
              <c:tx>
                <c:strRef>
                  <c:f>'Concr. Curve'!$BS$25</c:f>
                  <c:strCache>
                    <c:ptCount val="1"/>
                    <c:pt idx="0">
                      <c:v>#DIV/0!</c:v>
                    </c:pt>
                  </c:strCache>
                </c:strRef>
              </c:tx>
              <c:spPr/>
              <c:txPr>
                <a:bodyPr/>
                <a:lstStyle/>
                <a:p>
                  <a:pPr>
                    <a:defRPr>
                      <a:solidFill>
                        <a:srgbClr val="C00000"/>
                      </a:solidFill>
                    </a:defRPr>
                  </a:pPr>
                  <a:endParaRPr lang="en-US"/>
                </a:p>
              </c:txPr>
              <c:showLegendKey val="0"/>
              <c:showVal val="1"/>
              <c:showCatName val="0"/>
              <c:showSerName val="0"/>
              <c:showPercent val="0"/>
              <c:showBubbleSize val="0"/>
              <c:extLst>
                <c:ext xmlns:c15="http://schemas.microsoft.com/office/drawing/2012/chart" uri="{CE6537A1-D6FC-4f65-9D91-7224C49458BB}">
                  <c15:dlblFieldTable>
                    <c15:dlblFTEntry>
                      <c15:txfldGUID>{C43BC55A-36BD-4F42-B35F-8101F0921BE2}</c15:txfldGUID>
                      <c15:f>'Concr. Curve'!$BS$25</c15:f>
                      <c15:dlblFieldTableCache>
                        <c:ptCount val="1"/>
                        <c:pt idx="0">
                          <c:v>#DIV/0!</c:v>
                        </c:pt>
                      </c15:dlblFieldTableCache>
                    </c15:dlblFTEntry>
                  </c15:dlblFieldTable>
                  <c15:showDataLabelsRange val="0"/>
                </c:ext>
                <c:ext xmlns:c16="http://schemas.microsoft.com/office/drawing/2014/chart" uri="{C3380CC4-5D6E-409C-BE32-E72D297353CC}">
                  <c16:uniqueId val="{00000009-D491-480A-97C5-B94C3A912C93}"/>
                </c:ext>
              </c:extLst>
            </c:dLbl>
            <c:dLbl>
              <c:idx val="10"/>
              <c:tx>
                <c:strRef>
                  <c:f>'Concr. Curve'!$BS$26</c:f>
                  <c:strCache>
                    <c:ptCount val="1"/>
                    <c:pt idx="0">
                      <c:v>#DIV/0!</c:v>
                    </c:pt>
                  </c:strCache>
                </c:strRef>
              </c:tx>
              <c:spPr/>
              <c:txPr>
                <a:bodyPr/>
                <a:lstStyle/>
                <a:p>
                  <a:pPr>
                    <a:defRPr>
                      <a:solidFill>
                        <a:srgbClr val="C00000"/>
                      </a:solidFill>
                    </a:defRPr>
                  </a:pPr>
                  <a:endParaRPr lang="en-US"/>
                </a:p>
              </c:txPr>
              <c:showLegendKey val="0"/>
              <c:showVal val="1"/>
              <c:showCatName val="0"/>
              <c:showSerName val="0"/>
              <c:showPercent val="0"/>
              <c:showBubbleSize val="0"/>
              <c:extLst>
                <c:ext xmlns:c15="http://schemas.microsoft.com/office/drawing/2012/chart" uri="{CE6537A1-D6FC-4f65-9D91-7224C49458BB}">
                  <c15:dlblFieldTable>
                    <c15:dlblFTEntry>
                      <c15:txfldGUID>{5B297ACE-FA31-48C7-A6AF-6AA07F41D8CF}</c15:txfldGUID>
                      <c15:f>'Concr. Curve'!$BS$26</c15:f>
                      <c15:dlblFieldTableCache>
                        <c:ptCount val="1"/>
                        <c:pt idx="0">
                          <c:v>#DIV/0!</c:v>
                        </c:pt>
                      </c15:dlblFieldTableCache>
                    </c15:dlblFTEntry>
                  </c15:dlblFieldTable>
                  <c15:showDataLabelsRange val="0"/>
                </c:ext>
                <c:ext xmlns:c16="http://schemas.microsoft.com/office/drawing/2014/chart" uri="{C3380CC4-5D6E-409C-BE32-E72D297353CC}">
                  <c16:uniqueId val="{0000000A-D491-480A-97C5-B94C3A912C93}"/>
                </c:ext>
              </c:extLst>
            </c:dLbl>
            <c:dLbl>
              <c:idx val="11"/>
              <c:tx>
                <c:strRef>
                  <c:f>'Concr. Curve'!$BS$27</c:f>
                  <c:strCache>
                    <c:ptCount val="1"/>
                    <c:pt idx="0">
                      <c:v>#DIV/0!</c:v>
                    </c:pt>
                  </c:strCache>
                </c:strRef>
              </c:tx>
              <c:spPr/>
              <c:txPr>
                <a:bodyPr/>
                <a:lstStyle/>
                <a:p>
                  <a:pPr>
                    <a:defRPr>
                      <a:solidFill>
                        <a:srgbClr val="C00000"/>
                      </a:solidFill>
                    </a:defRPr>
                  </a:pPr>
                  <a:endParaRPr lang="en-US"/>
                </a:p>
              </c:txPr>
              <c:showLegendKey val="0"/>
              <c:showVal val="1"/>
              <c:showCatName val="0"/>
              <c:showSerName val="0"/>
              <c:showPercent val="0"/>
              <c:showBubbleSize val="0"/>
              <c:extLst>
                <c:ext xmlns:c15="http://schemas.microsoft.com/office/drawing/2012/chart" uri="{CE6537A1-D6FC-4f65-9D91-7224C49458BB}">
                  <c15:dlblFieldTable>
                    <c15:dlblFTEntry>
                      <c15:txfldGUID>{26872339-3C3C-454B-8F2F-C3D262AE0F31}</c15:txfldGUID>
                      <c15:f>'Concr. Curve'!$BS$27</c15:f>
                      <c15:dlblFieldTableCache>
                        <c:ptCount val="1"/>
                        <c:pt idx="0">
                          <c:v>#DIV/0!</c:v>
                        </c:pt>
                      </c15:dlblFieldTableCache>
                    </c15:dlblFTEntry>
                  </c15:dlblFieldTable>
                  <c15:showDataLabelsRange val="0"/>
                </c:ext>
                <c:ext xmlns:c16="http://schemas.microsoft.com/office/drawing/2014/chart" uri="{C3380CC4-5D6E-409C-BE32-E72D297353CC}">
                  <c16:uniqueId val="{0000000B-D491-480A-97C5-B94C3A912C93}"/>
                </c:ext>
              </c:extLst>
            </c:dLbl>
            <c:dLbl>
              <c:idx val="12"/>
              <c:tx>
                <c:strRef>
                  <c:f>'Concr. Curve'!$BS$28</c:f>
                  <c:strCache>
                    <c:ptCount val="1"/>
                    <c:pt idx="0">
                      <c:v>#DIV/0!</c:v>
                    </c:pt>
                  </c:strCache>
                </c:strRef>
              </c:tx>
              <c:spPr/>
              <c:txPr>
                <a:bodyPr/>
                <a:lstStyle/>
                <a:p>
                  <a:pPr>
                    <a:defRPr>
                      <a:solidFill>
                        <a:srgbClr val="C00000"/>
                      </a:solidFill>
                    </a:defRPr>
                  </a:pPr>
                  <a:endParaRPr lang="en-US"/>
                </a:p>
              </c:txPr>
              <c:showLegendKey val="0"/>
              <c:showVal val="1"/>
              <c:showCatName val="0"/>
              <c:showSerName val="0"/>
              <c:showPercent val="0"/>
              <c:showBubbleSize val="0"/>
              <c:extLst>
                <c:ext xmlns:c15="http://schemas.microsoft.com/office/drawing/2012/chart" uri="{CE6537A1-D6FC-4f65-9D91-7224C49458BB}">
                  <c15:dlblFieldTable>
                    <c15:dlblFTEntry>
                      <c15:txfldGUID>{CE86411E-674E-4E2B-BAA7-BFDA042CDC2B}</c15:txfldGUID>
                      <c15:f>'Concr. Curve'!$BS$28</c15:f>
                      <c15:dlblFieldTableCache>
                        <c:ptCount val="1"/>
                        <c:pt idx="0">
                          <c:v>#DIV/0!</c:v>
                        </c:pt>
                      </c15:dlblFieldTableCache>
                    </c15:dlblFTEntry>
                  </c15:dlblFieldTable>
                  <c15:showDataLabelsRange val="0"/>
                </c:ext>
                <c:ext xmlns:c16="http://schemas.microsoft.com/office/drawing/2014/chart" uri="{C3380CC4-5D6E-409C-BE32-E72D297353CC}">
                  <c16:uniqueId val="{0000000C-D491-480A-97C5-B94C3A912C93}"/>
                </c:ext>
              </c:extLst>
            </c:dLbl>
            <c:dLbl>
              <c:idx val="13"/>
              <c:tx>
                <c:strRef>
                  <c:f>'Concr. Curve'!$BS$29</c:f>
                  <c:strCache>
                    <c:ptCount val="1"/>
                    <c:pt idx="0">
                      <c:v>#DIV/0!</c:v>
                    </c:pt>
                  </c:strCache>
                </c:strRef>
              </c:tx>
              <c:spPr/>
              <c:txPr>
                <a:bodyPr/>
                <a:lstStyle/>
                <a:p>
                  <a:pPr>
                    <a:defRPr>
                      <a:solidFill>
                        <a:srgbClr val="C00000"/>
                      </a:solidFill>
                    </a:defRPr>
                  </a:pPr>
                  <a:endParaRPr lang="en-US"/>
                </a:p>
              </c:txPr>
              <c:showLegendKey val="0"/>
              <c:showVal val="1"/>
              <c:showCatName val="0"/>
              <c:showSerName val="0"/>
              <c:showPercent val="0"/>
              <c:showBubbleSize val="0"/>
              <c:extLst>
                <c:ext xmlns:c15="http://schemas.microsoft.com/office/drawing/2012/chart" uri="{CE6537A1-D6FC-4f65-9D91-7224C49458BB}">
                  <c15:dlblFieldTable>
                    <c15:dlblFTEntry>
                      <c15:txfldGUID>{C7A2197E-4E96-45D9-9CD8-E63A86E70893}</c15:txfldGUID>
                      <c15:f>'Concr. Curve'!$BS$29</c15:f>
                      <c15:dlblFieldTableCache>
                        <c:ptCount val="1"/>
                        <c:pt idx="0">
                          <c:v>#DIV/0!</c:v>
                        </c:pt>
                      </c15:dlblFieldTableCache>
                    </c15:dlblFTEntry>
                  </c15:dlblFieldTable>
                  <c15:showDataLabelsRange val="0"/>
                </c:ext>
                <c:ext xmlns:c16="http://schemas.microsoft.com/office/drawing/2014/chart" uri="{C3380CC4-5D6E-409C-BE32-E72D297353CC}">
                  <c16:uniqueId val="{0000000D-D491-480A-97C5-B94C3A912C93}"/>
                </c:ext>
              </c:extLst>
            </c:dLbl>
            <c:dLbl>
              <c:idx val="14"/>
              <c:tx>
                <c:strRef>
                  <c:f>'Concr. Curve'!$BS$30</c:f>
                  <c:strCache>
                    <c:ptCount val="1"/>
                    <c:pt idx="0">
                      <c:v>#DIV/0!</c:v>
                    </c:pt>
                  </c:strCache>
                </c:strRef>
              </c:tx>
              <c:spPr/>
              <c:txPr>
                <a:bodyPr/>
                <a:lstStyle/>
                <a:p>
                  <a:pPr>
                    <a:defRPr>
                      <a:solidFill>
                        <a:srgbClr val="C00000"/>
                      </a:solidFill>
                    </a:defRPr>
                  </a:pPr>
                  <a:endParaRPr lang="en-US"/>
                </a:p>
              </c:txPr>
              <c:showLegendKey val="0"/>
              <c:showVal val="1"/>
              <c:showCatName val="0"/>
              <c:showSerName val="0"/>
              <c:showPercent val="0"/>
              <c:showBubbleSize val="0"/>
              <c:extLst>
                <c:ext xmlns:c15="http://schemas.microsoft.com/office/drawing/2012/chart" uri="{CE6537A1-D6FC-4f65-9D91-7224C49458BB}">
                  <c15:dlblFieldTable>
                    <c15:dlblFTEntry>
                      <c15:txfldGUID>{9E7EFD92-30A9-40CA-8DA0-D1C7C416DD64}</c15:txfldGUID>
                      <c15:f>'Concr. Curve'!$BS$30</c15:f>
                      <c15:dlblFieldTableCache>
                        <c:ptCount val="1"/>
                        <c:pt idx="0">
                          <c:v>#DIV/0!</c:v>
                        </c:pt>
                      </c15:dlblFieldTableCache>
                    </c15:dlblFTEntry>
                  </c15:dlblFieldTable>
                  <c15:showDataLabelsRange val="0"/>
                </c:ext>
                <c:ext xmlns:c16="http://schemas.microsoft.com/office/drawing/2014/chart" uri="{C3380CC4-5D6E-409C-BE32-E72D297353CC}">
                  <c16:uniqueId val="{0000000E-D491-480A-97C5-B94C3A912C93}"/>
                </c:ext>
              </c:extLst>
            </c:dLbl>
            <c:dLbl>
              <c:idx val="15"/>
              <c:tx>
                <c:strRef>
                  <c:f>'Concr. Curve'!$BS$31</c:f>
                  <c:strCache>
                    <c:ptCount val="1"/>
                    <c:pt idx="0">
                      <c:v>#DIV/0!</c:v>
                    </c:pt>
                  </c:strCache>
                </c:strRef>
              </c:tx>
              <c:spPr/>
              <c:txPr>
                <a:bodyPr/>
                <a:lstStyle/>
                <a:p>
                  <a:pPr>
                    <a:defRPr>
                      <a:solidFill>
                        <a:srgbClr val="C00000"/>
                      </a:solidFill>
                    </a:defRPr>
                  </a:pPr>
                  <a:endParaRPr lang="en-US"/>
                </a:p>
              </c:txPr>
              <c:showLegendKey val="0"/>
              <c:showVal val="1"/>
              <c:showCatName val="0"/>
              <c:showSerName val="0"/>
              <c:showPercent val="0"/>
              <c:showBubbleSize val="0"/>
              <c:extLst>
                <c:ext xmlns:c15="http://schemas.microsoft.com/office/drawing/2012/chart" uri="{CE6537A1-D6FC-4f65-9D91-7224C49458BB}">
                  <c15:dlblFieldTable>
                    <c15:dlblFTEntry>
                      <c15:txfldGUID>{23D1C4E0-9D44-43FA-94F0-079D59DA40D0}</c15:txfldGUID>
                      <c15:f>'Concr. Curve'!$BS$31</c15:f>
                      <c15:dlblFieldTableCache>
                        <c:ptCount val="1"/>
                        <c:pt idx="0">
                          <c:v>#DIV/0!</c:v>
                        </c:pt>
                      </c15:dlblFieldTableCache>
                    </c15:dlblFTEntry>
                  </c15:dlblFieldTable>
                  <c15:showDataLabelsRange val="0"/>
                </c:ext>
                <c:ext xmlns:c16="http://schemas.microsoft.com/office/drawing/2014/chart" uri="{C3380CC4-5D6E-409C-BE32-E72D297353CC}">
                  <c16:uniqueId val="{0000000F-D491-480A-97C5-B94C3A912C93}"/>
                </c:ext>
              </c:extLst>
            </c:dLbl>
            <c:dLbl>
              <c:idx val="16"/>
              <c:tx>
                <c:strRef>
                  <c:f>'Concr. Curve'!$BS$32</c:f>
                  <c:strCache>
                    <c:ptCount val="1"/>
                    <c:pt idx="0">
                      <c:v>#DIV/0!</c:v>
                    </c:pt>
                  </c:strCache>
                </c:strRef>
              </c:tx>
              <c:spPr/>
              <c:txPr>
                <a:bodyPr/>
                <a:lstStyle/>
                <a:p>
                  <a:pPr>
                    <a:defRPr>
                      <a:solidFill>
                        <a:srgbClr val="C00000"/>
                      </a:solidFill>
                    </a:defRPr>
                  </a:pPr>
                  <a:endParaRPr lang="en-US"/>
                </a:p>
              </c:txPr>
              <c:showLegendKey val="0"/>
              <c:showVal val="1"/>
              <c:showCatName val="0"/>
              <c:showSerName val="0"/>
              <c:showPercent val="0"/>
              <c:showBubbleSize val="0"/>
              <c:extLst>
                <c:ext xmlns:c15="http://schemas.microsoft.com/office/drawing/2012/chart" uri="{CE6537A1-D6FC-4f65-9D91-7224C49458BB}">
                  <c15:dlblFieldTable>
                    <c15:dlblFTEntry>
                      <c15:txfldGUID>{E5F2630D-680D-492A-B58B-776F36695AF3}</c15:txfldGUID>
                      <c15:f>'Concr. Curve'!$BS$32</c15:f>
                      <c15:dlblFieldTableCache>
                        <c:ptCount val="1"/>
                        <c:pt idx="0">
                          <c:v>#DIV/0!</c:v>
                        </c:pt>
                      </c15:dlblFieldTableCache>
                    </c15:dlblFTEntry>
                  </c15:dlblFieldTable>
                  <c15:showDataLabelsRange val="0"/>
                </c:ext>
                <c:ext xmlns:c16="http://schemas.microsoft.com/office/drawing/2014/chart" uri="{C3380CC4-5D6E-409C-BE32-E72D297353CC}">
                  <c16:uniqueId val="{00000010-D491-480A-97C5-B94C3A912C93}"/>
                </c:ext>
              </c:extLst>
            </c:dLbl>
            <c:dLbl>
              <c:idx val="17"/>
              <c:tx>
                <c:strRef>
                  <c:f>'Concr. Curve'!$BS$33</c:f>
                  <c:strCache>
                    <c:ptCount val="1"/>
                    <c:pt idx="0">
                      <c:v>#DIV/0!</c:v>
                    </c:pt>
                  </c:strCache>
                </c:strRef>
              </c:tx>
              <c:spPr/>
              <c:txPr>
                <a:bodyPr/>
                <a:lstStyle/>
                <a:p>
                  <a:pPr>
                    <a:defRPr>
                      <a:solidFill>
                        <a:srgbClr val="C00000"/>
                      </a:solidFill>
                    </a:defRPr>
                  </a:pPr>
                  <a:endParaRPr lang="en-US"/>
                </a:p>
              </c:txPr>
              <c:showLegendKey val="0"/>
              <c:showVal val="1"/>
              <c:showCatName val="0"/>
              <c:showSerName val="0"/>
              <c:showPercent val="0"/>
              <c:showBubbleSize val="0"/>
              <c:extLst>
                <c:ext xmlns:c15="http://schemas.microsoft.com/office/drawing/2012/chart" uri="{CE6537A1-D6FC-4f65-9D91-7224C49458BB}">
                  <c15:dlblFieldTable>
                    <c15:dlblFTEntry>
                      <c15:txfldGUID>{EF3ABB43-713D-4F3C-9440-DE32C94C2E0E}</c15:txfldGUID>
                      <c15:f>'Concr. Curve'!$BS$33</c15:f>
                      <c15:dlblFieldTableCache>
                        <c:ptCount val="1"/>
                        <c:pt idx="0">
                          <c:v>#DIV/0!</c:v>
                        </c:pt>
                      </c15:dlblFieldTableCache>
                    </c15:dlblFTEntry>
                  </c15:dlblFieldTable>
                  <c15:showDataLabelsRange val="0"/>
                </c:ext>
                <c:ext xmlns:c16="http://schemas.microsoft.com/office/drawing/2014/chart" uri="{C3380CC4-5D6E-409C-BE32-E72D297353CC}">
                  <c16:uniqueId val="{00000011-D491-480A-97C5-B94C3A912C93}"/>
                </c:ext>
              </c:extLst>
            </c:dLbl>
            <c:dLbl>
              <c:idx val="18"/>
              <c:tx>
                <c:strRef>
                  <c:f>'Concr. Curve'!$BS$34</c:f>
                  <c:strCache>
                    <c:ptCount val="1"/>
                    <c:pt idx="0">
                      <c:v>#DIV/0!</c:v>
                    </c:pt>
                  </c:strCache>
                </c:strRef>
              </c:tx>
              <c:spPr/>
              <c:txPr>
                <a:bodyPr/>
                <a:lstStyle/>
                <a:p>
                  <a:pPr>
                    <a:defRPr>
                      <a:solidFill>
                        <a:srgbClr val="C00000"/>
                      </a:solidFill>
                    </a:defRPr>
                  </a:pPr>
                  <a:endParaRPr lang="en-US"/>
                </a:p>
              </c:txPr>
              <c:showLegendKey val="0"/>
              <c:showVal val="1"/>
              <c:showCatName val="0"/>
              <c:showSerName val="0"/>
              <c:showPercent val="0"/>
              <c:showBubbleSize val="0"/>
              <c:extLst>
                <c:ext xmlns:c15="http://schemas.microsoft.com/office/drawing/2012/chart" uri="{CE6537A1-D6FC-4f65-9D91-7224C49458BB}">
                  <c15:dlblFieldTable>
                    <c15:dlblFTEntry>
                      <c15:txfldGUID>{8FBCB0B0-F858-49B8-8795-F8E0BFD11775}</c15:txfldGUID>
                      <c15:f>'Concr. Curve'!$BS$34</c15:f>
                      <c15:dlblFieldTableCache>
                        <c:ptCount val="1"/>
                        <c:pt idx="0">
                          <c:v>#DIV/0!</c:v>
                        </c:pt>
                      </c15:dlblFieldTableCache>
                    </c15:dlblFTEntry>
                  </c15:dlblFieldTable>
                  <c15:showDataLabelsRange val="0"/>
                </c:ext>
                <c:ext xmlns:c16="http://schemas.microsoft.com/office/drawing/2014/chart" uri="{C3380CC4-5D6E-409C-BE32-E72D297353CC}">
                  <c16:uniqueId val="{00000012-D491-480A-97C5-B94C3A912C93}"/>
                </c:ext>
              </c:extLst>
            </c:dLbl>
            <c:dLbl>
              <c:idx val="19"/>
              <c:tx>
                <c:strRef>
                  <c:f>'Concr. Curve'!$BS$35</c:f>
                  <c:strCache>
                    <c:ptCount val="1"/>
                    <c:pt idx="0">
                      <c:v>#DIV/0!</c:v>
                    </c:pt>
                  </c:strCache>
                </c:strRef>
              </c:tx>
              <c:spPr/>
              <c:txPr>
                <a:bodyPr/>
                <a:lstStyle/>
                <a:p>
                  <a:pPr>
                    <a:defRPr>
                      <a:solidFill>
                        <a:srgbClr val="C00000"/>
                      </a:solidFill>
                    </a:defRPr>
                  </a:pPr>
                  <a:endParaRPr lang="en-US"/>
                </a:p>
              </c:txPr>
              <c:showLegendKey val="0"/>
              <c:showVal val="1"/>
              <c:showCatName val="0"/>
              <c:showSerName val="0"/>
              <c:showPercent val="0"/>
              <c:showBubbleSize val="0"/>
              <c:extLst>
                <c:ext xmlns:c15="http://schemas.microsoft.com/office/drawing/2012/chart" uri="{CE6537A1-D6FC-4f65-9D91-7224C49458BB}">
                  <c15:dlblFieldTable>
                    <c15:dlblFTEntry>
                      <c15:txfldGUID>{A253A494-3AE6-45D2-8722-F624AAA783C9}</c15:txfldGUID>
                      <c15:f>'Concr. Curve'!$BS$35</c15:f>
                      <c15:dlblFieldTableCache>
                        <c:ptCount val="1"/>
                        <c:pt idx="0">
                          <c:v>#DIV/0!</c:v>
                        </c:pt>
                      </c15:dlblFieldTableCache>
                    </c15:dlblFTEntry>
                  </c15:dlblFieldTable>
                  <c15:showDataLabelsRange val="0"/>
                </c:ext>
                <c:ext xmlns:c16="http://schemas.microsoft.com/office/drawing/2014/chart" uri="{C3380CC4-5D6E-409C-BE32-E72D297353CC}">
                  <c16:uniqueId val="{00000013-D491-480A-97C5-B94C3A912C93}"/>
                </c:ext>
              </c:extLst>
            </c:dLbl>
            <c:dLbl>
              <c:idx val="20"/>
              <c:tx>
                <c:strRef>
                  <c:f>'Concr. Curve'!$BS$36</c:f>
                  <c:strCache>
                    <c:ptCount val="1"/>
                    <c:pt idx="0">
                      <c:v>#DIV/0!</c:v>
                    </c:pt>
                  </c:strCache>
                </c:strRef>
              </c:tx>
              <c:spPr/>
              <c:txPr>
                <a:bodyPr/>
                <a:lstStyle/>
                <a:p>
                  <a:pPr>
                    <a:defRPr>
                      <a:solidFill>
                        <a:srgbClr val="C00000"/>
                      </a:solidFill>
                    </a:defRPr>
                  </a:pPr>
                  <a:endParaRPr lang="en-US"/>
                </a:p>
              </c:txPr>
              <c:showLegendKey val="0"/>
              <c:showVal val="1"/>
              <c:showCatName val="0"/>
              <c:showSerName val="0"/>
              <c:showPercent val="0"/>
              <c:showBubbleSize val="0"/>
              <c:extLst>
                <c:ext xmlns:c15="http://schemas.microsoft.com/office/drawing/2012/chart" uri="{CE6537A1-D6FC-4f65-9D91-7224C49458BB}">
                  <c15:dlblFieldTable>
                    <c15:dlblFTEntry>
                      <c15:txfldGUID>{6E74ACD8-A848-4191-82AA-6CA4823694BF}</c15:txfldGUID>
                      <c15:f>'Concr. Curve'!$BS$36</c15:f>
                      <c15:dlblFieldTableCache>
                        <c:ptCount val="1"/>
                        <c:pt idx="0">
                          <c:v>#DIV/0!</c:v>
                        </c:pt>
                      </c15:dlblFieldTableCache>
                    </c15:dlblFTEntry>
                  </c15:dlblFieldTable>
                  <c15:showDataLabelsRange val="0"/>
                </c:ext>
                <c:ext xmlns:c16="http://schemas.microsoft.com/office/drawing/2014/chart" uri="{C3380CC4-5D6E-409C-BE32-E72D297353CC}">
                  <c16:uniqueId val="{00000014-D491-480A-97C5-B94C3A912C93}"/>
                </c:ext>
              </c:extLst>
            </c:dLbl>
            <c:dLbl>
              <c:idx val="21"/>
              <c:tx>
                <c:strRef>
                  <c:f>'Concr. Curve'!$BS$37</c:f>
                  <c:strCache>
                    <c:ptCount val="1"/>
                    <c:pt idx="0">
                      <c:v>#DIV/0!</c:v>
                    </c:pt>
                  </c:strCache>
                </c:strRef>
              </c:tx>
              <c:spPr/>
              <c:txPr>
                <a:bodyPr/>
                <a:lstStyle/>
                <a:p>
                  <a:pPr>
                    <a:defRPr>
                      <a:solidFill>
                        <a:srgbClr val="C00000"/>
                      </a:solidFill>
                    </a:defRPr>
                  </a:pPr>
                  <a:endParaRPr lang="en-US"/>
                </a:p>
              </c:txPr>
              <c:showLegendKey val="0"/>
              <c:showVal val="1"/>
              <c:showCatName val="0"/>
              <c:showSerName val="0"/>
              <c:showPercent val="0"/>
              <c:showBubbleSize val="0"/>
              <c:extLst>
                <c:ext xmlns:c15="http://schemas.microsoft.com/office/drawing/2012/chart" uri="{CE6537A1-D6FC-4f65-9D91-7224C49458BB}">
                  <c15:dlblFieldTable>
                    <c15:dlblFTEntry>
                      <c15:txfldGUID>{D4664FEB-D85D-4623-83F2-70C6C24096EA}</c15:txfldGUID>
                      <c15:f>'Concr. Curve'!$BS$37</c15:f>
                      <c15:dlblFieldTableCache>
                        <c:ptCount val="1"/>
                        <c:pt idx="0">
                          <c:v>#DIV/0!</c:v>
                        </c:pt>
                      </c15:dlblFieldTableCache>
                    </c15:dlblFTEntry>
                  </c15:dlblFieldTable>
                  <c15:showDataLabelsRange val="0"/>
                </c:ext>
                <c:ext xmlns:c16="http://schemas.microsoft.com/office/drawing/2014/chart" uri="{C3380CC4-5D6E-409C-BE32-E72D297353CC}">
                  <c16:uniqueId val="{00000015-D491-480A-97C5-B94C3A912C93}"/>
                </c:ext>
              </c:extLst>
            </c:dLbl>
            <c:dLbl>
              <c:idx val="22"/>
              <c:tx>
                <c:strRef>
                  <c:f>'Concr. Curve'!$BS$38</c:f>
                  <c:strCache>
                    <c:ptCount val="1"/>
                    <c:pt idx="0">
                      <c:v>#DIV/0!</c:v>
                    </c:pt>
                  </c:strCache>
                </c:strRef>
              </c:tx>
              <c:spPr/>
              <c:txPr>
                <a:bodyPr/>
                <a:lstStyle/>
                <a:p>
                  <a:pPr>
                    <a:defRPr>
                      <a:solidFill>
                        <a:srgbClr val="C00000"/>
                      </a:solidFill>
                    </a:defRPr>
                  </a:pPr>
                  <a:endParaRPr lang="en-US"/>
                </a:p>
              </c:txPr>
              <c:showLegendKey val="0"/>
              <c:showVal val="1"/>
              <c:showCatName val="0"/>
              <c:showSerName val="0"/>
              <c:showPercent val="0"/>
              <c:showBubbleSize val="0"/>
              <c:extLst>
                <c:ext xmlns:c15="http://schemas.microsoft.com/office/drawing/2012/chart" uri="{CE6537A1-D6FC-4f65-9D91-7224C49458BB}">
                  <c15:dlblFieldTable>
                    <c15:dlblFTEntry>
                      <c15:txfldGUID>{DAAFFBD8-44D0-4719-9F18-23D420A5F853}</c15:txfldGUID>
                      <c15:f>'Concr. Curve'!$BS$38</c15:f>
                      <c15:dlblFieldTableCache>
                        <c:ptCount val="1"/>
                        <c:pt idx="0">
                          <c:v>#DIV/0!</c:v>
                        </c:pt>
                      </c15:dlblFieldTableCache>
                    </c15:dlblFTEntry>
                  </c15:dlblFieldTable>
                  <c15:showDataLabelsRange val="0"/>
                </c:ext>
                <c:ext xmlns:c16="http://schemas.microsoft.com/office/drawing/2014/chart" uri="{C3380CC4-5D6E-409C-BE32-E72D297353CC}">
                  <c16:uniqueId val="{00000016-D491-480A-97C5-B94C3A912C93}"/>
                </c:ext>
              </c:extLst>
            </c:dLbl>
            <c:dLbl>
              <c:idx val="23"/>
              <c:tx>
                <c:strRef>
                  <c:f>'Concr. Curve'!$BS$39</c:f>
                  <c:strCache>
                    <c:ptCount val="1"/>
                    <c:pt idx="0">
                      <c:v>#DIV/0!</c:v>
                    </c:pt>
                  </c:strCache>
                </c:strRef>
              </c:tx>
              <c:spPr/>
              <c:txPr>
                <a:bodyPr/>
                <a:lstStyle/>
                <a:p>
                  <a:pPr>
                    <a:defRPr>
                      <a:solidFill>
                        <a:srgbClr val="C00000"/>
                      </a:solidFill>
                    </a:defRPr>
                  </a:pPr>
                  <a:endParaRPr lang="en-US"/>
                </a:p>
              </c:txPr>
              <c:showLegendKey val="0"/>
              <c:showVal val="1"/>
              <c:showCatName val="0"/>
              <c:showSerName val="0"/>
              <c:showPercent val="0"/>
              <c:showBubbleSize val="0"/>
              <c:extLst>
                <c:ext xmlns:c15="http://schemas.microsoft.com/office/drawing/2012/chart" uri="{CE6537A1-D6FC-4f65-9D91-7224C49458BB}">
                  <c15:dlblFieldTable>
                    <c15:dlblFTEntry>
                      <c15:txfldGUID>{50D15907-B1D3-4878-A9E4-21B435D131D9}</c15:txfldGUID>
                      <c15:f>'Concr. Curve'!$BS$39</c15:f>
                      <c15:dlblFieldTableCache>
                        <c:ptCount val="1"/>
                        <c:pt idx="0">
                          <c:v>#DIV/0!</c:v>
                        </c:pt>
                      </c15:dlblFieldTableCache>
                    </c15:dlblFTEntry>
                  </c15:dlblFieldTable>
                  <c15:showDataLabelsRange val="0"/>
                </c:ext>
                <c:ext xmlns:c16="http://schemas.microsoft.com/office/drawing/2014/chart" uri="{C3380CC4-5D6E-409C-BE32-E72D297353CC}">
                  <c16:uniqueId val="{00000017-D491-480A-97C5-B94C3A912C93}"/>
                </c:ext>
              </c:extLst>
            </c:dLbl>
            <c:dLbl>
              <c:idx val="24"/>
              <c:tx>
                <c:strRef>
                  <c:f>'Concr. Curve'!$BS$40</c:f>
                  <c:strCache>
                    <c:ptCount val="1"/>
                    <c:pt idx="0">
                      <c:v>#DIV/0!</c:v>
                    </c:pt>
                  </c:strCache>
                </c:strRef>
              </c:tx>
              <c:spPr/>
              <c:txPr>
                <a:bodyPr/>
                <a:lstStyle/>
                <a:p>
                  <a:pPr>
                    <a:defRPr>
                      <a:solidFill>
                        <a:srgbClr val="C00000"/>
                      </a:solidFill>
                    </a:defRPr>
                  </a:pPr>
                  <a:endParaRPr lang="en-US"/>
                </a:p>
              </c:txPr>
              <c:showLegendKey val="0"/>
              <c:showVal val="1"/>
              <c:showCatName val="0"/>
              <c:showSerName val="0"/>
              <c:showPercent val="0"/>
              <c:showBubbleSize val="0"/>
              <c:extLst>
                <c:ext xmlns:c15="http://schemas.microsoft.com/office/drawing/2012/chart" uri="{CE6537A1-D6FC-4f65-9D91-7224C49458BB}">
                  <c15:dlblFieldTable>
                    <c15:dlblFTEntry>
                      <c15:txfldGUID>{D9D671E9-6126-4EC4-BD84-1FCD579DDA6A}</c15:txfldGUID>
                      <c15:f>'Concr. Curve'!$BS$40</c15:f>
                      <c15:dlblFieldTableCache>
                        <c:ptCount val="1"/>
                        <c:pt idx="0">
                          <c:v>#DIV/0!</c:v>
                        </c:pt>
                      </c15:dlblFieldTableCache>
                    </c15:dlblFTEntry>
                  </c15:dlblFieldTable>
                  <c15:showDataLabelsRange val="0"/>
                </c:ext>
                <c:ext xmlns:c16="http://schemas.microsoft.com/office/drawing/2014/chart" uri="{C3380CC4-5D6E-409C-BE32-E72D297353CC}">
                  <c16:uniqueId val="{00000018-D491-480A-97C5-B94C3A912C93}"/>
                </c:ext>
              </c:extLst>
            </c:dLbl>
            <c:dLbl>
              <c:idx val="25"/>
              <c:tx>
                <c:strRef>
                  <c:f>'Concr. Curve'!$BS$41</c:f>
                  <c:strCache>
                    <c:ptCount val="1"/>
                    <c:pt idx="0">
                      <c:v>#DIV/0!</c:v>
                    </c:pt>
                  </c:strCache>
                </c:strRef>
              </c:tx>
              <c:spPr/>
              <c:txPr>
                <a:bodyPr/>
                <a:lstStyle/>
                <a:p>
                  <a:pPr>
                    <a:defRPr>
                      <a:solidFill>
                        <a:srgbClr val="C00000"/>
                      </a:solidFill>
                    </a:defRPr>
                  </a:pPr>
                  <a:endParaRPr lang="en-US"/>
                </a:p>
              </c:txPr>
              <c:showLegendKey val="0"/>
              <c:showVal val="1"/>
              <c:showCatName val="0"/>
              <c:showSerName val="0"/>
              <c:showPercent val="0"/>
              <c:showBubbleSize val="0"/>
              <c:extLst>
                <c:ext xmlns:c15="http://schemas.microsoft.com/office/drawing/2012/chart" uri="{CE6537A1-D6FC-4f65-9D91-7224C49458BB}">
                  <c15:dlblFieldTable>
                    <c15:dlblFTEntry>
                      <c15:txfldGUID>{1F77B217-CA0B-4AD8-AF88-ABE0915B558B}</c15:txfldGUID>
                      <c15:f>'Concr. Curve'!$BS$41</c15:f>
                      <c15:dlblFieldTableCache>
                        <c:ptCount val="1"/>
                        <c:pt idx="0">
                          <c:v>#DIV/0!</c:v>
                        </c:pt>
                      </c15:dlblFieldTableCache>
                    </c15:dlblFTEntry>
                  </c15:dlblFieldTable>
                  <c15:showDataLabelsRange val="0"/>
                </c:ext>
                <c:ext xmlns:c16="http://schemas.microsoft.com/office/drawing/2014/chart" uri="{C3380CC4-5D6E-409C-BE32-E72D297353CC}">
                  <c16:uniqueId val="{00000019-D491-480A-97C5-B94C3A912C93}"/>
                </c:ext>
              </c:extLst>
            </c:dLbl>
            <c:dLbl>
              <c:idx val="26"/>
              <c:tx>
                <c:strRef>
                  <c:f>'Concr. Curve'!$BS$42</c:f>
                  <c:strCache>
                    <c:ptCount val="1"/>
                    <c:pt idx="0">
                      <c:v>#DIV/0!</c:v>
                    </c:pt>
                  </c:strCache>
                </c:strRef>
              </c:tx>
              <c:spPr/>
              <c:txPr>
                <a:bodyPr/>
                <a:lstStyle/>
                <a:p>
                  <a:pPr>
                    <a:defRPr>
                      <a:solidFill>
                        <a:srgbClr val="C00000"/>
                      </a:solidFill>
                    </a:defRPr>
                  </a:pPr>
                  <a:endParaRPr lang="en-US"/>
                </a:p>
              </c:txPr>
              <c:showLegendKey val="0"/>
              <c:showVal val="1"/>
              <c:showCatName val="0"/>
              <c:showSerName val="0"/>
              <c:showPercent val="0"/>
              <c:showBubbleSize val="0"/>
              <c:extLst>
                <c:ext xmlns:c15="http://schemas.microsoft.com/office/drawing/2012/chart" uri="{CE6537A1-D6FC-4f65-9D91-7224C49458BB}">
                  <c15:dlblFieldTable>
                    <c15:dlblFTEntry>
                      <c15:txfldGUID>{32D57484-A406-4C68-A21F-BA5778182DD9}</c15:txfldGUID>
                      <c15:f>'Concr. Curve'!$BS$42</c15:f>
                      <c15:dlblFieldTableCache>
                        <c:ptCount val="1"/>
                        <c:pt idx="0">
                          <c:v>#DIV/0!</c:v>
                        </c:pt>
                      </c15:dlblFieldTableCache>
                    </c15:dlblFTEntry>
                  </c15:dlblFieldTable>
                  <c15:showDataLabelsRange val="0"/>
                </c:ext>
                <c:ext xmlns:c16="http://schemas.microsoft.com/office/drawing/2014/chart" uri="{C3380CC4-5D6E-409C-BE32-E72D297353CC}">
                  <c16:uniqueId val="{0000001A-D491-480A-97C5-B94C3A912C93}"/>
                </c:ext>
              </c:extLst>
            </c:dLbl>
            <c:dLbl>
              <c:idx val="27"/>
              <c:tx>
                <c:strRef>
                  <c:f>'Concr. Curve'!$BS$43</c:f>
                  <c:strCache>
                    <c:ptCount val="1"/>
                    <c:pt idx="0">
                      <c:v>#DIV/0!</c:v>
                    </c:pt>
                  </c:strCache>
                </c:strRef>
              </c:tx>
              <c:spPr/>
              <c:txPr>
                <a:bodyPr/>
                <a:lstStyle/>
                <a:p>
                  <a:pPr>
                    <a:defRPr>
                      <a:solidFill>
                        <a:srgbClr val="C00000"/>
                      </a:solidFill>
                    </a:defRPr>
                  </a:pPr>
                  <a:endParaRPr lang="en-US"/>
                </a:p>
              </c:txPr>
              <c:showLegendKey val="0"/>
              <c:showVal val="1"/>
              <c:showCatName val="0"/>
              <c:showSerName val="0"/>
              <c:showPercent val="0"/>
              <c:showBubbleSize val="0"/>
              <c:extLst>
                <c:ext xmlns:c15="http://schemas.microsoft.com/office/drawing/2012/chart" uri="{CE6537A1-D6FC-4f65-9D91-7224C49458BB}">
                  <c15:dlblFieldTable>
                    <c15:dlblFTEntry>
                      <c15:txfldGUID>{F31AA8F0-BC61-4075-9466-3397534FD441}</c15:txfldGUID>
                      <c15:f>'Concr. Curve'!$BS$43</c15:f>
                      <c15:dlblFieldTableCache>
                        <c:ptCount val="1"/>
                        <c:pt idx="0">
                          <c:v>#DIV/0!</c:v>
                        </c:pt>
                      </c15:dlblFieldTableCache>
                    </c15:dlblFTEntry>
                  </c15:dlblFieldTable>
                  <c15:showDataLabelsRange val="0"/>
                </c:ext>
                <c:ext xmlns:c16="http://schemas.microsoft.com/office/drawing/2014/chart" uri="{C3380CC4-5D6E-409C-BE32-E72D297353CC}">
                  <c16:uniqueId val="{0000001B-D491-480A-97C5-B94C3A912C93}"/>
                </c:ext>
              </c:extLst>
            </c:dLbl>
            <c:dLbl>
              <c:idx val="28"/>
              <c:tx>
                <c:strRef>
                  <c:f>'Concr. Curve'!$BS$44</c:f>
                  <c:strCache>
                    <c:ptCount val="1"/>
                    <c:pt idx="0">
                      <c:v>#DIV/0!</c:v>
                    </c:pt>
                  </c:strCache>
                </c:strRef>
              </c:tx>
              <c:spPr/>
              <c:txPr>
                <a:bodyPr/>
                <a:lstStyle/>
                <a:p>
                  <a:pPr>
                    <a:defRPr>
                      <a:solidFill>
                        <a:srgbClr val="C00000"/>
                      </a:solidFill>
                    </a:defRPr>
                  </a:pPr>
                  <a:endParaRPr lang="en-US"/>
                </a:p>
              </c:txPr>
              <c:showLegendKey val="0"/>
              <c:showVal val="1"/>
              <c:showCatName val="0"/>
              <c:showSerName val="0"/>
              <c:showPercent val="0"/>
              <c:showBubbleSize val="0"/>
              <c:extLst>
                <c:ext xmlns:c15="http://schemas.microsoft.com/office/drawing/2012/chart" uri="{CE6537A1-D6FC-4f65-9D91-7224C49458BB}">
                  <c15:dlblFieldTable>
                    <c15:dlblFTEntry>
                      <c15:txfldGUID>{13F69218-677F-4015-B0FD-3272BD6E8A3F}</c15:txfldGUID>
                      <c15:f>'Concr. Curve'!$BS$44</c15:f>
                      <c15:dlblFieldTableCache>
                        <c:ptCount val="1"/>
                        <c:pt idx="0">
                          <c:v>#DIV/0!</c:v>
                        </c:pt>
                      </c15:dlblFieldTableCache>
                    </c15:dlblFTEntry>
                  </c15:dlblFieldTable>
                  <c15:showDataLabelsRange val="0"/>
                </c:ext>
                <c:ext xmlns:c16="http://schemas.microsoft.com/office/drawing/2014/chart" uri="{C3380CC4-5D6E-409C-BE32-E72D297353CC}">
                  <c16:uniqueId val="{0000001C-D491-480A-97C5-B94C3A912C93}"/>
                </c:ext>
              </c:extLst>
            </c:dLbl>
            <c:dLbl>
              <c:idx val="29"/>
              <c:tx>
                <c:strRef>
                  <c:f>'Concr. Curve'!$BS$45</c:f>
                  <c:strCache>
                    <c:ptCount val="1"/>
                    <c:pt idx="0">
                      <c:v>#DIV/0!</c:v>
                    </c:pt>
                  </c:strCache>
                </c:strRef>
              </c:tx>
              <c:spPr/>
              <c:txPr>
                <a:bodyPr/>
                <a:lstStyle/>
                <a:p>
                  <a:pPr>
                    <a:defRPr>
                      <a:solidFill>
                        <a:srgbClr val="C00000"/>
                      </a:solidFill>
                    </a:defRPr>
                  </a:pPr>
                  <a:endParaRPr lang="en-US"/>
                </a:p>
              </c:txPr>
              <c:showLegendKey val="0"/>
              <c:showVal val="1"/>
              <c:showCatName val="0"/>
              <c:showSerName val="0"/>
              <c:showPercent val="0"/>
              <c:showBubbleSize val="0"/>
              <c:extLst>
                <c:ext xmlns:c15="http://schemas.microsoft.com/office/drawing/2012/chart" uri="{CE6537A1-D6FC-4f65-9D91-7224C49458BB}">
                  <c15:dlblFieldTable>
                    <c15:dlblFTEntry>
                      <c15:txfldGUID>{92453970-FC18-474C-AF2C-E961DB16FCC4}</c15:txfldGUID>
                      <c15:f>'Concr. Curve'!$BS$45</c15:f>
                      <c15:dlblFieldTableCache>
                        <c:ptCount val="1"/>
                        <c:pt idx="0">
                          <c:v>#DIV/0!</c:v>
                        </c:pt>
                      </c15:dlblFieldTableCache>
                    </c15:dlblFTEntry>
                  </c15:dlblFieldTable>
                  <c15:showDataLabelsRange val="0"/>
                </c:ext>
                <c:ext xmlns:c16="http://schemas.microsoft.com/office/drawing/2014/chart" uri="{C3380CC4-5D6E-409C-BE32-E72D297353CC}">
                  <c16:uniqueId val="{0000001D-D491-480A-97C5-B94C3A912C93}"/>
                </c:ext>
              </c:extLst>
            </c:dLbl>
            <c:dLbl>
              <c:idx val="30"/>
              <c:tx>
                <c:strRef>
                  <c:f>'Concr. Curve'!$BS$46</c:f>
                  <c:strCache>
                    <c:ptCount val="1"/>
                    <c:pt idx="0">
                      <c:v>#DIV/0!</c:v>
                    </c:pt>
                  </c:strCache>
                </c:strRef>
              </c:tx>
              <c:spPr/>
              <c:txPr>
                <a:bodyPr/>
                <a:lstStyle/>
                <a:p>
                  <a:pPr>
                    <a:defRPr>
                      <a:solidFill>
                        <a:srgbClr val="C00000"/>
                      </a:solidFill>
                    </a:defRPr>
                  </a:pPr>
                  <a:endParaRPr lang="en-US"/>
                </a:p>
              </c:txPr>
              <c:showLegendKey val="0"/>
              <c:showVal val="1"/>
              <c:showCatName val="0"/>
              <c:showSerName val="0"/>
              <c:showPercent val="0"/>
              <c:showBubbleSize val="0"/>
              <c:extLst>
                <c:ext xmlns:c15="http://schemas.microsoft.com/office/drawing/2012/chart" uri="{CE6537A1-D6FC-4f65-9D91-7224C49458BB}">
                  <c15:dlblFieldTable>
                    <c15:dlblFTEntry>
                      <c15:txfldGUID>{6E05D0FE-BDCB-46AC-8BFD-8D170AFEEDE7}</c15:txfldGUID>
                      <c15:f>'Concr. Curve'!$BS$46</c15:f>
                      <c15:dlblFieldTableCache>
                        <c:ptCount val="1"/>
                        <c:pt idx="0">
                          <c:v>#DIV/0!</c:v>
                        </c:pt>
                      </c15:dlblFieldTableCache>
                    </c15:dlblFTEntry>
                  </c15:dlblFieldTable>
                  <c15:showDataLabelsRange val="0"/>
                </c:ext>
                <c:ext xmlns:c16="http://schemas.microsoft.com/office/drawing/2014/chart" uri="{C3380CC4-5D6E-409C-BE32-E72D297353CC}">
                  <c16:uniqueId val="{0000001E-D491-480A-97C5-B94C3A912C93}"/>
                </c:ext>
              </c:extLst>
            </c:dLbl>
            <c:dLbl>
              <c:idx val="31"/>
              <c:tx>
                <c:strRef>
                  <c:f>'Concr. Curve'!$BS$47</c:f>
                  <c:strCache>
                    <c:ptCount val="1"/>
                    <c:pt idx="0">
                      <c:v>#DIV/0!</c:v>
                    </c:pt>
                  </c:strCache>
                </c:strRef>
              </c:tx>
              <c:spPr/>
              <c:txPr>
                <a:bodyPr/>
                <a:lstStyle/>
                <a:p>
                  <a:pPr>
                    <a:defRPr>
                      <a:solidFill>
                        <a:srgbClr val="C00000"/>
                      </a:solidFill>
                    </a:defRPr>
                  </a:pPr>
                  <a:endParaRPr lang="en-US"/>
                </a:p>
              </c:txPr>
              <c:showLegendKey val="0"/>
              <c:showVal val="1"/>
              <c:showCatName val="0"/>
              <c:showSerName val="0"/>
              <c:showPercent val="0"/>
              <c:showBubbleSize val="0"/>
              <c:extLst>
                <c:ext xmlns:c15="http://schemas.microsoft.com/office/drawing/2012/chart" uri="{CE6537A1-D6FC-4f65-9D91-7224C49458BB}">
                  <c15:dlblFieldTable>
                    <c15:dlblFTEntry>
                      <c15:txfldGUID>{F92F5A1A-C148-4F48-A020-B0D625137718}</c15:txfldGUID>
                      <c15:f>'Concr. Curve'!$BS$47</c15:f>
                      <c15:dlblFieldTableCache>
                        <c:ptCount val="1"/>
                        <c:pt idx="0">
                          <c:v>#DIV/0!</c:v>
                        </c:pt>
                      </c15:dlblFieldTableCache>
                    </c15:dlblFTEntry>
                  </c15:dlblFieldTable>
                  <c15:showDataLabelsRange val="0"/>
                </c:ext>
                <c:ext xmlns:c16="http://schemas.microsoft.com/office/drawing/2014/chart" uri="{C3380CC4-5D6E-409C-BE32-E72D297353CC}">
                  <c16:uniqueId val="{0000001F-D491-480A-97C5-B94C3A912C93}"/>
                </c:ext>
              </c:extLst>
            </c:dLbl>
            <c:dLbl>
              <c:idx val="32"/>
              <c:tx>
                <c:strRef>
                  <c:f>'Concr. Curve'!$BS$48</c:f>
                  <c:strCache>
                    <c:ptCount val="1"/>
                    <c:pt idx="0">
                      <c:v>#DIV/0!</c:v>
                    </c:pt>
                  </c:strCache>
                </c:strRef>
              </c:tx>
              <c:spPr/>
              <c:txPr>
                <a:bodyPr/>
                <a:lstStyle/>
                <a:p>
                  <a:pPr>
                    <a:defRPr>
                      <a:solidFill>
                        <a:srgbClr val="C00000"/>
                      </a:solidFill>
                    </a:defRPr>
                  </a:pPr>
                  <a:endParaRPr lang="en-US"/>
                </a:p>
              </c:txPr>
              <c:showLegendKey val="0"/>
              <c:showVal val="1"/>
              <c:showCatName val="0"/>
              <c:showSerName val="0"/>
              <c:showPercent val="0"/>
              <c:showBubbleSize val="0"/>
              <c:extLst>
                <c:ext xmlns:c15="http://schemas.microsoft.com/office/drawing/2012/chart" uri="{CE6537A1-D6FC-4f65-9D91-7224C49458BB}">
                  <c15:dlblFieldTable>
                    <c15:dlblFTEntry>
                      <c15:txfldGUID>{7DC09F5C-F4F3-49A4-9F6B-F627901095F1}</c15:txfldGUID>
                      <c15:f>'Concr. Curve'!$BS$48</c15:f>
                      <c15:dlblFieldTableCache>
                        <c:ptCount val="1"/>
                        <c:pt idx="0">
                          <c:v>#DIV/0!</c:v>
                        </c:pt>
                      </c15:dlblFieldTableCache>
                    </c15:dlblFTEntry>
                  </c15:dlblFieldTable>
                  <c15:showDataLabelsRange val="0"/>
                </c:ext>
                <c:ext xmlns:c16="http://schemas.microsoft.com/office/drawing/2014/chart" uri="{C3380CC4-5D6E-409C-BE32-E72D297353CC}">
                  <c16:uniqueId val="{00000020-D491-480A-97C5-B94C3A912C93}"/>
                </c:ext>
              </c:extLst>
            </c:dLbl>
            <c:dLbl>
              <c:idx val="33"/>
              <c:tx>
                <c:strRef>
                  <c:f>'Concr. Curve'!$BS$49</c:f>
                  <c:strCache>
                    <c:ptCount val="1"/>
                    <c:pt idx="0">
                      <c:v>#DIV/0!</c:v>
                    </c:pt>
                  </c:strCache>
                </c:strRef>
              </c:tx>
              <c:spPr/>
              <c:txPr>
                <a:bodyPr/>
                <a:lstStyle/>
                <a:p>
                  <a:pPr>
                    <a:defRPr>
                      <a:solidFill>
                        <a:srgbClr val="C00000"/>
                      </a:solidFill>
                    </a:defRPr>
                  </a:pPr>
                  <a:endParaRPr lang="en-US"/>
                </a:p>
              </c:txPr>
              <c:showLegendKey val="0"/>
              <c:showVal val="1"/>
              <c:showCatName val="0"/>
              <c:showSerName val="0"/>
              <c:showPercent val="0"/>
              <c:showBubbleSize val="0"/>
              <c:extLst>
                <c:ext xmlns:c15="http://schemas.microsoft.com/office/drawing/2012/chart" uri="{CE6537A1-D6FC-4f65-9D91-7224C49458BB}">
                  <c15:dlblFieldTable>
                    <c15:dlblFTEntry>
                      <c15:txfldGUID>{493E34BE-77EA-4B6E-9310-338C754FDE83}</c15:txfldGUID>
                      <c15:f>'Concr. Curve'!$BS$49</c15:f>
                      <c15:dlblFieldTableCache>
                        <c:ptCount val="1"/>
                        <c:pt idx="0">
                          <c:v>#DIV/0!</c:v>
                        </c:pt>
                      </c15:dlblFieldTableCache>
                    </c15:dlblFTEntry>
                  </c15:dlblFieldTable>
                  <c15:showDataLabelsRange val="0"/>
                </c:ext>
                <c:ext xmlns:c16="http://schemas.microsoft.com/office/drawing/2014/chart" uri="{C3380CC4-5D6E-409C-BE32-E72D297353CC}">
                  <c16:uniqueId val="{00000021-D491-480A-97C5-B94C3A912C93}"/>
                </c:ext>
              </c:extLst>
            </c:dLbl>
            <c:dLbl>
              <c:idx val="34"/>
              <c:tx>
                <c:strRef>
                  <c:f>'Concr. Curve'!$BS$50</c:f>
                  <c:strCache>
                    <c:ptCount val="1"/>
                    <c:pt idx="0">
                      <c:v>#DIV/0!</c:v>
                    </c:pt>
                  </c:strCache>
                </c:strRef>
              </c:tx>
              <c:spPr/>
              <c:txPr>
                <a:bodyPr/>
                <a:lstStyle/>
                <a:p>
                  <a:pPr>
                    <a:defRPr>
                      <a:solidFill>
                        <a:srgbClr val="C00000"/>
                      </a:solidFill>
                    </a:defRPr>
                  </a:pPr>
                  <a:endParaRPr lang="en-US"/>
                </a:p>
              </c:txPr>
              <c:showLegendKey val="0"/>
              <c:showVal val="1"/>
              <c:showCatName val="0"/>
              <c:showSerName val="0"/>
              <c:showPercent val="0"/>
              <c:showBubbleSize val="0"/>
              <c:extLst>
                <c:ext xmlns:c15="http://schemas.microsoft.com/office/drawing/2012/chart" uri="{CE6537A1-D6FC-4f65-9D91-7224C49458BB}">
                  <c15:dlblFieldTable>
                    <c15:dlblFTEntry>
                      <c15:txfldGUID>{9DCC3E48-ABD6-4D2F-9A21-81F5CA17C541}</c15:txfldGUID>
                      <c15:f>'Concr. Curve'!$BS$50</c15:f>
                      <c15:dlblFieldTableCache>
                        <c:ptCount val="1"/>
                        <c:pt idx="0">
                          <c:v>#DIV/0!</c:v>
                        </c:pt>
                      </c15:dlblFieldTableCache>
                    </c15:dlblFTEntry>
                  </c15:dlblFieldTable>
                  <c15:showDataLabelsRange val="0"/>
                </c:ext>
                <c:ext xmlns:c16="http://schemas.microsoft.com/office/drawing/2014/chart" uri="{C3380CC4-5D6E-409C-BE32-E72D297353CC}">
                  <c16:uniqueId val="{00000022-D491-480A-97C5-B94C3A912C93}"/>
                </c:ext>
              </c:extLst>
            </c:dLbl>
            <c:dLbl>
              <c:idx val="35"/>
              <c:tx>
                <c:strRef>
                  <c:f>'Concr. Curve'!$BS$51</c:f>
                  <c:strCache>
                    <c:ptCount val="1"/>
                    <c:pt idx="0">
                      <c:v>#DIV/0!</c:v>
                    </c:pt>
                  </c:strCache>
                </c:strRef>
              </c:tx>
              <c:spPr/>
              <c:txPr>
                <a:bodyPr/>
                <a:lstStyle/>
                <a:p>
                  <a:pPr>
                    <a:defRPr>
                      <a:solidFill>
                        <a:srgbClr val="C00000"/>
                      </a:solidFill>
                    </a:defRPr>
                  </a:pPr>
                  <a:endParaRPr lang="en-US"/>
                </a:p>
              </c:txPr>
              <c:showLegendKey val="0"/>
              <c:showVal val="1"/>
              <c:showCatName val="0"/>
              <c:showSerName val="0"/>
              <c:showPercent val="0"/>
              <c:showBubbleSize val="0"/>
              <c:extLst>
                <c:ext xmlns:c15="http://schemas.microsoft.com/office/drawing/2012/chart" uri="{CE6537A1-D6FC-4f65-9D91-7224C49458BB}">
                  <c15:dlblFieldTable>
                    <c15:dlblFTEntry>
                      <c15:txfldGUID>{D5019727-A31E-49B5-A4FA-D0F06D42939E}</c15:txfldGUID>
                      <c15:f>'Concr. Curve'!$BS$51</c15:f>
                      <c15:dlblFieldTableCache>
                        <c:ptCount val="1"/>
                        <c:pt idx="0">
                          <c:v>#DIV/0!</c:v>
                        </c:pt>
                      </c15:dlblFieldTableCache>
                    </c15:dlblFTEntry>
                  </c15:dlblFieldTable>
                  <c15:showDataLabelsRange val="0"/>
                </c:ext>
                <c:ext xmlns:c16="http://schemas.microsoft.com/office/drawing/2014/chart" uri="{C3380CC4-5D6E-409C-BE32-E72D297353CC}">
                  <c16:uniqueId val="{00000023-D491-480A-97C5-B94C3A912C93}"/>
                </c:ext>
              </c:extLst>
            </c:dLbl>
            <c:dLbl>
              <c:idx val="36"/>
              <c:tx>
                <c:strRef>
                  <c:f>'Concr. Curve'!$BS$52</c:f>
                  <c:strCache>
                    <c:ptCount val="1"/>
                    <c:pt idx="0">
                      <c:v>#DIV/0!</c:v>
                    </c:pt>
                  </c:strCache>
                </c:strRef>
              </c:tx>
              <c:spPr/>
              <c:txPr>
                <a:bodyPr/>
                <a:lstStyle/>
                <a:p>
                  <a:pPr>
                    <a:defRPr>
                      <a:solidFill>
                        <a:srgbClr val="C00000"/>
                      </a:solidFill>
                    </a:defRPr>
                  </a:pPr>
                  <a:endParaRPr lang="en-US"/>
                </a:p>
              </c:txPr>
              <c:showLegendKey val="0"/>
              <c:showVal val="1"/>
              <c:showCatName val="0"/>
              <c:showSerName val="0"/>
              <c:showPercent val="0"/>
              <c:showBubbleSize val="0"/>
              <c:extLst>
                <c:ext xmlns:c15="http://schemas.microsoft.com/office/drawing/2012/chart" uri="{CE6537A1-D6FC-4f65-9D91-7224C49458BB}">
                  <c15:dlblFieldTable>
                    <c15:dlblFTEntry>
                      <c15:txfldGUID>{8601828C-F17B-49E8-B62C-D5FC0552EBBB}</c15:txfldGUID>
                      <c15:f>'Concr. Curve'!$BS$52</c15:f>
                      <c15:dlblFieldTableCache>
                        <c:ptCount val="1"/>
                        <c:pt idx="0">
                          <c:v>#DIV/0!</c:v>
                        </c:pt>
                      </c15:dlblFieldTableCache>
                    </c15:dlblFTEntry>
                  </c15:dlblFieldTable>
                  <c15:showDataLabelsRange val="0"/>
                </c:ext>
                <c:ext xmlns:c16="http://schemas.microsoft.com/office/drawing/2014/chart" uri="{C3380CC4-5D6E-409C-BE32-E72D297353CC}">
                  <c16:uniqueId val="{00000024-D491-480A-97C5-B94C3A912C93}"/>
                </c:ext>
              </c:extLst>
            </c:dLbl>
            <c:dLbl>
              <c:idx val="37"/>
              <c:tx>
                <c:strRef>
                  <c:f>'Concr. Curve'!$BS$53</c:f>
                  <c:strCache>
                    <c:ptCount val="1"/>
                    <c:pt idx="0">
                      <c:v>#DIV/0!</c:v>
                    </c:pt>
                  </c:strCache>
                </c:strRef>
              </c:tx>
              <c:spPr/>
              <c:txPr>
                <a:bodyPr/>
                <a:lstStyle/>
                <a:p>
                  <a:pPr>
                    <a:defRPr>
                      <a:solidFill>
                        <a:srgbClr val="C00000"/>
                      </a:solidFill>
                    </a:defRPr>
                  </a:pPr>
                  <a:endParaRPr lang="en-US"/>
                </a:p>
              </c:txPr>
              <c:showLegendKey val="0"/>
              <c:showVal val="1"/>
              <c:showCatName val="0"/>
              <c:showSerName val="0"/>
              <c:showPercent val="0"/>
              <c:showBubbleSize val="0"/>
              <c:extLst>
                <c:ext xmlns:c15="http://schemas.microsoft.com/office/drawing/2012/chart" uri="{CE6537A1-D6FC-4f65-9D91-7224C49458BB}">
                  <c15:dlblFieldTable>
                    <c15:dlblFTEntry>
                      <c15:txfldGUID>{C96FC528-6CB6-42A5-A785-D89CE10E207B}</c15:txfldGUID>
                      <c15:f>'Concr. Curve'!$BS$53</c15:f>
                      <c15:dlblFieldTableCache>
                        <c:ptCount val="1"/>
                        <c:pt idx="0">
                          <c:v>#DIV/0!</c:v>
                        </c:pt>
                      </c15:dlblFieldTableCache>
                    </c15:dlblFTEntry>
                  </c15:dlblFieldTable>
                  <c15:showDataLabelsRange val="0"/>
                </c:ext>
                <c:ext xmlns:c16="http://schemas.microsoft.com/office/drawing/2014/chart" uri="{C3380CC4-5D6E-409C-BE32-E72D297353CC}">
                  <c16:uniqueId val="{00000025-D491-480A-97C5-B94C3A912C93}"/>
                </c:ext>
              </c:extLst>
            </c:dLbl>
            <c:dLbl>
              <c:idx val="38"/>
              <c:layout>
                <c:manualLayout>
                  <c:x val="8.3407804587430964E-3"/>
                  <c:y val="0"/>
                </c:manualLayout>
              </c:layout>
              <c:tx>
                <c:strRef>
                  <c:f>'Concr. Curve'!$BS$54</c:f>
                  <c:strCache>
                    <c:ptCount val="1"/>
                    <c:pt idx="0">
                      <c:v>#DIV/0!</c:v>
                    </c:pt>
                  </c:strCache>
                </c:strRef>
              </c:tx>
              <c:spPr/>
              <c:txPr>
                <a:bodyPr/>
                <a:lstStyle/>
                <a:p>
                  <a:pPr>
                    <a:defRPr>
                      <a:solidFill>
                        <a:srgbClr val="C00000"/>
                      </a:solidFill>
                    </a:defRPr>
                  </a:pPr>
                  <a:endParaRPr lang="en-US"/>
                </a:p>
              </c:txPr>
              <c:showLegendKey val="0"/>
              <c:showVal val="1"/>
              <c:showCatName val="0"/>
              <c:showSerName val="0"/>
              <c:showPercent val="0"/>
              <c:showBubbleSize val="0"/>
              <c:extLst>
                <c:ext xmlns:c15="http://schemas.microsoft.com/office/drawing/2012/chart" uri="{CE6537A1-D6FC-4f65-9D91-7224C49458BB}">
                  <c15:dlblFieldTable>
                    <c15:dlblFTEntry>
                      <c15:txfldGUID>{45569F1D-ABD6-410E-AAFE-B0B940E9214F}</c15:txfldGUID>
                      <c15:f>'Concr. Curve'!$BS$54</c15:f>
                      <c15:dlblFieldTableCache>
                        <c:ptCount val="1"/>
                        <c:pt idx="0">
                          <c:v>#DIV/0!</c:v>
                        </c:pt>
                      </c15:dlblFieldTableCache>
                    </c15:dlblFTEntry>
                  </c15:dlblFieldTable>
                  <c15:showDataLabelsRange val="0"/>
                </c:ext>
                <c:ext xmlns:c16="http://schemas.microsoft.com/office/drawing/2014/chart" uri="{C3380CC4-5D6E-409C-BE32-E72D297353CC}">
                  <c16:uniqueId val="{00000026-D491-480A-97C5-B94C3A912C93}"/>
                </c:ext>
              </c:extLst>
            </c:dLbl>
            <c:dLbl>
              <c:idx val="39"/>
              <c:tx>
                <c:strRef>
                  <c:f>'Concr. Curve'!$BS$55</c:f>
                  <c:strCache>
                    <c:ptCount val="1"/>
                    <c:pt idx="0">
                      <c:v>#DIV/0!</c:v>
                    </c:pt>
                  </c:strCache>
                </c:strRef>
              </c:tx>
              <c:spPr/>
              <c:txPr>
                <a:bodyPr/>
                <a:lstStyle/>
                <a:p>
                  <a:pPr>
                    <a:defRPr>
                      <a:solidFill>
                        <a:srgbClr val="C00000"/>
                      </a:solidFill>
                    </a:defRPr>
                  </a:pPr>
                  <a:endParaRPr lang="en-US"/>
                </a:p>
              </c:txPr>
              <c:showLegendKey val="0"/>
              <c:showVal val="1"/>
              <c:showCatName val="0"/>
              <c:showSerName val="0"/>
              <c:showPercent val="0"/>
              <c:showBubbleSize val="0"/>
              <c:extLst>
                <c:ext xmlns:c15="http://schemas.microsoft.com/office/drawing/2012/chart" uri="{CE6537A1-D6FC-4f65-9D91-7224C49458BB}">
                  <c15:dlblFieldTable>
                    <c15:dlblFTEntry>
                      <c15:txfldGUID>{213E3D5E-3B4C-46AB-B8F3-B75930AE7F7E}</c15:txfldGUID>
                      <c15:f>'Concr. Curve'!$BS$55</c15:f>
                      <c15:dlblFieldTableCache>
                        <c:ptCount val="1"/>
                        <c:pt idx="0">
                          <c:v>#DIV/0!</c:v>
                        </c:pt>
                      </c15:dlblFieldTableCache>
                    </c15:dlblFTEntry>
                  </c15:dlblFieldTable>
                  <c15:showDataLabelsRange val="0"/>
                </c:ext>
                <c:ext xmlns:c16="http://schemas.microsoft.com/office/drawing/2014/chart" uri="{C3380CC4-5D6E-409C-BE32-E72D297353CC}">
                  <c16:uniqueId val="{00000027-D491-480A-97C5-B94C3A912C93}"/>
                </c:ext>
              </c:extLst>
            </c:dLbl>
            <c:dLbl>
              <c:idx val="40"/>
              <c:delete val="1"/>
              <c:extLst>
                <c:ext xmlns:c15="http://schemas.microsoft.com/office/drawing/2012/chart" uri="{CE6537A1-D6FC-4f65-9D91-7224C49458BB}"/>
                <c:ext xmlns:c16="http://schemas.microsoft.com/office/drawing/2014/chart" uri="{C3380CC4-5D6E-409C-BE32-E72D297353CC}">
                  <c16:uniqueId val="{00000028-D491-480A-97C5-B94C3A912C93}"/>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'Concr. Curve'!$BP$16:$BP$56</c:f>
              <c:numCache>
                <c:formatCode>0.00</c:formatCode>
                <c:ptCount val="4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formatCode="General">
                  <c:v>0</c:v>
                </c:pt>
              </c:numCache>
            </c:numRef>
          </c:xVal>
          <c:yVal>
            <c:numRef>
              <c:f>'Concr. Curve'!$CA$16:$CA$56</c:f>
              <c:numCache>
                <c:formatCode>0.00</c:formatCode>
                <c:ptCount val="4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numCache>
            </c:numRef>
          </c:yVal>
          <c:smooth val="0"/>
          <c:extLst>
            <c:ext xmlns:c16="http://schemas.microsoft.com/office/drawing/2014/chart" uri="{C3380CC4-5D6E-409C-BE32-E72D297353CC}">
              <c16:uniqueId val="{00000029-D491-480A-97C5-B94C3A912C93}"/>
            </c:ext>
          </c:extLst>
        </c:ser>
        <c:ser>
          <c:idx val="1"/>
          <c:order val="1"/>
          <c:tx>
            <c:strRef>
              <c:f>'Concr. Curve'!$CU$48</c:f>
              <c:strCache>
                <c:ptCount val="1"/>
                <c:pt idx="0">
                  <c:v>Theor. Uncased   ( Dia. =  ft )</c:v>
                </c:pt>
              </c:strCache>
            </c:strRef>
          </c:tx>
          <c:spPr>
            <a:ln w="15875">
              <a:solidFill>
                <a:srgbClr val="FF0000"/>
              </a:solidFill>
            </a:ln>
          </c:spPr>
          <c:marker>
            <c:symbol val="none"/>
          </c:marker>
          <c:xVal>
            <c:numRef>
              <c:f>'Concr. Curve'!$CQ$56:$CQ$57</c:f>
              <c:numCache>
                <c:formatCode>0.00</c:formatCode>
                <c:ptCount val="2"/>
                <c:pt idx="0">
                  <c:v>0</c:v>
                </c:pt>
                <c:pt idx="1">
                  <c:v>0</c:v>
                </c:pt>
              </c:numCache>
            </c:numRef>
          </c:xVal>
          <c:yVal>
            <c:numRef>
              <c:f>'Concr. Curve'!$CR$56:$CR$57</c:f>
              <c:numCache>
                <c:formatCode>0.00</c:formatCode>
                <c:ptCount val="2"/>
                <c:pt idx="0">
                  <c:v>0</c:v>
                </c:pt>
                <c:pt idx="1">
                  <c:v>0</c:v>
                </c:pt>
              </c:numCache>
            </c:numRef>
          </c:yVal>
          <c:smooth val="0"/>
          <c:extLst>
            <c:ext xmlns:c16="http://schemas.microsoft.com/office/drawing/2014/chart" uri="{C3380CC4-5D6E-409C-BE32-E72D297353CC}">
              <c16:uniqueId val="{0000002A-D491-480A-97C5-B94C3A912C93}"/>
            </c:ext>
          </c:extLst>
        </c:ser>
        <c:ser>
          <c:idx val="0"/>
          <c:order val="2"/>
          <c:tx>
            <c:strRef>
              <c:f>'Concr. Curve'!$CU$47</c:f>
              <c:strCache>
                <c:ptCount val="1"/>
              </c:strCache>
            </c:strRef>
          </c:tx>
          <c:spPr>
            <a:ln w="12700">
              <a:solidFill>
                <a:srgbClr val="7030A0"/>
              </a:solidFill>
            </a:ln>
          </c:spPr>
          <c:marker>
            <c:symbol val="none"/>
          </c:marker>
          <c:dPt>
            <c:idx val="1"/>
            <c:bubble3D val="0"/>
            <c:spPr>
              <a:ln w="19050">
                <a:solidFill>
                  <a:srgbClr val="7030A0"/>
                </a:solidFill>
              </a:ln>
            </c:spPr>
            <c:extLst>
              <c:ext xmlns:c16="http://schemas.microsoft.com/office/drawing/2014/chart" uri="{C3380CC4-5D6E-409C-BE32-E72D297353CC}">
                <c16:uniqueId val="{0000002C-D491-480A-97C5-B94C3A912C93}"/>
              </c:ext>
            </c:extLst>
          </c:dPt>
          <c:dLbls>
            <c:dLbl>
              <c:idx val="0"/>
              <c:delete val="1"/>
              <c:extLst>
                <c:ext xmlns:c15="http://schemas.microsoft.com/office/drawing/2012/chart" uri="{CE6537A1-D6FC-4f65-9D91-7224C49458BB}"/>
                <c:ext xmlns:c16="http://schemas.microsoft.com/office/drawing/2014/chart" uri="{C3380CC4-5D6E-409C-BE32-E72D297353CC}">
                  <c16:uniqueId val="{0000002B-D491-480A-97C5-B94C3A912C93}"/>
                </c:ext>
              </c:extLst>
            </c:dLbl>
            <c:dLbl>
              <c:idx val="1"/>
              <c:delete val="1"/>
              <c:extLst>
                <c:ext xmlns:c15="http://schemas.microsoft.com/office/drawing/2012/chart" uri="{CE6537A1-D6FC-4f65-9D91-7224C49458BB}"/>
                <c:ext xmlns:c16="http://schemas.microsoft.com/office/drawing/2014/chart" uri="{C3380CC4-5D6E-409C-BE32-E72D297353CC}">
                  <c16:uniqueId val="{0000002C-D491-480A-97C5-B94C3A912C93}"/>
                </c:ext>
              </c:extLst>
            </c:dLbl>
            <c:spPr>
              <a:solidFill>
                <a:schemeClr val="bg1"/>
              </a:solidFill>
            </c:spPr>
            <c:txPr>
              <a:bodyPr/>
              <a:lstStyle/>
              <a:p>
                <a:pPr>
                  <a:defRPr sz="900"/>
                </a:pPr>
                <a:endParaRPr lang="en-US"/>
              </a:p>
            </c:txPr>
            <c:dLblPos val="l"/>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'Concr. Curve'!$CQ$52:$CQ$53</c:f>
              <c:numCache>
                <c:formatCode>0.00</c:formatCode>
                <c:ptCount val="2"/>
                <c:pt idx="0">
                  <c:v>0</c:v>
                </c:pt>
                <c:pt idx="1">
                  <c:v>0</c:v>
                </c:pt>
              </c:numCache>
            </c:numRef>
          </c:xVal>
          <c:yVal>
            <c:numRef>
              <c:f>'Concr. Curve'!$CR$52:$CR$53</c:f>
              <c:numCache>
                <c:formatCode>0.00</c:formatCode>
                <c:ptCount val="2"/>
                <c:pt idx="0">
                  <c:v>0</c:v>
                </c:pt>
                <c:pt idx="1">
                  <c:v>0</c:v>
                </c:pt>
              </c:numCache>
            </c:numRef>
          </c:yVal>
          <c:smooth val="0"/>
          <c:extLst>
            <c:ext xmlns:c16="http://schemas.microsoft.com/office/drawing/2014/chart" uri="{C3380CC4-5D6E-409C-BE32-E72D297353CC}">
              <c16:uniqueId val="{0000002D-D491-480A-97C5-B94C3A912C93}"/>
            </c:ext>
          </c:extLst>
        </c:ser>
        <c:ser>
          <c:idx val="3"/>
          <c:order val="3"/>
          <c:tx>
            <c:strRef>
              <c:f>'Concr. Curve'!$CU$46</c:f>
              <c:strCache>
                <c:ptCount val="1"/>
              </c:strCache>
            </c:strRef>
          </c:tx>
          <c:spPr>
            <a:ln w="9525">
              <a:solidFill>
                <a:srgbClr val="0000FF"/>
              </a:solidFill>
            </a:ln>
          </c:spPr>
          <c:marker>
            <c:symbol val="none"/>
          </c:marker>
          <c:xVal>
            <c:numRef>
              <c:f>'Concr. Curve'!$CQ$48:$CQ$49</c:f>
              <c:numCache>
                <c:formatCode>0.00</c:formatCode>
                <c:ptCount val="2"/>
                <c:pt idx="0">
                  <c:v>0</c:v>
                </c:pt>
                <c:pt idx="1">
                  <c:v>0</c:v>
                </c:pt>
              </c:numCache>
            </c:numRef>
          </c:xVal>
          <c:yVal>
            <c:numRef>
              <c:f>'Concr. Curve'!$CR$48:$CR$49</c:f>
              <c:numCache>
                <c:formatCode>0.00</c:formatCode>
                <c:ptCount val="2"/>
                <c:pt idx="0">
                  <c:v>0</c:v>
                </c:pt>
                <c:pt idx="1">
                  <c:v>0</c:v>
                </c:pt>
              </c:numCache>
            </c:numRef>
          </c:yVal>
          <c:smooth val="0"/>
          <c:extLst>
            <c:ext xmlns:c16="http://schemas.microsoft.com/office/drawing/2014/chart" uri="{C3380CC4-5D6E-409C-BE32-E72D297353CC}">
              <c16:uniqueId val="{0000002E-D491-480A-97C5-B94C3A912C93}"/>
            </c:ext>
          </c:extLst>
        </c:ser>
        <c:ser>
          <c:idx val="4"/>
          <c:order val="4"/>
          <c:tx>
            <c:strRef>
              <c:f>'Concr. Curve'!$CU$45</c:f>
              <c:strCache>
                <c:ptCount val="1"/>
              </c:strCache>
            </c:strRef>
          </c:tx>
          <c:spPr>
            <a:ln w="12700">
              <a:solidFill>
                <a:srgbClr val="C00000"/>
              </a:solidFill>
              <a:prstDash val="solid"/>
            </a:ln>
          </c:spPr>
          <c:marker>
            <c:symbol val="none"/>
          </c:marker>
          <c:xVal>
            <c:numRef>
              <c:f>'Concr. Curve'!$CQ$44:$CQ$45</c:f>
              <c:numCache>
                <c:formatCode>0.00</c:formatCode>
                <c:ptCount val="2"/>
                <c:pt idx="0">
                  <c:v>0</c:v>
                </c:pt>
                <c:pt idx="1">
                  <c:v>0</c:v>
                </c:pt>
              </c:numCache>
            </c:numRef>
          </c:xVal>
          <c:yVal>
            <c:numRef>
              <c:f>'Concr. Curve'!$CR$44:$CR$45</c:f>
              <c:numCache>
                <c:formatCode>0.00</c:formatCode>
                <c:ptCount val="2"/>
                <c:pt idx="0">
                  <c:v>0</c:v>
                </c:pt>
                <c:pt idx="1">
                  <c:v>0</c:v>
                </c:pt>
              </c:numCache>
            </c:numRef>
          </c:yVal>
          <c:smooth val="0"/>
          <c:extLst>
            <c:ext xmlns:c16="http://schemas.microsoft.com/office/drawing/2014/chart" uri="{C3380CC4-5D6E-409C-BE32-E72D297353CC}">
              <c16:uniqueId val="{0000002F-D491-480A-97C5-B94C3A912C93}"/>
            </c:ext>
          </c:extLst>
        </c:ser>
        <c:dLbls>
          <c:showLegendKey val="0"/>
          <c:showVal val="0"/>
          <c:showCatName val="0"/>
          <c:showSerName val="0"/>
          <c:showPercent val="0"/>
          <c:showBubbleSize val="0"/>
        </c:dLbls>
        <c:axId val="465818760"/>
        <c:axId val="465817976"/>
      </c:scatterChart>
      <c:valAx>
        <c:axId val="465818760"/>
        <c:scaling>
          <c:orientation val="minMax"/>
        </c:scaling>
        <c:delete val="0"/>
        <c:axPos val="b"/>
        <c:majorGridlines>
          <c:spPr>
            <a:ln>
              <a:solidFill>
                <a:schemeClr val="bg1">
                  <a:lumMod val="65000"/>
                </a:schemeClr>
              </a:solidFill>
            </a:ln>
          </c:spPr>
        </c:majorGridlines>
        <c:minorGridlines>
          <c:spPr>
            <a:ln w="12700">
              <a:solidFill>
                <a:schemeClr val="bg1">
                  <a:lumMod val="85000"/>
                </a:schemeClr>
              </a:solidFill>
            </a:ln>
          </c:spPr>
        </c:minorGridlines>
        <c:title>
          <c:tx>
            <c:rich>
              <a:bodyPr/>
              <a:lstStyle/>
              <a:p>
                <a:pPr>
                  <a:defRPr sz="1600" b="0" i="0" u="none" strike="noStrike" baseline="0">
                    <a:solidFill>
                      <a:srgbClr val="000000"/>
                    </a:solidFill>
                    <a:latin typeface="Arial"/>
                    <a:ea typeface="Arial"/>
                    <a:cs typeface="Arial"/>
                  </a:defRPr>
                </a:pPr>
                <a:r>
                  <a:rPr lang="en-US" sz="1600" b="0" i="0" strike="noStrike">
                    <a:solidFill>
                      <a:srgbClr val="000000"/>
                    </a:solidFill>
                    <a:latin typeface="Arial"/>
                    <a:cs typeface="Arial"/>
                  </a:rPr>
                  <a:t>Concrete VOLUME (cy)</a:t>
                </a:r>
              </a:p>
              <a:p>
                <a:pPr>
                  <a:defRPr sz="1600" b="0" i="0" u="none" strike="noStrike" baseline="0">
                    <a:solidFill>
                      <a:srgbClr val="000000"/>
                    </a:solidFill>
                    <a:latin typeface="Arial"/>
                    <a:ea typeface="Arial"/>
                    <a:cs typeface="Arial"/>
                  </a:defRPr>
                </a:pPr>
                <a:endParaRPr lang="en-US" sz="1600" b="0" i="0" strike="noStrike">
                  <a:solidFill>
                    <a:srgbClr val="000000"/>
                  </a:solidFill>
                  <a:latin typeface="Arial"/>
                  <a:cs typeface="Arial"/>
                </a:endParaRPr>
              </a:p>
            </c:rich>
          </c:tx>
          <c:layout>
            <c:manualLayout>
              <c:xMode val="edge"/>
              <c:yMode val="edge"/>
              <c:x val="0.37647298826984421"/>
              <c:y val="0.88791827205443363"/>
            </c:manualLayout>
          </c:layout>
          <c:overlay val="0"/>
        </c:title>
        <c:numFmt formatCode="0" sourceLinked="0"/>
        <c:majorTickMark val="out"/>
        <c:minorTickMark val="in"/>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465817976"/>
        <c:crosses val="autoZero"/>
        <c:crossBetween val="midCat"/>
        <c:minorUnit val="0.5"/>
      </c:valAx>
      <c:valAx>
        <c:axId val="465817976"/>
        <c:scaling>
          <c:orientation val="minMax"/>
        </c:scaling>
        <c:delete val="0"/>
        <c:axPos val="l"/>
        <c:majorGridlines>
          <c:spPr>
            <a:ln w="3175">
              <a:solidFill>
                <a:schemeClr val="bg1">
                  <a:lumMod val="65000"/>
                </a:schemeClr>
              </a:solidFill>
              <a:prstDash val="solid"/>
            </a:ln>
          </c:spPr>
        </c:majorGridlines>
        <c:minorGridlines>
          <c:spPr>
            <a:ln>
              <a:solidFill>
                <a:schemeClr val="bg1">
                  <a:lumMod val="85000"/>
                </a:schemeClr>
              </a:solidFill>
            </a:ln>
          </c:spPr>
        </c:minorGridlines>
        <c:title>
          <c:tx>
            <c:strRef>
              <c:f>'Concr. Curve'!$CC$85</c:f>
              <c:strCache>
                <c:ptCount val="1"/>
                <c:pt idx="0">
                  <c:v>ELEVATION  (ft)</c:v>
                </c:pt>
              </c:strCache>
            </c:strRef>
          </c:tx>
          <c:overlay val="0"/>
          <c:txPr>
            <a:bodyPr/>
            <a:lstStyle/>
            <a:p>
              <a:pPr>
                <a:defRPr sz="1600" b="0" i="0" u="none" strike="noStrike" baseline="0">
                  <a:solidFill>
                    <a:srgbClr val="000000"/>
                  </a:solidFill>
                  <a:latin typeface="Arial"/>
                  <a:ea typeface="Arial"/>
                  <a:cs typeface="Arial"/>
                </a:defRPr>
              </a:pPr>
              <a:endParaRPr lang="en-US"/>
            </a:p>
          </c:txPr>
        </c:title>
        <c:numFmt formatCode="0.00" sourceLinked="1"/>
        <c:majorTickMark val="out"/>
        <c:minorTickMark val="in"/>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465818760"/>
        <c:crosses val="autoZero"/>
        <c:crossBetween val="midCat"/>
        <c:minorUnit val="1"/>
      </c:valAx>
      <c:spPr>
        <a:noFill/>
        <a:ln w="25400">
          <a:noFill/>
        </a:ln>
      </c:spPr>
    </c:plotArea>
    <c:legend>
      <c:legendPos val="r"/>
      <c:layout>
        <c:manualLayout>
          <c:xMode val="edge"/>
          <c:yMode val="edge"/>
          <c:x val="0.70320899940793358"/>
          <c:y val="0.54822820133265338"/>
          <c:w val="0.29243201785203332"/>
          <c:h val="9.0097255460225539E-2"/>
        </c:manualLayout>
      </c:layout>
      <c:overlay val="0"/>
      <c:spPr>
        <a:solidFill>
          <a:schemeClr val="bg1"/>
        </a:solidFill>
        <a:ln w="6350">
          <a:solidFill>
            <a:schemeClr val="tx1">
              <a:lumMod val="50000"/>
              <a:lumOff val="50000"/>
            </a:schemeClr>
          </a:solidFill>
        </a:ln>
      </c:sp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0.5" l="0.5" r="0.5" t="0.5" header="0" footer="0"/>
    <c:pageSetup orientation="portrait"/>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'Concr. Curve'!$BX$102</c:f>
          <c:strCache>
            <c:ptCount val="1"/>
            <c:pt idx="0">
              <c:v>        </c:v>
            </c:pt>
          </c:strCache>
        </c:strRef>
      </c:tx>
      <c:layout>
        <c:manualLayout>
          <c:xMode val="edge"/>
          <c:yMode val="edge"/>
          <c:x val="0.37839907452326782"/>
          <c:y val="3.6866442321970082E-2"/>
        </c:manualLayout>
      </c:layout>
      <c:overlay val="0"/>
      <c:spPr>
        <a:ln>
          <a:noFill/>
        </a:ln>
      </c:spPr>
      <c:txPr>
        <a:bodyPr/>
        <a:lstStyle/>
        <a:p>
          <a:pPr>
            <a:defRPr sz="1400" u="sng"/>
          </a:pPr>
          <a:endParaRPr lang="en-US"/>
        </a:p>
      </c:txPr>
    </c:title>
    <c:autoTitleDeleted val="0"/>
    <c:plotArea>
      <c:layout>
        <c:manualLayout>
          <c:layoutTarget val="inner"/>
          <c:xMode val="edge"/>
          <c:yMode val="edge"/>
          <c:x val="7.1925615276351329E-2"/>
          <c:y val="7.2171640796556066E-2"/>
          <c:w val="0.88224111666771465"/>
          <c:h val="0.73972493438327303"/>
        </c:manualLayout>
      </c:layout>
      <c:scatterChart>
        <c:scatterStyle val="smoothMarker"/>
        <c:varyColors val="0"/>
        <c:ser>
          <c:idx val="2"/>
          <c:order val="0"/>
          <c:tx>
            <c:strRef>
              <c:f>'Concr. Curve'!$CU$56</c:f>
              <c:strCache>
                <c:ptCount val="1"/>
                <c:pt idx="0">
                  <c:v>Actual</c:v>
                </c:pt>
              </c:strCache>
            </c:strRef>
          </c:tx>
          <c:spPr>
            <a:ln w="15875">
              <a:solidFill>
                <a:schemeClr val="tx1"/>
              </a:solidFill>
            </a:ln>
          </c:spPr>
          <c:marker>
            <c:symbol val="square"/>
            <c:size val="3"/>
            <c:spPr>
              <a:noFill/>
              <a:ln>
                <a:solidFill>
                  <a:prstClr val="black"/>
                </a:solidFill>
              </a:ln>
            </c:spPr>
          </c:marker>
          <c:dLbls>
            <c:dLbl>
              <c:idx val="0"/>
              <c:tx>
                <c:strRef>
                  <c:f>'Concr. Curve'!$BS$16</c:f>
                  <c:strCache>
                    <c:ptCount val="1"/>
                    <c:pt idx="0">
                      <c:v>#DIV/0!</c:v>
                    </c:pt>
                  </c:strCache>
                </c:strRef>
              </c:tx>
              <c:spPr/>
              <c:txPr>
                <a:bodyPr/>
                <a:lstStyle/>
                <a:p>
                  <a:pPr>
                    <a:defRPr>
                      <a:solidFill>
                        <a:srgbClr val="C00000"/>
                      </a:solidFill>
                    </a:defRPr>
                  </a:pPr>
                  <a:endParaRPr lang="en-US"/>
                </a:p>
              </c:txPr>
              <c:showLegendKey val="0"/>
              <c:showVal val="1"/>
              <c:showCatName val="0"/>
              <c:showSerName val="0"/>
              <c:showPercent val="0"/>
              <c:showBubbleSize val="0"/>
              <c:extLst>
                <c:ext xmlns:c15="http://schemas.microsoft.com/office/drawing/2012/chart" uri="{CE6537A1-D6FC-4f65-9D91-7224C49458BB}">
                  <c15:dlblFieldTable>
                    <c15:dlblFTEntry>
                      <c15:txfldGUID>{E07880D1-687B-47B9-9365-DAB8107F94D4}</c15:txfldGUID>
                      <c15:f>'Concr. Curve'!$BS$16</c15:f>
                      <c15:dlblFieldTableCache>
                        <c:ptCount val="1"/>
                        <c:pt idx="0">
                          <c:v>#DIV/0!</c:v>
                        </c:pt>
                      </c15:dlblFieldTableCache>
                    </c15:dlblFTEntry>
                  </c15:dlblFieldTable>
                  <c15:showDataLabelsRange val="0"/>
                </c:ext>
                <c:ext xmlns:c16="http://schemas.microsoft.com/office/drawing/2014/chart" uri="{C3380CC4-5D6E-409C-BE32-E72D297353CC}">
                  <c16:uniqueId val="{00000000-4AC7-4897-ABEE-EC754CB2CA45}"/>
                </c:ext>
              </c:extLst>
            </c:dLbl>
            <c:dLbl>
              <c:idx val="1"/>
              <c:tx>
                <c:strRef>
                  <c:f>'Concr. Curve'!$BS$17</c:f>
                  <c:strCache>
                    <c:ptCount val="1"/>
                    <c:pt idx="0">
                      <c:v>#DIV/0!</c:v>
                    </c:pt>
                  </c:strCache>
                </c:strRef>
              </c:tx>
              <c:spPr/>
              <c:txPr>
                <a:bodyPr/>
                <a:lstStyle/>
                <a:p>
                  <a:pPr>
                    <a:defRPr>
                      <a:solidFill>
                        <a:srgbClr val="C00000"/>
                      </a:solidFill>
                    </a:defRPr>
                  </a:pPr>
                  <a:endParaRPr lang="en-US"/>
                </a:p>
              </c:txPr>
              <c:showLegendKey val="0"/>
              <c:showVal val="1"/>
              <c:showCatName val="0"/>
              <c:showSerName val="0"/>
              <c:showPercent val="0"/>
              <c:showBubbleSize val="0"/>
              <c:extLst>
                <c:ext xmlns:c15="http://schemas.microsoft.com/office/drawing/2012/chart" uri="{CE6537A1-D6FC-4f65-9D91-7224C49458BB}">
                  <c15:dlblFieldTable>
                    <c15:dlblFTEntry>
                      <c15:txfldGUID>{055D3925-CFB6-4C80-96DC-FE875D66972E}</c15:txfldGUID>
                      <c15:f>'Concr. Curve'!$BS$17</c15:f>
                      <c15:dlblFieldTableCache>
                        <c:ptCount val="1"/>
                        <c:pt idx="0">
                          <c:v>#DIV/0!</c:v>
                        </c:pt>
                      </c15:dlblFieldTableCache>
                    </c15:dlblFTEntry>
                  </c15:dlblFieldTable>
                  <c15:showDataLabelsRange val="0"/>
                </c:ext>
                <c:ext xmlns:c16="http://schemas.microsoft.com/office/drawing/2014/chart" uri="{C3380CC4-5D6E-409C-BE32-E72D297353CC}">
                  <c16:uniqueId val="{00000001-4AC7-4897-ABEE-EC754CB2CA45}"/>
                </c:ext>
              </c:extLst>
            </c:dLbl>
            <c:dLbl>
              <c:idx val="2"/>
              <c:tx>
                <c:strRef>
                  <c:f>'Concr. Curve'!$BS$18</c:f>
                  <c:strCache>
                    <c:ptCount val="1"/>
                    <c:pt idx="0">
                      <c:v>#DIV/0!</c:v>
                    </c:pt>
                  </c:strCache>
                </c:strRef>
              </c:tx>
              <c:spPr/>
              <c:txPr>
                <a:bodyPr/>
                <a:lstStyle/>
                <a:p>
                  <a:pPr>
                    <a:defRPr>
                      <a:solidFill>
                        <a:srgbClr val="C00000"/>
                      </a:solidFill>
                    </a:defRPr>
                  </a:pPr>
                  <a:endParaRPr lang="en-US"/>
                </a:p>
              </c:txPr>
              <c:showLegendKey val="0"/>
              <c:showVal val="1"/>
              <c:showCatName val="0"/>
              <c:showSerName val="0"/>
              <c:showPercent val="0"/>
              <c:showBubbleSize val="0"/>
              <c:extLst>
                <c:ext xmlns:c15="http://schemas.microsoft.com/office/drawing/2012/chart" uri="{CE6537A1-D6FC-4f65-9D91-7224C49458BB}">
                  <c15:dlblFieldTable>
                    <c15:dlblFTEntry>
                      <c15:txfldGUID>{B63014D7-7D70-4DB5-A96F-6DC86DC4CB47}</c15:txfldGUID>
                      <c15:f>'Concr. Curve'!$BS$18</c15:f>
                      <c15:dlblFieldTableCache>
                        <c:ptCount val="1"/>
                        <c:pt idx="0">
                          <c:v>#DIV/0!</c:v>
                        </c:pt>
                      </c15:dlblFieldTableCache>
                    </c15:dlblFTEntry>
                  </c15:dlblFieldTable>
                  <c15:showDataLabelsRange val="0"/>
                </c:ext>
                <c:ext xmlns:c16="http://schemas.microsoft.com/office/drawing/2014/chart" uri="{C3380CC4-5D6E-409C-BE32-E72D297353CC}">
                  <c16:uniqueId val="{00000002-4AC7-4897-ABEE-EC754CB2CA45}"/>
                </c:ext>
              </c:extLst>
            </c:dLbl>
            <c:dLbl>
              <c:idx val="3"/>
              <c:tx>
                <c:strRef>
                  <c:f>'Concr. Curve'!$BS$19</c:f>
                  <c:strCache>
                    <c:ptCount val="1"/>
                    <c:pt idx="0">
                      <c:v>#DIV/0!</c:v>
                    </c:pt>
                  </c:strCache>
                </c:strRef>
              </c:tx>
              <c:spPr/>
              <c:txPr>
                <a:bodyPr/>
                <a:lstStyle/>
                <a:p>
                  <a:pPr>
                    <a:defRPr>
                      <a:solidFill>
                        <a:srgbClr val="C00000"/>
                      </a:solidFill>
                    </a:defRPr>
                  </a:pPr>
                  <a:endParaRPr lang="en-US"/>
                </a:p>
              </c:txPr>
              <c:showLegendKey val="0"/>
              <c:showVal val="1"/>
              <c:showCatName val="0"/>
              <c:showSerName val="0"/>
              <c:showPercent val="0"/>
              <c:showBubbleSize val="0"/>
              <c:extLst>
                <c:ext xmlns:c15="http://schemas.microsoft.com/office/drawing/2012/chart" uri="{CE6537A1-D6FC-4f65-9D91-7224C49458BB}">
                  <c15:dlblFieldTable>
                    <c15:dlblFTEntry>
                      <c15:txfldGUID>{0308C3BE-9A64-446B-BE2C-BDFA623C2701}</c15:txfldGUID>
                      <c15:f>'Concr. Curve'!$BS$19</c15:f>
                      <c15:dlblFieldTableCache>
                        <c:ptCount val="1"/>
                        <c:pt idx="0">
                          <c:v>#DIV/0!</c:v>
                        </c:pt>
                      </c15:dlblFieldTableCache>
                    </c15:dlblFTEntry>
                  </c15:dlblFieldTable>
                  <c15:showDataLabelsRange val="0"/>
                </c:ext>
                <c:ext xmlns:c16="http://schemas.microsoft.com/office/drawing/2014/chart" uri="{C3380CC4-5D6E-409C-BE32-E72D297353CC}">
                  <c16:uniqueId val="{00000003-4AC7-4897-ABEE-EC754CB2CA45}"/>
                </c:ext>
              </c:extLst>
            </c:dLbl>
            <c:dLbl>
              <c:idx val="4"/>
              <c:tx>
                <c:strRef>
                  <c:f>'Concr. Curve'!$BS$20</c:f>
                  <c:strCache>
                    <c:ptCount val="1"/>
                    <c:pt idx="0">
                      <c:v>#DIV/0!</c:v>
                    </c:pt>
                  </c:strCache>
                </c:strRef>
              </c:tx>
              <c:spPr/>
              <c:txPr>
                <a:bodyPr/>
                <a:lstStyle/>
                <a:p>
                  <a:pPr>
                    <a:defRPr>
                      <a:solidFill>
                        <a:srgbClr val="C00000"/>
                      </a:solidFill>
                    </a:defRPr>
                  </a:pPr>
                  <a:endParaRPr lang="en-US"/>
                </a:p>
              </c:txPr>
              <c:showLegendKey val="0"/>
              <c:showVal val="1"/>
              <c:showCatName val="0"/>
              <c:showSerName val="0"/>
              <c:showPercent val="0"/>
              <c:showBubbleSize val="0"/>
              <c:extLst>
                <c:ext xmlns:c15="http://schemas.microsoft.com/office/drawing/2012/chart" uri="{CE6537A1-D6FC-4f65-9D91-7224C49458BB}">
                  <c15:dlblFieldTable>
                    <c15:dlblFTEntry>
                      <c15:txfldGUID>{CD204652-6619-45E9-9273-1C3989BDA145}</c15:txfldGUID>
                      <c15:f>'Concr. Curve'!$BS$20</c15:f>
                      <c15:dlblFieldTableCache>
                        <c:ptCount val="1"/>
                        <c:pt idx="0">
                          <c:v>#DIV/0!</c:v>
                        </c:pt>
                      </c15:dlblFieldTableCache>
                    </c15:dlblFTEntry>
                  </c15:dlblFieldTable>
                  <c15:showDataLabelsRange val="0"/>
                </c:ext>
                <c:ext xmlns:c16="http://schemas.microsoft.com/office/drawing/2014/chart" uri="{C3380CC4-5D6E-409C-BE32-E72D297353CC}">
                  <c16:uniqueId val="{00000004-4AC7-4897-ABEE-EC754CB2CA45}"/>
                </c:ext>
              </c:extLst>
            </c:dLbl>
            <c:dLbl>
              <c:idx val="5"/>
              <c:tx>
                <c:strRef>
                  <c:f>'Concr. Curve'!$BS$21</c:f>
                  <c:strCache>
                    <c:ptCount val="1"/>
                    <c:pt idx="0">
                      <c:v>#DIV/0!</c:v>
                    </c:pt>
                  </c:strCache>
                </c:strRef>
              </c:tx>
              <c:spPr/>
              <c:txPr>
                <a:bodyPr/>
                <a:lstStyle/>
                <a:p>
                  <a:pPr>
                    <a:defRPr>
                      <a:solidFill>
                        <a:srgbClr val="C00000"/>
                      </a:solidFill>
                    </a:defRPr>
                  </a:pPr>
                  <a:endParaRPr lang="en-US"/>
                </a:p>
              </c:txPr>
              <c:showLegendKey val="0"/>
              <c:showVal val="1"/>
              <c:showCatName val="0"/>
              <c:showSerName val="0"/>
              <c:showPercent val="0"/>
              <c:showBubbleSize val="0"/>
              <c:extLst>
                <c:ext xmlns:c15="http://schemas.microsoft.com/office/drawing/2012/chart" uri="{CE6537A1-D6FC-4f65-9D91-7224C49458BB}">
                  <c15:dlblFieldTable>
                    <c15:dlblFTEntry>
                      <c15:txfldGUID>{188E3D2E-4A8E-4109-A171-BEA7FA749A44}</c15:txfldGUID>
                      <c15:f>'Concr. Curve'!$BS$21</c15:f>
                      <c15:dlblFieldTableCache>
                        <c:ptCount val="1"/>
                        <c:pt idx="0">
                          <c:v>#DIV/0!</c:v>
                        </c:pt>
                      </c15:dlblFieldTableCache>
                    </c15:dlblFTEntry>
                  </c15:dlblFieldTable>
                  <c15:showDataLabelsRange val="0"/>
                </c:ext>
                <c:ext xmlns:c16="http://schemas.microsoft.com/office/drawing/2014/chart" uri="{C3380CC4-5D6E-409C-BE32-E72D297353CC}">
                  <c16:uniqueId val="{00000005-4AC7-4897-ABEE-EC754CB2CA45}"/>
                </c:ext>
              </c:extLst>
            </c:dLbl>
            <c:dLbl>
              <c:idx val="6"/>
              <c:tx>
                <c:strRef>
                  <c:f>'Concr. Curve'!$BS$22</c:f>
                  <c:strCache>
                    <c:ptCount val="1"/>
                    <c:pt idx="0">
                      <c:v>#DIV/0!</c:v>
                    </c:pt>
                  </c:strCache>
                </c:strRef>
              </c:tx>
              <c:spPr/>
              <c:txPr>
                <a:bodyPr/>
                <a:lstStyle/>
                <a:p>
                  <a:pPr>
                    <a:defRPr>
                      <a:solidFill>
                        <a:srgbClr val="C00000"/>
                      </a:solidFill>
                    </a:defRPr>
                  </a:pPr>
                  <a:endParaRPr lang="en-US"/>
                </a:p>
              </c:txPr>
              <c:showLegendKey val="0"/>
              <c:showVal val="1"/>
              <c:showCatName val="0"/>
              <c:showSerName val="0"/>
              <c:showPercent val="0"/>
              <c:showBubbleSize val="0"/>
              <c:extLst>
                <c:ext xmlns:c15="http://schemas.microsoft.com/office/drawing/2012/chart" uri="{CE6537A1-D6FC-4f65-9D91-7224C49458BB}">
                  <c15:dlblFieldTable>
                    <c15:dlblFTEntry>
                      <c15:txfldGUID>{1DA0A545-AB72-43BC-B4FE-3A4152F823D9}</c15:txfldGUID>
                      <c15:f>'Concr. Curve'!$BS$22</c15:f>
                      <c15:dlblFieldTableCache>
                        <c:ptCount val="1"/>
                        <c:pt idx="0">
                          <c:v>#DIV/0!</c:v>
                        </c:pt>
                      </c15:dlblFieldTableCache>
                    </c15:dlblFTEntry>
                  </c15:dlblFieldTable>
                  <c15:showDataLabelsRange val="0"/>
                </c:ext>
                <c:ext xmlns:c16="http://schemas.microsoft.com/office/drawing/2014/chart" uri="{C3380CC4-5D6E-409C-BE32-E72D297353CC}">
                  <c16:uniqueId val="{00000006-4AC7-4897-ABEE-EC754CB2CA45}"/>
                </c:ext>
              </c:extLst>
            </c:dLbl>
            <c:dLbl>
              <c:idx val="7"/>
              <c:tx>
                <c:strRef>
                  <c:f>'Concr. Curve'!$BS$23</c:f>
                  <c:strCache>
                    <c:ptCount val="1"/>
                    <c:pt idx="0">
                      <c:v>#DIV/0!</c:v>
                    </c:pt>
                  </c:strCache>
                </c:strRef>
              </c:tx>
              <c:spPr/>
              <c:txPr>
                <a:bodyPr/>
                <a:lstStyle/>
                <a:p>
                  <a:pPr>
                    <a:defRPr>
                      <a:solidFill>
                        <a:srgbClr val="C00000"/>
                      </a:solidFill>
                    </a:defRPr>
                  </a:pPr>
                  <a:endParaRPr lang="en-US"/>
                </a:p>
              </c:txPr>
              <c:showLegendKey val="0"/>
              <c:showVal val="1"/>
              <c:showCatName val="0"/>
              <c:showSerName val="0"/>
              <c:showPercent val="0"/>
              <c:showBubbleSize val="0"/>
              <c:extLst>
                <c:ext xmlns:c15="http://schemas.microsoft.com/office/drawing/2012/chart" uri="{CE6537A1-D6FC-4f65-9D91-7224C49458BB}">
                  <c15:dlblFieldTable>
                    <c15:dlblFTEntry>
                      <c15:txfldGUID>{FEA3BD60-98A9-4327-8746-02B7384D562D}</c15:txfldGUID>
                      <c15:f>'Concr. Curve'!$BS$23</c15:f>
                      <c15:dlblFieldTableCache>
                        <c:ptCount val="1"/>
                        <c:pt idx="0">
                          <c:v>#DIV/0!</c:v>
                        </c:pt>
                      </c15:dlblFieldTableCache>
                    </c15:dlblFTEntry>
                  </c15:dlblFieldTable>
                  <c15:showDataLabelsRange val="0"/>
                </c:ext>
                <c:ext xmlns:c16="http://schemas.microsoft.com/office/drawing/2014/chart" uri="{C3380CC4-5D6E-409C-BE32-E72D297353CC}">
                  <c16:uniqueId val="{00000007-4AC7-4897-ABEE-EC754CB2CA45}"/>
                </c:ext>
              </c:extLst>
            </c:dLbl>
            <c:dLbl>
              <c:idx val="8"/>
              <c:tx>
                <c:strRef>
                  <c:f>'Concr. Curve'!$BS$24</c:f>
                  <c:strCache>
                    <c:ptCount val="1"/>
                    <c:pt idx="0">
                      <c:v>#DIV/0!</c:v>
                    </c:pt>
                  </c:strCache>
                </c:strRef>
              </c:tx>
              <c:spPr/>
              <c:txPr>
                <a:bodyPr/>
                <a:lstStyle/>
                <a:p>
                  <a:pPr>
                    <a:defRPr>
                      <a:solidFill>
                        <a:srgbClr val="C00000"/>
                      </a:solidFill>
                    </a:defRPr>
                  </a:pPr>
                  <a:endParaRPr lang="en-US"/>
                </a:p>
              </c:txPr>
              <c:showLegendKey val="0"/>
              <c:showVal val="1"/>
              <c:showCatName val="0"/>
              <c:showSerName val="0"/>
              <c:showPercent val="0"/>
              <c:showBubbleSize val="0"/>
              <c:extLst>
                <c:ext xmlns:c15="http://schemas.microsoft.com/office/drawing/2012/chart" uri="{CE6537A1-D6FC-4f65-9D91-7224C49458BB}">
                  <c15:dlblFieldTable>
                    <c15:dlblFTEntry>
                      <c15:txfldGUID>{A994BA00-28B1-4400-AFD3-60C6ACB4C5CE}</c15:txfldGUID>
                      <c15:f>'Concr. Curve'!$BS$24</c15:f>
                      <c15:dlblFieldTableCache>
                        <c:ptCount val="1"/>
                        <c:pt idx="0">
                          <c:v>#DIV/0!</c:v>
                        </c:pt>
                      </c15:dlblFieldTableCache>
                    </c15:dlblFTEntry>
                  </c15:dlblFieldTable>
                  <c15:showDataLabelsRange val="0"/>
                </c:ext>
                <c:ext xmlns:c16="http://schemas.microsoft.com/office/drawing/2014/chart" uri="{C3380CC4-5D6E-409C-BE32-E72D297353CC}">
                  <c16:uniqueId val="{00000008-4AC7-4897-ABEE-EC754CB2CA45}"/>
                </c:ext>
              </c:extLst>
            </c:dLbl>
            <c:dLbl>
              <c:idx val="9"/>
              <c:tx>
                <c:strRef>
                  <c:f>'Concr. Curve'!$BS$25</c:f>
                  <c:strCache>
                    <c:ptCount val="1"/>
                    <c:pt idx="0">
                      <c:v>#DIV/0!</c:v>
                    </c:pt>
                  </c:strCache>
                </c:strRef>
              </c:tx>
              <c:spPr/>
              <c:txPr>
                <a:bodyPr/>
                <a:lstStyle/>
                <a:p>
                  <a:pPr>
                    <a:defRPr>
                      <a:solidFill>
                        <a:srgbClr val="C00000"/>
                      </a:solidFill>
                    </a:defRPr>
                  </a:pPr>
                  <a:endParaRPr lang="en-US"/>
                </a:p>
              </c:txPr>
              <c:showLegendKey val="0"/>
              <c:showVal val="1"/>
              <c:showCatName val="0"/>
              <c:showSerName val="0"/>
              <c:showPercent val="0"/>
              <c:showBubbleSize val="0"/>
              <c:extLst>
                <c:ext xmlns:c15="http://schemas.microsoft.com/office/drawing/2012/chart" uri="{CE6537A1-D6FC-4f65-9D91-7224C49458BB}">
                  <c15:dlblFieldTable>
                    <c15:dlblFTEntry>
                      <c15:txfldGUID>{62088D01-2EC9-4DEA-8BCB-02E6ADBB24B8}</c15:txfldGUID>
                      <c15:f>'Concr. Curve'!$BS$25</c15:f>
                      <c15:dlblFieldTableCache>
                        <c:ptCount val="1"/>
                        <c:pt idx="0">
                          <c:v>#DIV/0!</c:v>
                        </c:pt>
                      </c15:dlblFieldTableCache>
                    </c15:dlblFTEntry>
                  </c15:dlblFieldTable>
                  <c15:showDataLabelsRange val="0"/>
                </c:ext>
                <c:ext xmlns:c16="http://schemas.microsoft.com/office/drawing/2014/chart" uri="{C3380CC4-5D6E-409C-BE32-E72D297353CC}">
                  <c16:uniqueId val="{00000009-4AC7-4897-ABEE-EC754CB2CA45}"/>
                </c:ext>
              </c:extLst>
            </c:dLbl>
            <c:dLbl>
              <c:idx val="10"/>
              <c:tx>
                <c:strRef>
                  <c:f>'Concr. Curve'!$BS$26</c:f>
                  <c:strCache>
                    <c:ptCount val="1"/>
                    <c:pt idx="0">
                      <c:v>#DIV/0!</c:v>
                    </c:pt>
                  </c:strCache>
                </c:strRef>
              </c:tx>
              <c:spPr/>
              <c:txPr>
                <a:bodyPr/>
                <a:lstStyle/>
                <a:p>
                  <a:pPr>
                    <a:defRPr>
                      <a:solidFill>
                        <a:srgbClr val="C00000"/>
                      </a:solidFill>
                    </a:defRPr>
                  </a:pPr>
                  <a:endParaRPr lang="en-US"/>
                </a:p>
              </c:txPr>
              <c:showLegendKey val="0"/>
              <c:showVal val="1"/>
              <c:showCatName val="0"/>
              <c:showSerName val="0"/>
              <c:showPercent val="0"/>
              <c:showBubbleSize val="0"/>
              <c:extLst>
                <c:ext xmlns:c15="http://schemas.microsoft.com/office/drawing/2012/chart" uri="{CE6537A1-D6FC-4f65-9D91-7224C49458BB}">
                  <c15:dlblFieldTable>
                    <c15:dlblFTEntry>
                      <c15:txfldGUID>{FBF933E3-8BA8-4C2E-A0A4-893D3A4F7347}</c15:txfldGUID>
                      <c15:f>'Concr. Curve'!$BS$26</c15:f>
                      <c15:dlblFieldTableCache>
                        <c:ptCount val="1"/>
                        <c:pt idx="0">
                          <c:v>#DIV/0!</c:v>
                        </c:pt>
                      </c15:dlblFieldTableCache>
                    </c15:dlblFTEntry>
                  </c15:dlblFieldTable>
                  <c15:showDataLabelsRange val="0"/>
                </c:ext>
                <c:ext xmlns:c16="http://schemas.microsoft.com/office/drawing/2014/chart" uri="{C3380CC4-5D6E-409C-BE32-E72D297353CC}">
                  <c16:uniqueId val="{0000000A-4AC7-4897-ABEE-EC754CB2CA45}"/>
                </c:ext>
              </c:extLst>
            </c:dLbl>
            <c:dLbl>
              <c:idx val="11"/>
              <c:tx>
                <c:strRef>
                  <c:f>'Concr. Curve'!$BS$27</c:f>
                  <c:strCache>
                    <c:ptCount val="1"/>
                    <c:pt idx="0">
                      <c:v>#DIV/0!</c:v>
                    </c:pt>
                  </c:strCache>
                </c:strRef>
              </c:tx>
              <c:spPr/>
              <c:txPr>
                <a:bodyPr/>
                <a:lstStyle/>
                <a:p>
                  <a:pPr>
                    <a:defRPr>
                      <a:solidFill>
                        <a:srgbClr val="C00000"/>
                      </a:solidFill>
                    </a:defRPr>
                  </a:pPr>
                  <a:endParaRPr lang="en-US"/>
                </a:p>
              </c:txPr>
              <c:showLegendKey val="0"/>
              <c:showVal val="1"/>
              <c:showCatName val="0"/>
              <c:showSerName val="0"/>
              <c:showPercent val="0"/>
              <c:showBubbleSize val="0"/>
              <c:extLst>
                <c:ext xmlns:c15="http://schemas.microsoft.com/office/drawing/2012/chart" uri="{CE6537A1-D6FC-4f65-9D91-7224C49458BB}">
                  <c15:dlblFieldTable>
                    <c15:dlblFTEntry>
                      <c15:txfldGUID>{1CDFE761-2130-4F55-8E58-365DC7411B75}</c15:txfldGUID>
                      <c15:f>'Concr. Curve'!$BS$27</c15:f>
                      <c15:dlblFieldTableCache>
                        <c:ptCount val="1"/>
                        <c:pt idx="0">
                          <c:v>#DIV/0!</c:v>
                        </c:pt>
                      </c15:dlblFieldTableCache>
                    </c15:dlblFTEntry>
                  </c15:dlblFieldTable>
                  <c15:showDataLabelsRange val="0"/>
                </c:ext>
                <c:ext xmlns:c16="http://schemas.microsoft.com/office/drawing/2014/chart" uri="{C3380CC4-5D6E-409C-BE32-E72D297353CC}">
                  <c16:uniqueId val="{0000000B-4AC7-4897-ABEE-EC754CB2CA45}"/>
                </c:ext>
              </c:extLst>
            </c:dLbl>
            <c:dLbl>
              <c:idx val="12"/>
              <c:tx>
                <c:strRef>
                  <c:f>'Concr. Curve'!$BS$28</c:f>
                  <c:strCache>
                    <c:ptCount val="1"/>
                    <c:pt idx="0">
                      <c:v>#DIV/0!</c:v>
                    </c:pt>
                  </c:strCache>
                </c:strRef>
              </c:tx>
              <c:spPr/>
              <c:txPr>
                <a:bodyPr/>
                <a:lstStyle/>
                <a:p>
                  <a:pPr>
                    <a:defRPr>
                      <a:solidFill>
                        <a:srgbClr val="C00000"/>
                      </a:solidFill>
                    </a:defRPr>
                  </a:pPr>
                  <a:endParaRPr lang="en-US"/>
                </a:p>
              </c:txPr>
              <c:showLegendKey val="0"/>
              <c:showVal val="1"/>
              <c:showCatName val="0"/>
              <c:showSerName val="0"/>
              <c:showPercent val="0"/>
              <c:showBubbleSize val="0"/>
              <c:extLst>
                <c:ext xmlns:c15="http://schemas.microsoft.com/office/drawing/2012/chart" uri="{CE6537A1-D6FC-4f65-9D91-7224C49458BB}">
                  <c15:dlblFieldTable>
                    <c15:dlblFTEntry>
                      <c15:txfldGUID>{36CB8515-0955-4632-AEA4-6CC08FF76123}</c15:txfldGUID>
                      <c15:f>'Concr. Curve'!$BS$28</c15:f>
                      <c15:dlblFieldTableCache>
                        <c:ptCount val="1"/>
                        <c:pt idx="0">
                          <c:v>#DIV/0!</c:v>
                        </c:pt>
                      </c15:dlblFieldTableCache>
                    </c15:dlblFTEntry>
                  </c15:dlblFieldTable>
                  <c15:showDataLabelsRange val="0"/>
                </c:ext>
                <c:ext xmlns:c16="http://schemas.microsoft.com/office/drawing/2014/chart" uri="{C3380CC4-5D6E-409C-BE32-E72D297353CC}">
                  <c16:uniqueId val="{0000000C-4AC7-4897-ABEE-EC754CB2CA45}"/>
                </c:ext>
              </c:extLst>
            </c:dLbl>
            <c:dLbl>
              <c:idx val="13"/>
              <c:tx>
                <c:strRef>
                  <c:f>'Concr. Curve'!$BS$29</c:f>
                  <c:strCache>
                    <c:ptCount val="1"/>
                    <c:pt idx="0">
                      <c:v>#DIV/0!</c:v>
                    </c:pt>
                  </c:strCache>
                </c:strRef>
              </c:tx>
              <c:spPr/>
              <c:txPr>
                <a:bodyPr/>
                <a:lstStyle/>
                <a:p>
                  <a:pPr>
                    <a:defRPr>
                      <a:solidFill>
                        <a:srgbClr val="C00000"/>
                      </a:solidFill>
                    </a:defRPr>
                  </a:pPr>
                  <a:endParaRPr lang="en-US"/>
                </a:p>
              </c:txPr>
              <c:showLegendKey val="0"/>
              <c:showVal val="1"/>
              <c:showCatName val="0"/>
              <c:showSerName val="0"/>
              <c:showPercent val="0"/>
              <c:showBubbleSize val="0"/>
              <c:extLst>
                <c:ext xmlns:c15="http://schemas.microsoft.com/office/drawing/2012/chart" uri="{CE6537A1-D6FC-4f65-9D91-7224C49458BB}">
                  <c15:dlblFieldTable>
                    <c15:dlblFTEntry>
                      <c15:txfldGUID>{42D07B7B-3BB2-483D-A543-BE629534A67B}</c15:txfldGUID>
                      <c15:f>'Concr. Curve'!$BS$29</c15:f>
                      <c15:dlblFieldTableCache>
                        <c:ptCount val="1"/>
                        <c:pt idx="0">
                          <c:v>#DIV/0!</c:v>
                        </c:pt>
                      </c15:dlblFieldTableCache>
                    </c15:dlblFTEntry>
                  </c15:dlblFieldTable>
                  <c15:showDataLabelsRange val="0"/>
                </c:ext>
                <c:ext xmlns:c16="http://schemas.microsoft.com/office/drawing/2014/chart" uri="{C3380CC4-5D6E-409C-BE32-E72D297353CC}">
                  <c16:uniqueId val="{0000000D-4AC7-4897-ABEE-EC754CB2CA45}"/>
                </c:ext>
              </c:extLst>
            </c:dLbl>
            <c:dLbl>
              <c:idx val="14"/>
              <c:tx>
                <c:strRef>
                  <c:f>'Concr. Curve'!$BS$30</c:f>
                  <c:strCache>
                    <c:ptCount val="1"/>
                    <c:pt idx="0">
                      <c:v>#DIV/0!</c:v>
                    </c:pt>
                  </c:strCache>
                </c:strRef>
              </c:tx>
              <c:spPr/>
              <c:txPr>
                <a:bodyPr/>
                <a:lstStyle/>
                <a:p>
                  <a:pPr>
                    <a:defRPr>
                      <a:solidFill>
                        <a:srgbClr val="C00000"/>
                      </a:solidFill>
                    </a:defRPr>
                  </a:pPr>
                  <a:endParaRPr lang="en-US"/>
                </a:p>
              </c:txPr>
              <c:showLegendKey val="0"/>
              <c:showVal val="1"/>
              <c:showCatName val="0"/>
              <c:showSerName val="0"/>
              <c:showPercent val="0"/>
              <c:showBubbleSize val="0"/>
              <c:extLst>
                <c:ext xmlns:c15="http://schemas.microsoft.com/office/drawing/2012/chart" uri="{CE6537A1-D6FC-4f65-9D91-7224C49458BB}">
                  <c15:dlblFieldTable>
                    <c15:dlblFTEntry>
                      <c15:txfldGUID>{3CF4560B-E543-40ED-9B16-BC5D01166A81}</c15:txfldGUID>
                      <c15:f>'Concr. Curve'!$BS$30</c15:f>
                      <c15:dlblFieldTableCache>
                        <c:ptCount val="1"/>
                        <c:pt idx="0">
                          <c:v>#DIV/0!</c:v>
                        </c:pt>
                      </c15:dlblFieldTableCache>
                    </c15:dlblFTEntry>
                  </c15:dlblFieldTable>
                  <c15:showDataLabelsRange val="0"/>
                </c:ext>
                <c:ext xmlns:c16="http://schemas.microsoft.com/office/drawing/2014/chart" uri="{C3380CC4-5D6E-409C-BE32-E72D297353CC}">
                  <c16:uniqueId val="{0000000E-4AC7-4897-ABEE-EC754CB2CA45}"/>
                </c:ext>
              </c:extLst>
            </c:dLbl>
            <c:dLbl>
              <c:idx val="15"/>
              <c:tx>
                <c:strRef>
                  <c:f>'Concr. Curve'!$BS$31</c:f>
                  <c:strCache>
                    <c:ptCount val="1"/>
                    <c:pt idx="0">
                      <c:v>#DIV/0!</c:v>
                    </c:pt>
                  </c:strCache>
                </c:strRef>
              </c:tx>
              <c:spPr/>
              <c:txPr>
                <a:bodyPr/>
                <a:lstStyle/>
                <a:p>
                  <a:pPr>
                    <a:defRPr>
                      <a:solidFill>
                        <a:srgbClr val="C00000"/>
                      </a:solidFill>
                    </a:defRPr>
                  </a:pPr>
                  <a:endParaRPr lang="en-US"/>
                </a:p>
              </c:txPr>
              <c:showLegendKey val="0"/>
              <c:showVal val="1"/>
              <c:showCatName val="0"/>
              <c:showSerName val="0"/>
              <c:showPercent val="0"/>
              <c:showBubbleSize val="0"/>
              <c:extLst>
                <c:ext xmlns:c15="http://schemas.microsoft.com/office/drawing/2012/chart" uri="{CE6537A1-D6FC-4f65-9D91-7224C49458BB}">
                  <c15:dlblFieldTable>
                    <c15:dlblFTEntry>
                      <c15:txfldGUID>{45D44079-F60F-482F-9FF6-31913E9BF236}</c15:txfldGUID>
                      <c15:f>'Concr. Curve'!$BS$31</c15:f>
                      <c15:dlblFieldTableCache>
                        <c:ptCount val="1"/>
                        <c:pt idx="0">
                          <c:v>#DIV/0!</c:v>
                        </c:pt>
                      </c15:dlblFieldTableCache>
                    </c15:dlblFTEntry>
                  </c15:dlblFieldTable>
                  <c15:showDataLabelsRange val="0"/>
                </c:ext>
                <c:ext xmlns:c16="http://schemas.microsoft.com/office/drawing/2014/chart" uri="{C3380CC4-5D6E-409C-BE32-E72D297353CC}">
                  <c16:uniqueId val="{0000000F-4AC7-4897-ABEE-EC754CB2CA45}"/>
                </c:ext>
              </c:extLst>
            </c:dLbl>
            <c:dLbl>
              <c:idx val="16"/>
              <c:tx>
                <c:strRef>
                  <c:f>'Concr. Curve'!$BS$32</c:f>
                  <c:strCache>
                    <c:ptCount val="1"/>
                    <c:pt idx="0">
                      <c:v>#DIV/0!</c:v>
                    </c:pt>
                  </c:strCache>
                </c:strRef>
              </c:tx>
              <c:spPr/>
              <c:txPr>
                <a:bodyPr/>
                <a:lstStyle/>
                <a:p>
                  <a:pPr>
                    <a:defRPr>
                      <a:solidFill>
                        <a:srgbClr val="C00000"/>
                      </a:solidFill>
                    </a:defRPr>
                  </a:pPr>
                  <a:endParaRPr lang="en-US"/>
                </a:p>
              </c:txPr>
              <c:showLegendKey val="0"/>
              <c:showVal val="1"/>
              <c:showCatName val="0"/>
              <c:showSerName val="0"/>
              <c:showPercent val="0"/>
              <c:showBubbleSize val="0"/>
              <c:extLst>
                <c:ext xmlns:c15="http://schemas.microsoft.com/office/drawing/2012/chart" uri="{CE6537A1-D6FC-4f65-9D91-7224C49458BB}">
                  <c15:dlblFieldTable>
                    <c15:dlblFTEntry>
                      <c15:txfldGUID>{AA194A33-4BAA-4674-BD1E-51E6457E9B32}</c15:txfldGUID>
                      <c15:f>'Concr. Curve'!$BS$32</c15:f>
                      <c15:dlblFieldTableCache>
                        <c:ptCount val="1"/>
                        <c:pt idx="0">
                          <c:v>#DIV/0!</c:v>
                        </c:pt>
                      </c15:dlblFieldTableCache>
                    </c15:dlblFTEntry>
                  </c15:dlblFieldTable>
                  <c15:showDataLabelsRange val="0"/>
                </c:ext>
                <c:ext xmlns:c16="http://schemas.microsoft.com/office/drawing/2014/chart" uri="{C3380CC4-5D6E-409C-BE32-E72D297353CC}">
                  <c16:uniqueId val="{00000010-4AC7-4897-ABEE-EC754CB2CA45}"/>
                </c:ext>
              </c:extLst>
            </c:dLbl>
            <c:dLbl>
              <c:idx val="17"/>
              <c:tx>
                <c:strRef>
                  <c:f>'Concr. Curve'!$BS$33</c:f>
                  <c:strCache>
                    <c:ptCount val="1"/>
                    <c:pt idx="0">
                      <c:v>#DIV/0!</c:v>
                    </c:pt>
                  </c:strCache>
                </c:strRef>
              </c:tx>
              <c:spPr/>
              <c:txPr>
                <a:bodyPr/>
                <a:lstStyle/>
                <a:p>
                  <a:pPr>
                    <a:defRPr>
                      <a:solidFill>
                        <a:srgbClr val="C00000"/>
                      </a:solidFill>
                    </a:defRPr>
                  </a:pPr>
                  <a:endParaRPr lang="en-US"/>
                </a:p>
              </c:txPr>
              <c:showLegendKey val="0"/>
              <c:showVal val="1"/>
              <c:showCatName val="0"/>
              <c:showSerName val="0"/>
              <c:showPercent val="0"/>
              <c:showBubbleSize val="0"/>
              <c:extLst>
                <c:ext xmlns:c15="http://schemas.microsoft.com/office/drawing/2012/chart" uri="{CE6537A1-D6FC-4f65-9D91-7224C49458BB}">
                  <c15:dlblFieldTable>
                    <c15:dlblFTEntry>
                      <c15:txfldGUID>{8E03550B-3814-4CB2-BB53-67371329A457}</c15:txfldGUID>
                      <c15:f>'Concr. Curve'!$BS$33</c15:f>
                      <c15:dlblFieldTableCache>
                        <c:ptCount val="1"/>
                        <c:pt idx="0">
                          <c:v>#DIV/0!</c:v>
                        </c:pt>
                      </c15:dlblFieldTableCache>
                    </c15:dlblFTEntry>
                  </c15:dlblFieldTable>
                  <c15:showDataLabelsRange val="0"/>
                </c:ext>
                <c:ext xmlns:c16="http://schemas.microsoft.com/office/drawing/2014/chart" uri="{C3380CC4-5D6E-409C-BE32-E72D297353CC}">
                  <c16:uniqueId val="{00000011-4AC7-4897-ABEE-EC754CB2CA45}"/>
                </c:ext>
              </c:extLst>
            </c:dLbl>
            <c:dLbl>
              <c:idx val="18"/>
              <c:tx>
                <c:strRef>
                  <c:f>'Concr. Curve'!$BS$34</c:f>
                  <c:strCache>
                    <c:ptCount val="1"/>
                    <c:pt idx="0">
                      <c:v>#DIV/0!</c:v>
                    </c:pt>
                  </c:strCache>
                </c:strRef>
              </c:tx>
              <c:spPr/>
              <c:txPr>
                <a:bodyPr/>
                <a:lstStyle/>
                <a:p>
                  <a:pPr>
                    <a:defRPr>
                      <a:solidFill>
                        <a:srgbClr val="C00000"/>
                      </a:solidFill>
                    </a:defRPr>
                  </a:pPr>
                  <a:endParaRPr lang="en-US"/>
                </a:p>
              </c:txPr>
              <c:showLegendKey val="0"/>
              <c:showVal val="1"/>
              <c:showCatName val="0"/>
              <c:showSerName val="0"/>
              <c:showPercent val="0"/>
              <c:showBubbleSize val="0"/>
              <c:extLst>
                <c:ext xmlns:c15="http://schemas.microsoft.com/office/drawing/2012/chart" uri="{CE6537A1-D6FC-4f65-9D91-7224C49458BB}">
                  <c15:dlblFieldTable>
                    <c15:dlblFTEntry>
                      <c15:txfldGUID>{7D66FEC1-2E02-40E1-BBA1-4F63C06F11EB}</c15:txfldGUID>
                      <c15:f>'Concr. Curve'!$BS$34</c15:f>
                      <c15:dlblFieldTableCache>
                        <c:ptCount val="1"/>
                        <c:pt idx="0">
                          <c:v>#DIV/0!</c:v>
                        </c:pt>
                      </c15:dlblFieldTableCache>
                    </c15:dlblFTEntry>
                  </c15:dlblFieldTable>
                  <c15:showDataLabelsRange val="0"/>
                </c:ext>
                <c:ext xmlns:c16="http://schemas.microsoft.com/office/drawing/2014/chart" uri="{C3380CC4-5D6E-409C-BE32-E72D297353CC}">
                  <c16:uniqueId val="{00000012-4AC7-4897-ABEE-EC754CB2CA45}"/>
                </c:ext>
              </c:extLst>
            </c:dLbl>
            <c:dLbl>
              <c:idx val="19"/>
              <c:tx>
                <c:strRef>
                  <c:f>'Concr. Curve'!$BS$35</c:f>
                  <c:strCache>
                    <c:ptCount val="1"/>
                    <c:pt idx="0">
                      <c:v>#DIV/0!</c:v>
                    </c:pt>
                  </c:strCache>
                </c:strRef>
              </c:tx>
              <c:spPr/>
              <c:txPr>
                <a:bodyPr/>
                <a:lstStyle/>
                <a:p>
                  <a:pPr>
                    <a:defRPr>
                      <a:solidFill>
                        <a:srgbClr val="C00000"/>
                      </a:solidFill>
                    </a:defRPr>
                  </a:pPr>
                  <a:endParaRPr lang="en-US"/>
                </a:p>
              </c:txPr>
              <c:showLegendKey val="0"/>
              <c:showVal val="1"/>
              <c:showCatName val="0"/>
              <c:showSerName val="0"/>
              <c:showPercent val="0"/>
              <c:showBubbleSize val="0"/>
              <c:extLst>
                <c:ext xmlns:c15="http://schemas.microsoft.com/office/drawing/2012/chart" uri="{CE6537A1-D6FC-4f65-9D91-7224C49458BB}">
                  <c15:dlblFieldTable>
                    <c15:dlblFTEntry>
                      <c15:txfldGUID>{925FC576-80C0-4A04-AE77-52D36B7F4ACA}</c15:txfldGUID>
                      <c15:f>'Concr. Curve'!$BS$35</c15:f>
                      <c15:dlblFieldTableCache>
                        <c:ptCount val="1"/>
                        <c:pt idx="0">
                          <c:v>#DIV/0!</c:v>
                        </c:pt>
                      </c15:dlblFieldTableCache>
                    </c15:dlblFTEntry>
                  </c15:dlblFieldTable>
                  <c15:showDataLabelsRange val="0"/>
                </c:ext>
                <c:ext xmlns:c16="http://schemas.microsoft.com/office/drawing/2014/chart" uri="{C3380CC4-5D6E-409C-BE32-E72D297353CC}">
                  <c16:uniqueId val="{00000013-4AC7-4897-ABEE-EC754CB2CA45}"/>
                </c:ext>
              </c:extLst>
            </c:dLbl>
            <c:dLbl>
              <c:idx val="20"/>
              <c:tx>
                <c:strRef>
                  <c:f>'Concr. Curve'!$BS$36</c:f>
                  <c:strCache>
                    <c:ptCount val="1"/>
                    <c:pt idx="0">
                      <c:v>#DIV/0!</c:v>
                    </c:pt>
                  </c:strCache>
                </c:strRef>
              </c:tx>
              <c:spPr/>
              <c:txPr>
                <a:bodyPr/>
                <a:lstStyle/>
                <a:p>
                  <a:pPr>
                    <a:defRPr>
                      <a:solidFill>
                        <a:srgbClr val="C00000"/>
                      </a:solidFill>
                    </a:defRPr>
                  </a:pPr>
                  <a:endParaRPr lang="en-US"/>
                </a:p>
              </c:txPr>
              <c:showLegendKey val="0"/>
              <c:showVal val="1"/>
              <c:showCatName val="0"/>
              <c:showSerName val="0"/>
              <c:showPercent val="0"/>
              <c:showBubbleSize val="0"/>
              <c:extLst>
                <c:ext xmlns:c15="http://schemas.microsoft.com/office/drawing/2012/chart" uri="{CE6537A1-D6FC-4f65-9D91-7224C49458BB}">
                  <c15:dlblFieldTable>
                    <c15:dlblFTEntry>
                      <c15:txfldGUID>{AFB06374-14A3-4DE4-ACB3-982E09D9BD28}</c15:txfldGUID>
                      <c15:f>'Concr. Curve'!$BS$36</c15:f>
                      <c15:dlblFieldTableCache>
                        <c:ptCount val="1"/>
                        <c:pt idx="0">
                          <c:v>#DIV/0!</c:v>
                        </c:pt>
                      </c15:dlblFieldTableCache>
                    </c15:dlblFTEntry>
                  </c15:dlblFieldTable>
                  <c15:showDataLabelsRange val="0"/>
                </c:ext>
                <c:ext xmlns:c16="http://schemas.microsoft.com/office/drawing/2014/chart" uri="{C3380CC4-5D6E-409C-BE32-E72D297353CC}">
                  <c16:uniqueId val="{00000014-4AC7-4897-ABEE-EC754CB2CA45}"/>
                </c:ext>
              </c:extLst>
            </c:dLbl>
            <c:dLbl>
              <c:idx val="21"/>
              <c:tx>
                <c:strRef>
                  <c:f>'Concr. Curve'!$BS$37</c:f>
                  <c:strCache>
                    <c:ptCount val="1"/>
                    <c:pt idx="0">
                      <c:v>#DIV/0!</c:v>
                    </c:pt>
                  </c:strCache>
                </c:strRef>
              </c:tx>
              <c:spPr/>
              <c:txPr>
                <a:bodyPr/>
                <a:lstStyle/>
                <a:p>
                  <a:pPr>
                    <a:defRPr>
                      <a:solidFill>
                        <a:srgbClr val="C00000"/>
                      </a:solidFill>
                    </a:defRPr>
                  </a:pPr>
                  <a:endParaRPr lang="en-US"/>
                </a:p>
              </c:txPr>
              <c:showLegendKey val="0"/>
              <c:showVal val="1"/>
              <c:showCatName val="0"/>
              <c:showSerName val="0"/>
              <c:showPercent val="0"/>
              <c:showBubbleSize val="0"/>
              <c:extLst>
                <c:ext xmlns:c15="http://schemas.microsoft.com/office/drawing/2012/chart" uri="{CE6537A1-D6FC-4f65-9D91-7224C49458BB}">
                  <c15:dlblFieldTable>
                    <c15:dlblFTEntry>
                      <c15:txfldGUID>{EB5D0EDE-45D9-40C4-84CC-F14A2CF5FC66}</c15:txfldGUID>
                      <c15:f>'Concr. Curve'!$BS$37</c15:f>
                      <c15:dlblFieldTableCache>
                        <c:ptCount val="1"/>
                        <c:pt idx="0">
                          <c:v>#DIV/0!</c:v>
                        </c:pt>
                      </c15:dlblFieldTableCache>
                    </c15:dlblFTEntry>
                  </c15:dlblFieldTable>
                  <c15:showDataLabelsRange val="0"/>
                </c:ext>
                <c:ext xmlns:c16="http://schemas.microsoft.com/office/drawing/2014/chart" uri="{C3380CC4-5D6E-409C-BE32-E72D297353CC}">
                  <c16:uniqueId val="{00000015-4AC7-4897-ABEE-EC754CB2CA45}"/>
                </c:ext>
              </c:extLst>
            </c:dLbl>
            <c:dLbl>
              <c:idx val="22"/>
              <c:tx>
                <c:strRef>
                  <c:f>'Concr. Curve'!$BS$38</c:f>
                  <c:strCache>
                    <c:ptCount val="1"/>
                    <c:pt idx="0">
                      <c:v>#DIV/0!</c:v>
                    </c:pt>
                  </c:strCache>
                </c:strRef>
              </c:tx>
              <c:spPr/>
              <c:txPr>
                <a:bodyPr/>
                <a:lstStyle/>
                <a:p>
                  <a:pPr>
                    <a:defRPr>
                      <a:solidFill>
                        <a:srgbClr val="C00000"/>
                      </a:solidFill>
                    </a:defRPr>
                  </a:pPr>
                  <a:endParaRPr lang="en-US"/>
                </a:p>
              </c:txPr>
              <c:showLegendKey val="0"/>
              <c:showVal val="1"/>
              <c:showCatName val="0"/>
              <c:showSerName val="0"/>
              <c:showPercent val="0"/>
              <c:showBubbleSize val="0"/>
              <c:extLst>
                <c:ext xmlns:c15="http://schemas.microsoft.com/office/drawing/2012/chart" uri="{CE6537A1-D6FC-4f65-9D91-7224C49458BB}">
                  <c15:dlblFieldTable>
                    <c15:dlblFTEntry>
                      <c15:txfldGUID>{BA1140B5-3600-45D7-9161-438E562ABB92}</c15:txfldGUID>
                      <c15:f>'Concr. Curve'!$BS$38</c15:f>
                      <c15:dlblFieldTableCache>
                        <c:ptCount val="1"/>
                        <c:pt idx="0">
                          <c:v>#DIV/0!</c:v>
                        </c:pt>
                      </c15:dlblFieldTableCache>
                    </c15:dlblFTEntry>
                  </c15:dlblFieldTable>
                  <c15:showDataLabelsRange val="0"/>
                </c:ext>
                <c:ext xmlns:c16="http://schemas.microsoft.com/office/drawing/2014/chart" uri="{C3380CC4-5D6E-409C-BE32-E72D297353CC}">
                  <c16:uniqueId val="{00000016-4AC7-4897-ABEE-EC754CB2CA45}"/>
                </c:ext>
              </c:extLst>
            </c:dLbl>
            <c:dLbl>
              <c:idx val="23"/>
              <c:tx>
                <c:strRef>
                  <c:f>'Concr. Curve'!$BS$39</c:f>
                  <c:strCache>
                    <c:ptCount val="1"/>
                    <c:pt idx="0">
                      <c:v>#DIV/0!</c:v>
                    </c:pt>
                  </c:strCache>
                </c:strRef>
              </c:tx>
              <c:spPr/>
              <c:txPr>
                <a:bodyPr/>
                <a:lstStyle/>
                <a:p>
                  <a:pPr>
                    <a:defRPr>
                      <a:solidFill>
                        <a:srgbClr val="C00000"/>
                      </a:solidFill>
                    </a:defRPr>
                  </a:pPr>
                  <a:endParaRPr lang="en-US"/>
                </a:p>
              </c:txPr>
              <c:showLegendKey val="0"/>
              <c:showVal val="1"/>
              <c:showCatName val="0"/>
              <c:showSerName val="0"/>
              <c:showPercent val="0"/>
              <c:showBubbleSize val="0"/>
              <c:extLst>
                <c:ext xmlns:c15="http://schemas.microsoft.com/office/drawing/2012/chart" uri="{CE6537A1-D6FC-4f65-9D91-7224C49458BB}">
                  <c15:dlblFieldTable>
                    <c15:dlblFTEntry>
                      <c15:txfldGUID>{AF336FB7-01B6-427C-8105-C2BE9BB131BC}</c15:txfldGUID>
                      <c15:f>'Concr. Curve'!$BS$39</c15:f>
                      <c15:dlblFieldTableCache>
                        <c:ptCount val="1"/>
                        <c:pt idx="0">
                          <c:v>#DIV/0!</c:v>
                        </c:pt>
                      </c15:dlblFieldTableCache>
                    </c15:dlblFTEntry>
                  </c15:dlblFieldTable>
                  <c15:showDataLabelsRange val="0"/>
                </c:ext>
                <c:ext xmlns:c16="http://schemas.microsoft.com/office/drawing/2014/chart" uri="{C3380CC4-5D6E-409C-BE32-E72D297353CC}">
                  <c16:uniqueId val="{00000017-4AC7-4897-ABEE-EC754CB2CA45}"/>
                </c:ext>
              </c:extLst>
            </c:dLbl>
            <c:dLbl>
              <c:idx val="24"/>
              <c:tx>
                <c:strRef>
                  <c:f>'Concr. Curve'!$BS$40</c:f>
                  <c:strCache>
                    <c:ptCount val="1"/>
                    <c:pt idx="0">
                      <c:v>#DIV/0!</c:v>
                    </c:pt>
                  </c:strCache>
                </c:strRef>
              </c:tx>
              <c:spPr/>
              <c:txPr>
                <a:bodyPr/>
                <a:lstStyle/>
                <a:p>
                  <a:pPr>
                    <a:defRPr>
                      <a:solidFill>
                        <a:srgbClr val="C00000"/>
                      </a:solidFill>
                    </a:defRPr>
                  </a:pPr>
                  <a:endParaRPr lang="en-US"/>
                </a:p>
              </c:txPr>
              <c:showLegendKey val="0"/>
              <c:showVal val="1"/>
              <c:showCatName val="0"/>
              <c:showSerName val="0"/>
              <c:showPercent val="0"/>
              <c:showBubbleSize val="0"/>
              <c:extLst>
                <c:ext xmlns:c15="http://schemas.microsoft.com/office/drawing/2012/chart" uri="{CE6537A1-D6FC-4f65-9D91-7224C49458BB}">
                  <c15:dlblFieldTable>
                    <c15:dlblFTEntry>
                      <c15:txfldGUID>{48C09361-E954-4B52-95A0-6AD114150FE3}</c15:txfldGUID>
                      <c15:f>'Concr. Curve'!$BS$40</c15:f>
                      <c15:dlblFieldTableCache>
                        <c:ptCount val="1"/>
                        <c:pt idx="0">
                          <c:v>#DIV/0!</c:v>
                        </c:pt>
                      </c15:dlblFieldTableCache>
                    </c15:dlblFTEntry>
                  </c15:dlblFieldTable>
                  <c15:showDataLabelsRange val="0"/>
                </c:ext>
                <c:ext xmlns:c16="http://schemas.microsoft.com/office/drawing/2014/chart" uri="{C3380CC4-5D6E-409C-BE32-E72D297353CC}">
                  <c16:uniqueId val="{00000018-4AC7-4897-ABEE-EC754CB2CA45}"/>
                </c:ext>
              </c:extLst>
            </c:dLbl>
            <c:dLbl>
              <c:idx val="25"/>
              <c:tx>
                <c:strRef>
                  <c:f>'Concr. Curve'!$BS$41</c:f>
                  <c:strCache>
                    <c:ptCount val="1"/>
                    <c:pt idx="0">
                      <c:v>#DIV/0!</c:v>
                    </c:pt>
                  </c:strCache>
                </c:strRef>
              </c:tx>
              <c:spPr/>
              <c:txPr>
                <a:bodyPr/>
                <a:lstStyle/>
                <a:p>
                  <a:pPr>
                    <a:defRPr>
                      <a:solidFill>
                        <a:srgbClr val="C00000"/>
                      </a:solidFill>
                    </a:defRPr>
                  </a:pPr>
                  <a:endParaRPr lang="en-US"/>
                </a:p>
              </c:txPr>
              <c:showLegendKey val="0"/>
              <c:showVal val="1"/>
              <c:showCatName val="0"/>
              <c:showSerName val="0"/>
              <c:showPercent val="0"/>
              <c:showBubbleSize val="0"/>
              <c:extLst>
                <c:ext xmlns:c15="http://schemas.microsoft.com/office/drawing/2012/chart" uri="{CE6537A1-D6FC-4f65-9D91-7224C49458BB}">
                  <c15:dlblFieldTable>
                    <c15:dlblFTEntry>
                      <c15:txfldGUID>{418FE523-1CD1-487F-8BA1-2168CFAC018D}</c15:txfldGUID>
                      <c15:f>'Concr. Curve'!$BS$41</c15:f>
                      <c15:dlblFieldTableCache>
                        <c:ptCount val="1"/>
                        <c:pt idx="0">
                          <c:v>#DIV/0!</c:v>
                        </c:pt>
                      </c15:dlblFieldTableCache>
                    </c15:dlblFTEntry>
                  </c15:dlblFieldTable>
                  <c15:showDataLabelsRange val="0"/>
                </c:ext>
                <c:ext xmlns:c16="http://schemas.microsoft.com/office/drawing/2014/chart" uri="{C3380CC4-5D6E-409C-BE32-E72D297353CC}">
                  <c16:uniqueId val="{00000019-4AC7-4897-ABEE-EC754CB2CA45}"/>
                </c:ext>
              </c:extLst>
            </c:dLbl>
            <c:dLbl>
              <c:idx val="26"/>
              <c:tx>
                <c:strRef>
                  <c:f>'Concr. Curve'!$BS$42</c:f>
                  <c:strCache>
                    <c:ptCount val="1"/>
                    <c:pt idx="0">
                      <c:v>#DIV/0!</c:v>
                    </c:pt>
                  </c:strCache>
                </c:strRef>
              </c:tx>
              <c:spPr/>
              <c:txPr>
                <a:bodyPr/>
                <a:lstStyle/>
                <a:p>
                  <a:pPr>
                    <a:defRPr>
                      <a:solidFill>
                        <a:srgbClr val="C00000"/>
                      </a:solidFill>
                    </a:defRPr>
                  </a:pPr>
                  <a:endParaRPr lang="en-US"/>
                </a:p>
              </c:txPr>
              <c:showLegendKey val="0"/>
              <c:showVal val="1"/>
              <c:showCatName val="0"/>
              <c:showSerName val="0"/>
              <c:showPercent val="0"/>
              <c:showBubbleSize val="0"/>
              <c:extLst>
                <c:ext xmlns:c15="http://schemas.microsoft.com/office/drawing/2012/chart" uri="{CE6537A1-D6FC-4f65-9D91-7224C49458BB}">
                  <c15:dlblFieldTable>
                    <c15:dlblFTEntry>
                      <c15:txfldGUID>{6C5D12E9-D126-46DA-A657-A2F74605FADA}</c15:txfldGUID>
                      <c15:f>'Concr. Curve'!$BS$42</c15:f>
                      <c15:dlblFieldTableCache>
                        <c:ptCount val="1"/>
                        <c:pt idx="0">
                          <c:v>#DIV/0!</c:v>
                        </c:pt>
                      </c15:dlblFieldTableCache>
                    </c15:dlblFTEntry>
                  </c15:dlblFieldTable>
                  <c15:showDataLabelsRange val="0"/>
                </c:ext>
                <c:ext xmlns:c16="http://schemas.microsoft.com/office/drawing/2014/chart" uri="{C3380CC4-5D6E-409C-BE32-E72D297353CC}">
                  <c16:uniqueId val="{0000001A-4AC7-4897-ABEE-EC754CB2CA45}"/>
                </c:ext>
              </c:extLst>
            </c:dLbl>
            <c:dLbl>
              <c:idx val="27"/>
              <c:tx>
                <c:strRef>
                  <c:f>'Concr. Curve'!$BS$43</c:f>
                  <c:strCache>
                    <c:ptCount val="1"/>
                    <c:pt idx="0">
                      <c:v>#DIV/0!</c:v>
                    </c:pt>
                  </c:strCache>
                </c:strRef>
              </c:tx>
              <c:spPr/>
              <c:txPr>
                <a:bodyPr/>
                <a:lstStyle/>
                <a:p>
                  <a:pPr>
                    <a:defRPr>
                      <a:solidFill>
                        <a:srgbClr val="C00000"/>
                      </a:solidFill>
                    </a:defRPr>
                  </a:pPr>
                  <a:endParaRPr lang="en-US"/>
                </a:p>
              </c:txPr>
              <c:showLegendKey val="0"/>
              <c:showVal val="1"/>
              <c:showCatName val="0"/>
              <c:showSerName val="0"/>
              <c:showPercent val="0"/>
              <c:showBubbleSize val="0"/>
              <c:extLst>
                <c:ext xmlns:c15="http://schemas.microsoft.com/office/drawing/2012/chart" uri="{CE6537A1-D6FC-4f65-9D91-7224C49458BB}">
                  <c15:dlblFieldTable>
                    <c15:dlblFTEntry>
                      <c15:txfldGUID>{2D0C5C47-FF99-4D9E-93E8-CD28C4D482B1}</c15:txfldGUID>
                      <c15:f>'Concr. Curve'!$BS$43</c15:f>
                      <c15:dlblFieldTableCache>
                        <c:ptCount val="1"/>
                        <c:pt idx="0">
                          <c:v>#DIV/0!</c:v>
                        </c:pt>
                      </c15:dlblFieldTableCache>
                    </c15:dlblFTEntry>
                  </c15:dlblFieldTable>
                  <c15:showDataLabelsRange val="0"/>
                </c:ext>
                <c:ext xmlns:c16="http://schemas.microsoft.com/office/drawing/2014/chart" uri="{C3380CC4-5D6E-409C-BE32-E72D297353CC}">
                  <c16:uniqueId val="{0000001B-4AC7-4897-ABEE-EC754CB2CA45}"/>
                </c:ext>
              </c:extLst>
            </c:dLbl>
            <c:dLbl>
              <c:idx val="28"/>
              <c:tx>
                <c:strRef>
                  <c:f>'Concr. Curve'!$BS$44</c:f>
                  <c:strCache>
                    <c:ptCount val="1"/>
                    <c:pt idx="0">
                      <c:v>#DIV/0!</c:v>
                    </c:pt>
                  </c:strCache>
                </c:strRef>
              </c:tx>
              <c:spPr/>
              <c:txPr>
                <a:bodyPr/>
                <a:lstStyle/>
                <a:p>
                  <a:pPr>
                    <a:defRPr>
                      <a:solidFill>
                        <a:srgbClr val="C00000"/>
                      </a:solidFill>
                    </a:defRPr>
                  </a:pPr>
                  <a:endParaRPr lang="en-US"/>
                </a:p>
              </c:txPr>
              <c:showLegendKey val="0"/>
              <c:showVal val="1"/>
              <c:showCatName val="0"/>
              <c:showSerName val="0"/>
              <c:showPercent val="0"/>
              <c:showBubbleSize val="0"/>
              <c:extLst>
                <c:ext xmlns:c15="http://schemas.microsoft.com/office/drawing/2012/chart" uri="{CE6537A1-D6FC-4f65-9D91-7224C49458BB}">
                  <c15:dlblFieldTable>
                    <c15:dlblFTEntry>
                      <c15:txfldGUID>{C810DAF0-3AD6-4BF3-8C6E-4DBC5A152AEE}</c15:txfldGUID>
                      <c15:f>'Concr. Curve'!$BS$44</c15:f>
                      <c15:dlblFieldTableCache>
                        <c:ptCount val="1"/>
                        <c:pt idx="0">
                          <c:v>#DIV/0!</c:v>
                        </c:pt>
                      </c15:dlblFieldTableCache>
                    </c15:dlblFTEntry>
                  </c15:dlblFieldTable>
                  <c15:showDataLabelsRange val="0"/>
                </c:ext>
                <c:ext xmlns:c16="http://schemas.microsoft.com/office/drawing/2014/chart" uri="{C3380CC4-5D6E-409C-BE32-E72D297353CC}">
                  <c16:uniqueId val="{0000001C-4AC7-4897-ABEE-EC754CB2CA45}"/>
                </c:ext>
              </c:extLst>
            </c:dLbl>
            <c:dLbl>
              <c:idx val="29"/>
              <c:tx>
                <c:strRef>
                  <c:f>'Concr. Curve'!$BS$45</c:f>
                  <c:strCache>
                    <c:ptCount val="1"/>
                    <c:pt idx="0">
                      <c:v>#DIV/0!</c:v>
                    </c:pt>
                  </c:strCache>
                </c:strRef>
              </c:tx>
              <c:spPr/>
              <c:txPr>
                <a:bodyPr/>
                <a:lstStyle/>
                <a:p>
                  <a:pPr>
                    <a:defRPr>
                      <a:solidFill>
                        <a:srgbClr val="C00000"/>
                      </a:solidFill>
                    </a:defRPr>
                  </a:pPr>
                  <a:endParaRPr lang="en-US"/>
                </a:p>
              </c:txPr>
              <c:showLegendKey val="0"/>
              <c:showVal val="1"/>
              <c:showCatName val="0"/>
              <c:showSerName val="0"/>
              <c:showPercent val="0"/>
              <c:showBubbleSize val="0"/>
              <c:extLst>
                <c:ext xmlns:c15="http://schemas.microsoft.com/office/drawing/2012/chart" uri="{CE6537A1-D6FC-4f65-9D91-7224C49458BB}">
                  <c15:dlblFieldTable>
                    <c15:dlblFTEntry>
                      <c15:txfldGUID>{373BD65F-1B8E-424F-A568-94F5E490162B}</c15:txfldGUID>
                      <c15:f>'Concr. Curve'!$BS$45</c15:f>
                      <c15:dlblFieldTableCache>
                        <c:ptCount val="1"/>
                        <c:pt idx="0">
                          <c:v>#DIV/0!</c:v>
                        </c:pt>
                      </c15:dlblFieldTableCache>
                    </c15:dlblFTEntry>
                  </c15:dlblFieldTable>
                  <c15:showDataLabelsRange val="0"/>
                </c:ext>
                <c:ext xmlns:c16="http://schemas.microsoft.com/office/drawing/2014/chart" uri="{C3380CC4-5D6E-409C-BE32-E72D297353CC}">
                  <c16:uniqueId val="{0000001D-4AC7-4897-ABEE-EC754CB2CA45}"/>
                </c:ext>
              </c:extLst>
            </c:dLbl>
            <c:dLbl>
              <c:idx val="30"/>
              <c:tx>
                <c:strRef>
                  <c:f>'Concr. Curve'!$BS$46</c:f>
                  <c:strCache>
                    <c:ptCount val="1"/>
                    <c:pt idx="0">
                      <c:v>#DIV/0!</c:v>
                    </c:pt>
                  </c:strCache>
                </c:strRef>
              </c:tx>
              <c:spPr/>
              <c:txPr>
                <a:bodyPr/>
                <a:lstStyle/>
                <a:p>
                  <a:pPr>
                    <a:defRPr>
                      <a:solidFill>
                        <a:srgbClr val="C00000"/>
                      </a:solidFill>
                    </a:defRPr>
                  </a:pPr>
                  <a:endParaRPr lang="en-US"/>
                </a:p>
              </c:txPr>
              <c:showLegendKey val="0"/>
              <c:showVal val="1"/>
              <c:showCatName val="0"/>
              <c:showSerName val="0"/>
              <c:showPercent val="0"/>
              <c:showBubbleSize val="0"/>
              <c:extLst>
                <c:ext xmlns:c15="http://schemas.microsoft.com/office/drawing/2012/chart" uri="{CE6537A1-D6FC-4f65-9D91-7224C49458BB}">
                  <c15:dlblFieldTable>
                    <c15:dlblFTEntry>
                      <c15:txfldGUID>{64B010CF-744E-4748-B6EE-1460E81D17F2}</c15:txfldGUID>
                      <c15:f>'Concr. Curve'!$BS$46</c15:f>
                      <c15:dlblFieldTableCache>
                        <c:ptCount val="1"/>
                        <c:pt idx="0">
                          <c:v>#DIV/0!</c:v>
                        </c:pt>
                      </c15:dlblFieldTableCache>
                    </c15:dlblFTEntry>
                  </c15:dlblFieldTable>
                  <c15:showDataLabelsRange val="0"/>
                </c:ext>
                <c:ext xmlns:c16="http://schemas.microsoft.com/office/drawing/2014/chart" uri="{C3380CC4-5D6E-409C-BE32-E72D297353CC}">
                  <c16:uniqueId val="{0000001E-4AC7-4897-ABEE-EC754CB2CA45}"/>
                </c:ext>
              </c:extLst>
            </c:dLbl>
            <c:dLbl>
              <c:idx val="31"/>
              <c:tx>
                <c:strRef>
                  <c:f>'Concr. Curve'!$BS$47</c:f>
                  <c:strCache>
                    <c:ptCount val="1"/>
                    <c:pt idx="0">
                      <c:v>#DIV/0!</c:v>
                    </c:pt>
                  </c:strCache>
                </c:strRef>
              </c:tx>
              <c:spPr/>
              <c:txPr>
                <a:bodyPr/>
                <a:lstStyle/>
                <a:p>
                  <a:pPr>
                    <a:defRPr>
                      <a:solidFill>
                        <a:srgbClr val="C00000"/>
                      </a:solidFill>
                    </a:defRPr>
                  </a:pPr>
                  <a:endParaRPr lang="en-US"/>
                </a:p>
              </c:txPr>
              <c:showLegendKey val="0"/>
              <c:showVal val="1"/>
              <c:showCatName val="0"/>
              <c:showSerName val="0"/>
              <c:showPercent val="0"/>
              <c:showBubbleSize val="0"/>
              <c:extLst>
                <c:ext xmlns:c15="http://schemas.microsoft.com/office/drawing/2012/chart" uri="{CE6537A1-D6FC-4f65-9D91-7224C49458BB}">
                  <c15:dlblFieldTable>
                    <c15:dlblFTEntry>
                      <c15:txfldGUID>{E7851B88-F57C-482E-92D9-1197AF239E09}</c15:txfldGUID>
                      <c15:f>'Concr. Curve'!$BS$47</c15:f>
                      <c15:dlblFieldTableCache>
                        <c:ptCount val="1"/>
                        <c:pt idx="0">
                          <c:v>#DIV/0!</c:v>
                        </c:pt>
                      </c15:dlblFieldTableCache>
                    </c15:dlblFTEntry>
                  </c15:dlblFieldTable>
                  <c15:showDataLabelsRange val="0"/>
                </c:ext>
                <c:ext xmlns:c16="http://schemas.microsoft.com/office/drawing/2014/chart" uri="{C3380CC4-5D6E-409C-BE32-E72D297353CC}">
                  <c16:uniqueId val="{0000001F-4AC7-4897-ABEE-EC754CB2CA45}"/>
                </c:ext>
              </c:extLst>
            </c:dLbl>
            <c:dLbl>
              <c:idx val="32"/>
              <c:tx>
                <c:strRef>
                  <c:f>'Concr. Curve'!$BS$48</c:f>
                  <c:strCache>
                    <c:ptCount val="1"/>
                    <c:pt idx="0">
                      <c:v>#DIV/0!</c:v>
                    </c:pt>
                  </c:strCache>
                </c:strRef>
              </c:tx>
              <c:spPr/>
              <c:txPr>
                <a:bodyPr/>
                <a:lstStyle/>
                <a:p>
                  <a:pPr>
                    <a:defRPr>
                      <a:solidFill>
                        <a:srgbClr val="C00000"/>
                      </a:solidFill>
                    </a:defRPr>
                  </a:pPr>
                  <a:endParaRPr lang="en-US"/>
                </a:p>
              </c:txPr>
              <c:showLegendKey val="0"/>
              <c:showVal val="1"/>
              <c:showCatName val="0"/>
              <c:showSerName val="0"/>
              <c:showPercent val="0"/>
              <c:showBubbleSize val="0"/>
              <c:extLst>
                <c:ext xmlns:c15="http://schemas.microsoft.com/office/drawing/2012/chart" uri="{CE6537A1-D6FC-4f65-9D91-7224C49458BB}">
                  <c15:dlblFieldTable>
                    <c15:dlblFTEntry>
                      <c15:txfldGUID>{84315B5C-4ED7-4388-AEA5-840C1B9E6232}</c15:txfldGUID>
                      <c15:f>'Concr. Curve'!$BS$48</c15:f>
                      <c15:dlblFieldTableCache>
                        <c:ptCount val="1"/>
                        <c:pt idx="0">
                          <c:v>#DIV/0!</c:v>
                        </c:pt>
                      </c15:dlblFieldTableCache>
                    </c15:dlblFTEntry>
                  </c15:dlblFieldTable>
                  <c15:showDataLabelsRange val="0"/>
                </c:ext>
                <c:ext xmlns:c16="http://schemas.microsoft.com/office/drawing/2014/chart" uri="{C3380CC4-5D6E-409C-BE32-E72D297353CC}">
                  <c16:uniqueId val="{00000020-4AC7-4897-ABEE-EC754CB2CA45}"/>
                </c:ext>
              </c:extLst>
            </c:dLbl>
            <c:dLbl>
              <c:idx val="33"/>
              <c:tx>
                <c:strRef>
                  <c:f>'Concr. Curve'!$BS$49</c:f>
                  <c:strCache>
                    <c:ptCount val="1"/>
                    <c:pt idx="0">
                      <c:v>#DIV/0!</c:v>
                    </c:pt>
                  </c:strCache>
                </c:strRef>
              </c:tx>
              <c:spPr/>
              <c:txPr>
                <a:bodyPr/>
                <a:lstStyle/>
                <a:p>
                  <a:pPr>
                    <a:defRPr>
                      <a:solidFill>
                        <a:srgbClr val="C00000"/>
                      </a:solidFill>
                    </a:defRPr>
                  </a:pPr>
                  <a:endParaRPr lang="en-US"/>
                </a:p>
              </c:txPr>
              <c:showLegendKey val="0"/>
              <c:showVal val="1"/>
              <c:showCatName val="0"/>
              <c:showSerName val="0"/>
              <c:showPercent val="0"/>
              <c:showBubbleSize val="0"/>
              <c:extLst>
                <c:ext xmlns:c15="http://schemas.microsoft.com/office/drawing/2012/chart" uri="{CE6537A1-D6FC-4f65-9D91-7224C49458BB}">
                  <c15:dlblFieldTable>
                    <c15:dlblFTEntry>
                      <c15:txfldGUID>{C63CBD0B-5F31-4C24-8742-6BC4DDBFF3DB}</c15:txfldGUID>
                      <c15:f>'Concr. Curve'!$BS$49</c15:f>
                      <c15:dlblFieldTableCache>
                        <c:ptCount val="1"/>
                        <c:pt idx="0">
                          <c:v>#DIV/0!</c:v>
                        </c:pt>
                      </c15:dlblFieldTableCache>
                    </c15:dlblFTEntry>
                  </c15:dlblFieldTable>
                  <c15:showDataLabelsRange val="0"/>
                </c:ext>
                <c:ext xmlns:c16="http://schemas.microsoft.com/office/drawing/2014/chart" uri="{C3380CC4-5D6E-409C-BE32-E72D297353CC}">
                  <c16:uniqueId val="{00000021-4AC7-4897-ABEE-EC754CB2CA45}"/>
                </c:ext>
              </c:extLst>
            </c:dLbl>
            <c:dLbl>
              <c:idx val="34"/>
              <c:tx>
                <c:strRef>
                  <c:f>'Concr. Curve'!$BS$50</c:f>
                  <c:strCache>
                    <c:ptCount val="1"/>
                    <c:pt idx="0">
                      <c:v>#DIV/0!</c:v>
                    </c:pt>
                  </c:strCache>
                </c:strRef>
              </c:tx>
              <c:spPr/>
              <c:txPr>
                <a:bodyPr/>
                <a:lstStyle/>
                <a:p>
                  <a:pPr>
                    <a:defRPr>
                      <a:solidFill>
                        <a:srgbClr val="C00000"/>
                      </a:solidFill>
                    </a:defRPr>
                  </a:pPr>
                  <a:endParaRPr lang="en-US"/>
                </a:p>
              </c:txPr>
              <c:showLegendKey val="0"/>
              <c:showVal val="1"/>
              <c:showCatName val="0"/>
              <c:showSerName val="0"/>
              <c:showPercent val="0"/>
              <c:showBubbleSize val="0"/>
              <c:extLst>
                <c:ext xmlns:c15="http://schemas.microsoft.com/office/drawing/2012/chart" uri="{CE6537A1-D6FC-4f65-9D91-7224C49458BB}">
                  <c15:dlblFieldTable>
                    <c15:dlblFTEntry>
                      <c15:txfldGUID>{ABDF5B1B-B7EF-4B25-B8B1-47E0311E2D1F}</c15:txfldGUID>
                      <c15:f>'Concr. Curve'!$BS$50</c15:f>
                      <c15:dlblFieldTableCache>
                        <c:ptCount val="1"/>
                        <c:pt idx="0">
                          <c:v>#DIV/0!</c:v>
                        </c:pt>
                      </c15:dlblFieldTableCache>
                    </c15:dlblFTEntry>
                  </c15:dlblFieldTable>
                  <c15:showDataLabelsRange val="0"/>
                </c:ext>
                <c:ext xmlns:c16="http://schemas.microsoft.com/office/drawing/2014/chart" uri="{C3380CC4-5D6E-409C-BE32-E72D297353CC}">
                  <c16:uniqueId val="{00000022-4AC7-4897-ABEE-EC754CB2CA45}"/>
                </c:ext>
              </c:extLst>
            </c:dLbl>
            <c:dLbl>
              <c:idx val="35"/>
              <c:tx>
                <c:strRef>
                  <c:f>'Concr. Curve'!$BS$51</c:f>
                  <c:strCache>
                    <c:ptCount val="1"/>
                    <c:pt idx="0">
                      <c:v>#DIV/0!</c:v>
                    </c:pt>
                  </c:strCache>
                </c:strRef>
              </c:tx>
              <c:spPr/>
              <c:txPr>
                <a:bodyPr/>
                <a:lstStyle/>
                <a:p>
                  <a:pPr>
                    <a:defRPr>
                      <a:solidFill>
                        <a:srgbClr val="C00000"/>
                      </a:solidFill>
                    </a:defRPr>
                  </a:pPr>
                  <a:endParaRPr lang="en-US"/>
                </a:p>
              </c:txPr>
              <c:showLegendKey val="0"/>
              <c:showVal val="1"/>
              <c:showCatName val="0"/>
              <c:showSerName val="0"/>
              <c:showPercent val="0"/>
              <c:showBubbleSize val="0"/>
              <c:extLst>
                <c:ext xmlns:c15="http://schemas.microsoft.com/office/drawing/2012/chart" uri="{CE6537A1-D6FC-4f65-9D91-7224C49458BB}">
                  <c15:dlblFieldTable>
                    <c15:dlblFTEntry>
                      <c15:txfldGUID>{7FE1D1C2-9E84-4BF6-8B7C-EDFFB06B2EBE}</c15:txfldGUID>
                      <c15:f>'Concr. Curve'!$BS$51</c15:f>
                      <c15:dlblFieldTableCache>
                        <c:ptCount val="1"/>
                        <c:pt idx="0">
                          <c:v>#DIV/0!</c:v>
                        </c:pt>
                      </c15:dlblFieldTableCache>
                    </c15:dlblFTEntry>
                  </c15:dlblFieldTable>
                  <c15:showDataLabelsRange val="0"/>
                </c:ext>
                <c:ext xmlns:c16="http://schemas.microsoft.com/office/drawing/2014/chart" uri="{C3380CC4-5D6E-409C-BE32-E72D297353CC}">
                  <c16:uniqueId val="{00000023-4AC7-4897-ABEE-EC754CB2CA45}"/>
                </c:ext>
              </c:extLst>
            </c:dLbl>
            <c:dLbl>
              <c:idx val="36"/>
              <c:tx>
                <c:strRef>
                  <c:f>'Concr. Curve'!$BS$52</c:f>
                  <c:strCache>
                    <c:ptCount val="1"/>
                    <c:pt idx="0">
                      <c:v>#DIV/0!</c:v>
                    </c:pt>
                  </c:strCache>
                </c:strRef>
              </c:tx>
              <c:spPr/>
              <c:txPr>
                <a:bodyPr/>
                <a:lstStyle/>
                <a:p>
                  <a:pPr>
                    <a:defRPr>
                      <a:solidFill>
                        <a:srgbClr val="C00000"/>
                      </a:solidFill>
                    </a:defRPr>
                  </a:pPr>
                  <a:endParaRPr lang="en-US"/>
                </a:p>
              </c:txPr>
              <c:showLegendKey val="0"/>
              <c:showVal val="1"/>
              <c:showCatName val="0"/>
              <c:showSerName val="0"/>
              <c:showPercent val="0"/>
              <c:showBubbleSize val="0"/>
              <c:extLst>
                <c:ext xmlns:c15="http://schemas.microsoft.com/office/drawing/2012/chart" uri="{CE6537A1-D6FC-4f65-9D91-7224C49458BB}">
                  <c15:dlblFieldTable>
                    <c15:dlblFTEntry>
                      <c15:txfldGUID>{B283C0FB-B301-4436-A000-CE25B3A219D9}</c15:txfldGUID>
                      <c15:f>'Concr. Curve'!$BS$52</c15:f>
                      <c15:dlblFieldTableCache>
                        <c:ptCount val="1"/>
                        <c:pt idx="0">
                          <c:v>#DIV/0!</c:v>
                        </c:pt>
                      </c15:dlblFieldTableCache>
                    </c15:dlblFTEntry>
                  </c15:dlblFieldTable>
                  <c15:showDataLabelsRange val="0"/>
                </c:ext>
                <c:ext xmlns:c16="http://schemas.microsoft.com/office/drawing/2014/chart" uri="{C3380CC4-5D6E-409C-BE32-E72D297353CC}">
                  <c16:uniqueId val="{00000024-4AC7-4897-ABEE-EC754CB2CA45}"/>
                </c:ext>
              </c:extLst>
            </c:dLbl>
            <c:dLbl>
              <c:idx val="37"/>
              <c:tx>
                <c:strRef>
                  <c:f>'Concr. Curve'!$BS$53</c:f>
                  <c:strCache>
                    <c:ptCount val="1"/>
                    <c:pt idx="0">
                      <c:v>#DIV/0!</c:v>
                    </c:pt>
                  </c:strCache>
                </c:strRef>
              </c:tx>
              <c:spPr/>
              <c:txPr>
                <a:bodyPr/>
                <a:lstStyle/>
                <a:p>
                  <a:pPr>
                    <a:defRPr>
                      <a:solidFill>
                        <a:srgbClr val="C00000"/>
                      </a:solidFill>
                    </a:defRPr>
                  </a:pPr>
                  <a:endParaRPr lang="en-US"/>
                </a:p>
              </c:txPr>
              <c:showLegendKey val="0"/>
              <c:showVal val="1"/>
              <c:showCatName val="0"/>
              <c:showSerName val="0"/>
              <c:showPercent val="0"/>
              <c:showBubbleSize val="0"/>
              <c:extLst>
                <c:ext xmlns:c15="http://schemas.microsoft.com/office/drawing/2012/chart" uri="{CE6537A1-D6FC-4f65-9D91-7224C49458BB}">
                  <c15:dlblFieldTable>
                    <c15:dlblFTEntry>
                      <c15:txfldGUID>{5CCEFC0B-B759-4F3A-B0A2-91058DEB7C0A}</c15:txfldGUID>
                      <c15:f>'Concr. Curve'!$BS$53</c15:f>
                      <c15:dlblFieldTableCache>
                        <c:ptCount val="1"/>
                        <c:pt idx="0">
                          <c:v>#DIV/0!</c:v>
                        </c:pt>
                      </c15:dlblFieldTableCache>
                    </c15:dlblFTEntry>
                  </c15:dlblFieldTable>
                  <c15:showDataLabelsRange val="0"/>
                </c:ext>
                <c:ext xmlns:c16="http://schemas.microsoft.com/office/drawing/2014/chart" uri="{C3380CC4-5D6E-409C-BE32-E72D297353CC}">
                  <c16:uniqueId val="{00000025-4AC7-4897-ABEE-EC754CB2CA45}"/>
                </c:ext>
              </c:extLst>
            </c:dLbl>
            <c:dLbl>
              <c:idx val="38"/>
              <c:layout>
                <c:manualLayout>
                  <c:x val="8.3407804587431016E-3"/>
                  <c:y val="0"/>
                </c:manualLayout>
              </c:layout>
              <c:tx>
                <c:strRef>
                  <c:f>'Concr. Curve'!$BS$54</c:f>
                  <c:strCache>
                    <c:ptCount val="1"/>
                    <c:pt idx="0">
                      <c:v>#DIV/0!</c:v>
                    </c:pt>
                  </c:strCache>
                </c:strRef>
              </c:tx>
              <c:spPr/>
              <c:txPr>
                <a:bodyPr/>
                <a:lstStyle/>
                <a:p>
                  <a:pPr>
                    <a:defRPr>
                      <a:solidFill>
                        <a:srgbClr val="C00000"/>
                      </a:solidFill>
                    </a:defRPr>
                  </a:pPr>
                  <a:endParaRPr lang="en-US"/>
                </a:p>
              </c:txPr>
              <c:showLegendKey val="0"/>
              <c:showVal val="1"/>
              <c:showCatName val="0"/>
              <c:showSerName val="0"/>
              <c:showPercent val="0"/>
              <c:showBubbleSize val="0"/>
              <c:extLst>
                <c:ext xmlns:c15="http://schemas.microsoft.com/office/drawing/2012/chart" uri="{CE6537A1-D6FC-4f65-9D91-7224C49458BB}">
                  <c15:dlblFieldTable>
                    <c15:dlblFTEntry>
                      <c15:txfldGUID>{4EA8C01C-6167-4076-A52B-2BC38769A461}</c15:txfldGUID>
                      <c15:f>'Concr. Curve'!$BS$54</c15:f>
                      <c15:dlblFieldTableCache>
                        <c:ptCount val="1"/>
                        <c:pt idx="0">
                          <c:v>#DIV/0!</c:v>
                        </c:pt>
                      </c15:dlblFieldTableCache>
                    </c15:dlblFTEntry>
                  </c15:dlblFieldTable>
                  <c15:showDataLabelsRange val="0"/>
                </c:ext>
                <c:ext xmlns:c16="http://schemas.microsoft.com/office/drawing/2014/chart" uri="{C3380CC4-5D6E-409C-BE32-E72D297353CC}">
                  <c16:uniqueId val="{00000026-4AC7-4897-ABEE-EC754CB2CA45}"/>
                </c:ext>
              </c:extLst>
            </c:dLbl>
            <c:dLbl>
              <c:idx val="39"/>
              <c:tx>
                <c:strRef>
                  <c:f>'Concr. Curve'!$BS$55</c:f>
                  <c:strCache>
                    <c:ptCount val="1"/>
                    <c:pt idx="0">
                      <c:v>#DIV/0!</c:v>
                    </c:pt>
                  </c:strCache>
                </c:strRef>
              </c:tx>
              <c:spPr/>
              <c:txPr>
                <a:bodyPr/>
                <a:lstStyle/>
                <a:p>
                  <a:pPr>
                    <a:defRPr>
                      <a:solidFill>
                        <a:srgbClr val="C00000"/>
                      </a:solidFill>
                    </a:defRPr>
                  </a:pPr>
                  <a:endParaRPr lang="en-US"/>
                </a:p>
              </c:txPr>
              <c:showLegendKey val="0"/>
              <c:showVal val="1"/>
              <c:showCatName val="0"/>
              <c:showSerName val="0"/>
              <c:showPercent val="0"/>
              <c:showBubbleSize val="0"/>
              <c:extLst>
                <c:ext xmlns:c15="http://schemas.microsoft.com/office/drawing/2012/chart" uri="{CE6537A1-D6FC-4f65-9D91-7224C49458BB}">
                  <c15:dlblFieldTable>
                    <c15:dlblFTEntry>
                      <c15:txfldGUID>{582EB0C4-2895-4928-BC35-BFB5B0A058A8}</c15:txfldGUID>
                      <c15:f>'Concr. Curve'!$BS$55</c15:f>
                      <c15:dlblFieldTableCache>
                        <c:ptCount val="1"/>
                        <c:pt idx="0">
                          <c:v>#DIV/0!</c:v>
                        </c:pt>
                      </c15:dlblFieldTableCache>
                    </c15:dlblFTEntry>
                  </c15:dlblFieldTable>
                  <c15:showDataLabelsRange val="0"/>
                </c:ext>
                <c:ext xmlns:c16="http://schemas.microsoft.com/office/drawing/2014/chart" uri="{C3380CC4-5D6E-409C-BE32-E72D297353CC}">
                  <c16:uniqueId val="{00000027-4AC7-4897-ABEE-EC754CB2CA45}"/>
                </c:ext>
              </c:extLst>
            </c:dLbl>
            <c:dLbl>
              <c:idx val="40"/>
              <c:delete val="1"/>
              <c:extLst>
                <c:ext xmlns:c15="http://schemas.microsoft.com/office/drawing/2012/chart" uri="{CE6537A1-D6FC-4f65-9D91-7224C49458BB}"/>
                <c:ext xmlns:c16="http://schemas.microsoft.com/office/drawing/2014/chart" uri="{C3380CC4-5D6E-409C-BE32-E72D297353CC}">
                  <c16:uniqueId val="{00000028-4AC7-4897-ABEE-EC754CB2CA45}"/>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'Concr. Curve'!$BP$16:$BP$56</c:f>
              <c:numCache>
                <c:formatCode>0.00</c:formatCode>
                <c:ptCount val="4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formatCode="General">
                  <c:v>0</c:v>
                </c:pt>
              </c:numCache>
            </c:numRef>
          </c:xVal>
          <c:yVal>
            <c:numRef>
              <c:f>'Concr. Curve'!$CA$16:$CA$56</c:f>
              <c:numCache>
                <c:formatCode>0.00</c:formatCode>
                <c:ptCount val="4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numCache>
            </c:numRef>
          </c:yVal>
          <c:smooth val="0"/>
          <c:extLst>
            <c:ext xmlns:c16="http://schemas.microsoft.com/office/drawing/2014/chart" uri="{C3380CC4-5D6E-409C-BE32-E72D297353CC}">
              <c16:uniqueId val="{00000029-4AC7-4897-ABEE-EC754CB2CA45}"/>
            </c:ext>
          </c:extLst>
        </c:ser>
        <c:ser>
          <c:idx val="1"/>
          <c:order val="1"/>
          <c:tx>
            <c:strRef>
              <c:f>'Concr. Curve'!$CU$48</c:f>
              <c:strCache>
                <c:ptCount val="1"/>
                <c:pt idx="0">
                  <c:v>Theor. Uncased   ( Dia. =  ft )</c:v>
                </c:pt>
              </c:strCache>
            </c:strRef>
          </c:tx>
          <c:spPr>
            <a:ln w="15875">
              <a:solidFill>
                <a:srgbClr val="FF0000"/>
              </a:solidFill>
            </a:ln>
          </c:spPr>
          <c:marker>
            <c:symbol val="square"/>
            <c:size val="3"/>
            <c:spPr>
              <a:noFill/>
              <a:ln>
                <a:solidFill>
                  <a:schemeClr val="tx1"/>
                </a:solidFill>
              </a:ln>
            </c:spPr>
          </c:marker>
          <c:xVal>
            <c:numRef>
              <c:f>'Concr. Curve'!$CQ$56:$CQ$57</c:f>
              <c:numCache>
                <c:formatCode>0.00</c:formatCode>
                <c:ptCount val="2"/>
                <c:pt idx="0">
                  <c:v>0</c:v>
                </c:pt>
                <c:pt idx="1">
                  <c:v>0</c:v>
                </c:pt>
              </c:numCache>
            </c:numRef>
          </c:xVal>
          <c:yVal>
            <c:numRef>
              <c:f>'Concr. Curve'!$CR$56:$CR$57</c:f>
              <c:numCache>
                <c:formatCode>0.00</c:formatCode>
                <c:ptCount val="2"/>
                <c:pt idx="0">
                  <c:v>0</c:v>
                </c:pt>
                <c:pt idx="1">
                  <c:v>0</c:v>
                </c:pt>
              </c:numCache>
            </c:numRef>
          </c:yVal>
          <c:smooth val="0"/>
          <c:extLst>
            <c:ext xmlns:c16="http://schemas.microsoft.com/office/drawing/2014/chart" uri="{C3380CC4-5D6E-409C-BE32-E72D297353CC}">
              <c16:uniqueId val="{0000002A-4AC7-4897-ABEE-EC754CB2CA45}"/>
            </c:ext>
          </c:extLst>
        </c:ser>
        <c:ser>
          <c:idx val="0"/>
          <c:order val="2"/>
          <c:tx>
            <c:strRef>
              <c:f>'Concr. Curve'!$CU$47</c:f>
              <c:strCache>
                <c:ptCount val="1"/>
              </c:strCache>
            </c:strRef>
          </c:tx>
          <c:spPr>
            <a:ln w="15875">
              <a:solidFill>
                <a:srgbClr val="335422"/>
              </a:solidFill>
            </a:ln>
          </c:spPr>
          <c:marker>
            <c:symbol val="square"/>
            <c:size val="3"/>
            <c:spPr>
              <a:solidFill>
                <a:schemeClr val="bg1"/>
              </a:solidFill>
              <a:ln>
                <a:solidFill>
                  <a:sysClr val="windowText" lastClr="000000"/>
                </a:solidFill>
              </a:ln>
            </c:spPr>
          </c:marker>
          <c:dLbls>
            <c:dLbl>
              <c:idx val="0"/>
              <c:delete val="1"/>
              <c:extLst>
                <c:ext xmlns:c15="http://schemas.microsoft.com/office/drawing/2012/chart" uri="{CE6537A1-D6FC-4f65-9D91-7224C49458BB}"/>
                <c:ext xmlns:c16="http://schemas.microsoft.com/office/drawing/2014/chart" uri="{C3380CC4-5D6E-409C-BE32-E72D297353CC}">
                  <c16:uniqueId val="{0000002B-4AC7-4897-ABEE-EC754CB2CA45}"/>
                </c:ext>
              </c:extLst>
            </c:dLbl>
            <c:dLbl>
              <c:idx val="1"/>
              <c:delete val="1"/>
              <c:extLst>
                <c:ext xmlns:c15="http://schemas.microsoft.com/office/drawing/2012/chart" uri="{CE6537A1-D6FC-4f65-9D91-7224C49458BB}"/>
                <c:ext xmlns:c16="http://schemas.microsoft.com/office/drawing/2014/chart" uri="{C3380CC4-5D6E-409C-BE32-E72D297353CC}">
                  <c16:uniqueId val="{0000002C-4AC7-4897-ABEE-EC754CB2CA45}"/>
                </c:ext>
              </c:extLst>
            </c:dLbl>
            <c:spPr>
              <a:solidFill>
                <a:schemeClr val="bg1"/>
              </a:solidFill>
            </c:spPr>
            <c:txPr>
              <a:bodyPr/>
              <a:lstStyle/>
              <a:p>
                <a:pPr>
                  <a:defRPr sz="900"/>
                </a:pPr>
                <a:endParaRPr lang="en-US"/>
              </a:p>
            </c:txPr>
            <c:dLblPos val="l"/>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'Concr. Curve'!$CQ$52:$CQ$53</c:f>
              <c:numCache>
                <c:formatCode>0.00</c:formatCode>
                <c:ptCount val="2"/>
                <c:pt idx="0">
                  <c:v>0</c:v>
                </c:pt>
                <c:pt idx="1">
                  <c:v>0</c:v>
                </c:pt>
              </c:numCache>
            </c:numRef>
          </c:xVal>
          <c:yVal>
            <c:numRef>
              <c:f>'Concr. Curve'!$CR$52:$CR$53</c:f>
              <c:numCache>
                <c:formatCode>0.00</c:formatCode>
                <c:ptCount val="2"/>
                <c:pt idx="0">
                  <c:v>0</c:v>
                </c:pt>
                <c:pt idx="1">
                  <c:v>0</c:v>
                </c:pt>
              </c:numCache>
            </c:numRef>
          </c:yVal>
          <c:smooth val="0"/>
          <c:extLst>
            <c:ext xmlns:c16="http://schemas.microsoft.com/office/drawing/2014/chart" uri="{C3380CC4-5D6E-409C-BE32-E72D297353CC}">
              <c16:uniqueId val="{0000002D-4AC7-4897-ABEE-EC754CB2CA45}"/>
            </c:ext>
          </c:extLst>
        </c:ser>
        <c:ser>
          <c:idx val="3"/>
          <c:order val="3"/>
          <c:tx>
            <c:strRef>
              <c:f>'Concr. Curve'!$CU$46</c:f>
              <c:strCache>
                <c:ptCount val="1"/>
              </c:strCache>
            </c:strRef>
          </c:tx>
          <c:spPr>
            <a:ln w="9525">
              <a:solidFill>
                <a:srgbClr val="0000FF"/>
              </a:solidFill>
            </a:ln>
          </c:spPr>
          <c:marker>
            <c:symbol val="square"/>
            <c:size val="3"/>
            <c:spPr>
              <a:solidFill>
                <a:sysClr val="window" lastClr="FFFFFF"/>
              </a:solidFill>
              <a:ln>
                <a:solidFill>
                  <a:schemeClr val="tx1"/>
                </a:solidFill>
              </a:ln>
            </c:spPr>
          </c:marker>
          <c:xVal>
            <c:numRef>
              <c:f>'Concr. Curve'!$CQ$48:$CQ$49</c:f>
              <c:numCache>
                <c:formatCode>0.00</c:formatCode>
                <c:ptCount val="2"/>
                <c:pt idx="0">
                  <c:v>0</c:v>
                </c:pt>
                <c:pt idx="1">
                  <c:v>0</c:v>
                </c:pt>
              </c:numCache>
            </c:numRef>
          </c:xVal>
          <c:yVal>
            <c:numRef>
              <c:f>'Concr. Curve'!$CR$48:$CR$49</c:f>
              <c:numCache>
                <c:formatCode>0.00</c:formatCode>
                <c:ptCount val="2"/>
                <c:pt idx="0">
                  <c:v>0</c:v>
                </c:pt>
                <c:pt idx="1">
                  <c:v>0</c:v>
                </c:pt>
              </c:numCache>
            </c:numRef>
          </c:yVal>
          <c:smooth val="1"/>
          <c:extLst>
            <c:ext xmlns:c16="http://schemas.microsoft.com/office/drawing/2014/chart" uri="{C3380CC4-5D6E-409C-BE32-E72D297353CC}">
              <c16:uniqueId val="{0000002E-4AC7-4897-ABEE-EC754CB2CA45}"/>
            </c:ext>
          </c:extLst>
        </c:ser>
        <c:ser>
          <c:idx val="4"/>
          <c:order val="4"/>
          <c:tx>
            <c:strRef>
              <c:f>'Concr. Curve'!$CU$45</c:f>
              <c:strCache>
                <c:ptCount val="1"/>
              </c:strCache>
            </c:strRef>
          </c:tx>
          <c:spPr>
            <a:ln w="15875">
              <a:solidFill>
                <a:schemeClr val="tx1"/>
              </a:solidFill>
              <a:prstDash val="dash"/>
            </a:ln>
          </c:spPr>
          <c:marker>
            <c:symbol val="square"/>
            <c:size val="3"/>
            <c:spPr>
              <a:solidFill>
                <a:schemeClr val="bg1"/>
              </a:solidFill>
              <a:ln>
                <a:solidFill>
                  <a:schemeClr val="tx1"/>
                </a:solidFill>
              </a:ln>
            </c:spPr>
          </c:marker>
          <c:xVal>
            <c:numRef>
              <c:f>'Concr. Curve'!$CQ$44:$CQ$45</c:f>
              <c:numCache>
                <c:formatCode>0.00</c:formatCode>
                <c:ptCount val="2"/>
                <c:pt idx="0">
                  <c:v>0</c:v>
                </c:pt>
                <c:pt idx="1">
                  <c:v>0</c:v>
                </c:pt>
              </c:numCache>
            </c:numRef>
          </c:xVal>
          <c:yVal>
            <c:numRef>
              <c:f>'Concr. Curve'!$CR$44:$CR$45</c:f>
              <c:numCache>
                <c:formatCode>0.00</c:formatCode>
                <c:ptCount val="2"/>
                <c:pt idx="0">
                  <c:v>0</c:v>
                </c:pt>
                <c:pt idx="1">
                  <c:v>0</c:v>
                </c:pt>
              </c:numCache>
            </c:numRef>
          </c:yVal>
          <c:smooth val="1"/>
          <c:extLst>
            <c:ext xmlns:c16="http://schemas.microsoft.com/office/drawing/2014/chart" uri="{C3380CC4-5D6E-409C-BE32-E72D297353CC}">
              <c16:uniqueId val="{0000002F-4AC7-4897-ABEE-EC754CB2CA45}"/>
            </c:ext>
          </c:extLst>
        </c:ser>
        <c:dLbls>
          <c:showLegendKey val="0"/>
          <c:showVal val="0"/>
          <c:showCatName val="0"/>
          <c:showSerName val="0"/>
          <c:showPercent val="0"/>
          <c:showBubbleSize val="0"/>
        </c:dLbls>
        <c:axId val="465820720"/>
        <c:axId val="465818368"/>
      </c:scatterChart>
      <c:valAx>
        <c:axId val="465820720"/>
        <c:scaling>
          <c:orientation val="minMax"/>
        </c:scaling>
        <c:delete val="0"/>
        <c:axPos val="b"/>
        <c:majorGridlines>
          <c:spPr>
            <a:ln>
              <a:solidFill>
                <a:schemeClr val="bg1">
                  <a:lumMod val="65000"/>
                </a:schemeClr>
              </a:solidFill>
            </a:ln>
          </c:spPr>
        </c:majorGridlines>
        <c:minorGridlines>
          <c:spPr>
            <a:ln>
              <a:solidFill>
                <a:schemeClr val="bg1">
                  <a:lumMod val="85000"/>
                </a:schemeClr>
              </a:solidFill>
            </a:ln>
          </c:spPr>
        </c:minorGridlines>
        <c:title>
          <c:tx>
            <c:rich>
              <a:bodyPr/>
              <a:lstStyle/>
              <a:p>
                <a:pPr>
                  <a:defRPr sz="1600" b="0" i="0" u="none" strike="noStrike" baseline="0">
                    <a:solidFill>
                      <a:srgbClr val="000000"/>
                    </a:solidFill>
                    <a:latin typeface="Arial"/>
                    <a:ea typeface="Arial"/>
                    <a:cs typeface="Arial"/>
                  </a:defRPr>
                </a:pPr>
                <a:r>
                  <a:rPr lang="en-US" sz="1600" b="0" i="0" strike="noStrike">
                    <a:solidFill>
                      <a:srgbClr val="000000"/>
                    </a:solidFill>
                    <a:latin typeface="Arial"/>
                    <a:cs typeface="Arial"/>
                  </a:rPr>
                  <a:t>Concrete VOLUME (cy)</a:t>
                </a:r>
              </a:p>
              <a:p>
                <a:pPr>
                  <a:defRPr sz="1600" b="0" i="0" u="none" strike="noStrike" baseline="0">
                    <a:solidFill>
                      <a:srgbClr val="000000"/>
                    </a:solidFill>
                    <a:latin typeface="Arial"/>
                    <a:ea typeface="Arial"/>
                    <a:cs typeface="Arial"/>
                  </a:defRPr>
                </a:pPr>
                <a:endParaRPr lang="en-US" sz="1600" b="0" i="0" strike="noStrike">
                  <a:solidFill>
                    <a:srgbClr val="000000"/>
                  </a:solidFill>
                  <a:latin typeface="Arial"/>
                  <a:cs typeface="Arial"/>
                </a:endParaRPr>
              </a:p>
            </c:rich>
          </c:tx>
          <c:layout>
            <c:manualLayout>
              <c:xMode val="edge"/>
              <c:yMode val="edge"/>
              <c:x val="0.37647298826984466"/>
              <c:y val="0.88791827205443363"/>
            </c:manualLayout>
          </c:layout>
          <c:overlay val="0"/>
        </c:title>
        <c:numFmt formatCode="0" sourceLinked="0"/>
        <c:majorTickMark val="out"/>
        <c:minorTickMark val="in"/>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465818368"/>
        <c:crosses val="autoZero"/>
        <c:crossBetween val="midCat"/>
        <c:minorUnit val="0.5"/>
      </c:valAx>
      <c:valAx>
        <c:axId val="465818368"/>
        <c:scaling>
          <c:orientation val="minMax"/>
        </c:scaling>
        <c:delete val="0"/>
        <c:axPos val="l"/>
        <c:majorGridlines>
          <c:spPr>
            <a:ln w="3175">
              <a:solidFill>
                <a:schemeClr val="bg1">
                  <a:lumMod val="65000"/>
                </a:schemeClr>
              </a:solidFill>
              <a:prstDash val="solid"/>
            </a:ln>
          </c:spPr>
        </c:majorGridlines>
        <c:minorGridlines>
          <c:spPr>
            <a:ln>
              <a:solidFill>
                <a:schemeClr val="bg1">
                  <a:lumMod val="85000"/>
                </a:schemeClr>
              </a:solidFill>
            </a:ln>
          </c:spPr>
        </c:minorGridlines>
        <c:title>
          <c:tx>
            <c:strRef>
              <c:f>'Concr. Curve'!$CC$85</c:f>
              <c:strCache>
                <c:ptCount val="1"/>
                <c:pt idx="0">
                  <c:v>ELEVATION  (ft)</c:v>
                </c:pt>
              </c:strCache>
            </c:strRef>
          </c:tx>
          <c:overlay val="0"/>
          <c:txPr>
            <a:bodyPr/>
            <a:lstStyle/>
            <a:p>
              <a:pPr>
                <a:defRPr sz="1600" b="0" i="0" u="none" strike="noStrike" baseline="0">
                  <a:solidFill>
                    <a:srgbClr val="000000"/>
                  </a:solidFill>
                  <a:latin typeface="Arial"/>
                  <a:ea typeface="Arial"/>
                  <a:cs typeface="Arial"/>
                </a:defRPr>
              </a:pPr>
              <a:endParaRPr lang="en-US"/>
            </a:p>
          </c:txPr>
        </c:title>
        <c:numFmt formatCode="0.00" sourceLinked="1"/>
        <c:majorTickMark val="out"/>
        <c:minorTickMark val="in"/>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465820720"/>
        <c:crosses val="autoZero"/>
        <c:crossBetween val="midCat"/>
        <c:minorUnit val="1"/>
      </c:valAx>
      <c:spPr>
        <a:noFill/>
        <a:ln w="25400">
          <a:noFill/>
        </a:ln>
      </c:spPr>
    </c:plotArea>
    <c:legend>
      <c:legendPos val="r"/>
      <c:layout>
        <c:manualLayout>
          <c:xMode val="edge"/>
          <c:yMode val="edge"/>
          <c:x val="0.75886323268206513"/>
          <c:y val="0.38984052525349616"/>
          <c:w val="0.15801275641544044"/>
          <c:h val="0.38150539693176688"/>
        </c:manualLayout>
      </c:layout>
      <c:overlay val="0"/>
      <c:spPr>
        <a:solidFill>
          <a:schemeClr val="bg1"/>
        </a:solidFill>
        <a:ln w="6350">
          <a:solidFill>
            <a:schemeClr val="tx1">
              <a:lumMod val="50000"/>
              <a:lumOff val="50000"/>
            </a:schemeClr>
          </a:solidFill>
        </a:ln>
      </c:sp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0.5" l="0.5" r="0.5" t="0.5" header="0" footer="0"/>
    <c:pageSetup orientation="portrait"/>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100"/>
              <a:t>Theoretical Radius vs elevation</a:t>
            </a:r>
          </a:p>
        </c:rich>
      </c:tx>
      <c:layout>
        <c:manualLayout>
          <c:xMode val="edge"/>
          <c:yMode val="edge"/>
          <c:x val="0.23373157973984143"/>
          <c:y val="0.91509889008503853"/>
        </c:manualLayout>
      </c:layout>
      <c:overlay val="0"/>
      <c:spPr>
        <a:noFill/>
        <a:ln>
          <a:noFill/>
        </a:ln>
        <a:effectLst/>
      </c:spPr>
    </c:title>
    <c:autoTitleDeleted val="0"/>
    <c:plotArea>
      <c:layout>
        <c:manualLayout>
          <c:layoutTarget val="inner"/>
          <c:xMode val="edge"/>
          <c:yMode val="edge"/>
          <c:x val="0.19947366009178216"/>
          <c:y val="0.13744499584952191"/>
          <c:w val="0.75190980127197682"/>
          <c:h val="0.75655613768482866"/>
        </c:manualLayout>
      </c:layout>
      <c:scatterChart>
        <c:scatterStyle val="lineMarker"/>
        <c:varyColors val="0"/>
        <c:ser>
          <c:idx val="6"/>
          <c:order val="0"/>
          <c:marker>
            <c:symbol val="none"/>
          </c:marker>
          <c:xVal>
            <c:strRef>
              <c:f>'Vol. Calculator'!$AD$11:$AD$22</c:f>
              <c:strCache>
                <c:ptCount val="12"/>
                <c:pt idx="0">
                  <c:v>0.00</c:v>
                </c:pt>
                <c:pt idx="1">
                  <c:v>0.00</c:v>
                </c:pt>
                <c:pt idx="2">
                  <c:v>0.00</c:v>
                </c:pt>
                <c:pt idx="3">
                  <c:v>0.00</c:v>
                </c:pt>
                <c:pt idx="11">
                  <c:v>#VALUE!</c:v>
                </c:pt>
              </c:strCache>
            </c:strRef>
          </c:xVal>
          <c:yVal>
            <c:numRef>
              <c:f>'Vol. Calculator'!$AB$11:$AB$22</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yVal>
          <c:smooth val="0"/>
          <c:extLst>
            <c:ext xmlns:c16="http://schemas.microsoft.com/office/drawing/2014/chart" uri="{C3380CC4-5D6E-409C-BE32-E72D297353CC}">
              <c16:uniqueId val="{00000000-5B22-4DE3-860E-753655A90AD9}"/>
            </c:ext>
          </c:extLst>
        </c:ser>
        <c:ser>
          <c:idx val="7"/>
          <c:order val="1"/>
          <c:tx>
            <c:strRef>
              <c:f> </c:f>
            </c:strRef>
          </c:tx>
          <c:marker>
            <c:symbol val="none"/>
          </c:marker>
          <c:xVal>
            <c:strRef>
              <c:f>'Vol. Calculator'!$AE$11:$AE$22</c:f>
              <c:strCache>
                <c:ptCount val="12"/>
                <c:pt idx="0">
                  <c:v>0.00</c:v>
                </c:pt>
                <c:pt idx="1">
                  <c:v>0.00</c:v>
                </c:pt>
                <c:pt idx="2">
                  <c:v>0.00</c:v>
                </c:pt>
                <c:pt idx="3">
                  <c:v>0.00</c:v>
                </c:pt>
                <c:pt idx="11">
                  <c:v>#VALUE!</c:v>
                </c:pt>
              </c:strCache>
            </c:strRef>
          </c:xVal>
          <c:yVal>
            <c:numRef>
              <c:f>'Vol. Calculator'!$AB$11:$AB$22</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yVal>
          <c:smooth val="0"/>
          <c:extLst>
            <c:ext xmlns:c16="http://schemas.microsoft.com/office/drawing/2014/chart" uri="{C3380CC4-5D6E-409C-BE32-E72D297353CC}">
              <c16:uniqueId val="{00000001-5B22-4DE3-860E-753655A90AD9}"/>
            </c:ext>
          </c:extLst>
        </c:ser>
        <c:ser>
          <c:idx val="8"/>
          <c:order val="2"/>
          <c:tx>
            <c:v>bottom</c:v>
          </c:tx>
          <c:marker>
            <c:symbol val="none"/>
          </c:marker>
          <c:xVal>
            <c:numRef>
              <c:f>'Vol. Calculator'!$AD$22:$AD$23</c:f>
              <c:numCache>
                <c:formatCode>0.00</c:formatCode>
                <c:ptCount val="2"/>
                <c:pt idx="0">
                  <c:v>0</c:v>
                </c:pt>
                <c:pt idx="1">
                  <c:v>0</c:v>
                </c:pt>
              </c:numCache>
            </c:numRef>
          </c:xVal>
          <c:yVal>
            <c:numRef>
              <c:f>'Vol. Calculator'!$AB$22:$AB$23</c:f>
              <c:numCache>
                <c:formatCode>0.00</c:formatCode>
                <c:ptCount val="2"/>
                <c:pt idx="0">
                  <c:v>0</c:v>
                </c:pt>
                <c:pt idx="1">
                  <c:v>0</c:v>
                </c:pt>
              </c:numCache>
            </c:numRef>
          </c:yVal>
          <c:smooth val="0"/>
          <c:extLst>
            <c:ext xmlns:c16="http://schemas.microsoft.com/office/drawing/2014/chart" uri="{C3380CC4-5D6E-409C-BE32-E72D297353CC}">
              <c16:uniqueId val="{00000002-5B22-4DE3-860E-753655A90AD9}"/>
            </c:ext>
          </c:extLst>
        </c:ser>
        <c:ser>
          <c:idx val="9"/>
          <c:order val="3"/>
          <c:tx>
            <c:v>top</c:v>
          </c:tx>
          <c:spPr>
            <a:ln>
              <a:solidFill>
                <a:schemeClr val="accent1">
                  <a:lumMod val="60000"/>
                  <a:lumOff val="40000"/>
                </a:schemeClr>
              </a:solidFill>
            </a:ln>
          </c:spPr>
          <c:marker>
            <c:symbol val="none"/>
          </c:marker>
          <c:xVal>
            <c:numRef>
              <c:f>'Vol. Calculator'!$AD$10:$AD$11</c:f>
              <c:numCache>
                <c:formatCode>0.00</c:formatCode>
                <c:ptCount val="2"/>
                <c:pt idx="0">
                  <c:v>0</c:v>
                </c:pt>
                <c:pt idx="1">
                  <c:v>0</c:v>
                </c:pt>
              </c:numCache>
            </c:numRef>
          </c:xVal>
          <c:yVal>
            <c:numRef>
              <c:f>'Vol. Calculator'!$AB$10:$AB$11</c:f>
              <c:numCache>
                <c:formatCode>0.00</c:formatCode>
                <c:ptCount val="2"/>
                <c:pt idx="0">
                  <c:v>0</c:v>
                </c:pt>
                <c:pt idx="1">
                  <c:v>0</c:v>
                </c:pt>
              </c:numCache>
            </c:numRef>
          </c:yVal>
          <c:smooth val="0"/>
          <c:extLst>
            <c:ext xmlns:c16="http://schemas.microsoft.com/office/drawing/2014/chart" uri="{C3380CC4-5D6E-409C-BE32-E72D297353CC}">
              <c16:uniqueId val="{00000003-5B22-4DE3-860E-753655A90AD9}"/>
            </c:ext>
          </c:extLst>
        </c:ser>
        <c:ser>
          <c:idx val="0"/>
          <c:order val="4"/>
          <c:tx>
            <c:v>center</c:v>
          </c:tx>
          <c:spPr>
            <a:ln w="12700">
              <a:solidFill>
                <a:srgbClr val="0000FF"/>
              </a:solidFill>
              <a:prstDash val="dash"/>
            </a:ln>
          </c:spPr>
          <c:marker>
            <c:symbol val="none"/>
          </c:marker>
          <c:xVal>
            <c:numRef>
              <c:f>'Vol. Calculator'!$AF$10:$AF$23</c:f>
              <c:numCache>
                <c:formatCode>General</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xVal>
          <c:yVal>
            <c:numRef>
              <c:f>'Vol. Calculator'!$AB$10:$AB$23</c:f>
              <c:numCache>
                <c:formatCode>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yVal>
          <c:smooth val="0"/>
          <c:extLst>
            <c:ext xmlns:c16="http://schemas.microsoft.com/office/drawing/2014/chart" uri="{C3380CC4-5D6E-409C-BE32-E72D297353CC}">
              <c16:uniqueId val="{00000004-5B22-4DE3-860E-753655A90AD9}"/>
            </c:ext>
          </c:extLst>
        </c:ser>
        <c:dLbls>
          <c:showLegendKey val="0"/>
          <c:showVal val="0"/>
          <c:showCatName val="0"/>
          <c:showSerName val="0"/>
          <c:showPercent val="0"/>
          <c:showBubbleSize val="0"/>
        </c:dLbls>
        <c:axId val="786955392"/>
        <c:axId val="786951784"/>
        <c:extLst/>
      </c:scatterChart>
      <c:valAx>
        <c:axId val="786955392"/>
        <c:scaling>
          <c:orientation val="minMax"/>
          <c:max val="3"/>
          <c:min val="-3"/>
        </c:scaling>
        <c:delete val="0"/>
        <c:axPos val="t"/>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Shape radius, ft</a:t>
                </a:r>
              </a:p>
            </c:rich>
          </c:tx>
          <c:overlay val="0"/>
          <c:spPr>
            <a:noFill/>
            <a:ln>
              <a:noFill/>
            </a:ln>
            <a:effectLst/>
          </c:spPr>
        </c:title>
        <c:numFmt formatCode="0.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86951784"/>
        <c:crosses val="max"/>
        <c:crossBetween val="midCat"/>
        <c:majorUnit val="1"/>
      </c:valAx>
      <c:valAx>
        <c:axId val="786951784"/>
        <c:scaling>
          <c:orientation val="minMax"/>
          <c:max val="20"/>
          <c:min val="-2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lgn="ctr">
                  <a:defRPr sz="1000" b="0" i="0" u="none" strike="noStrike" kern="1200" baseline="0">
                    <a:solidFill>
                      <a:schemeClr val="tx1">
                        <a:lumMod val="65000"/>
                        <a:lumOff val="35000"/>
                      </a:schemeClr>
                    </a:solidFill>
                    <a:latin typeface="+mn-lt"/>
                    <a:ea typeface="+mn-ea"/>
                    <a:cs typeface="+mn-cs"/>
                  </a:defRPr>
                </a:pPr>
                <a:r>
                  <a:rPr lang="en-US"/>
                  <a:t>Elev.</a:t>
                </a:r>
              </a:p>
            </c:rich>
          </c:tx>
          <c:overlay val="0"/>
          <c:spPr>
            <a:noFill/>
            <a:ln>
              <a:noFill/>
            </a:ln>
            <a:effectLst/>
          </c:sp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86955392"/>
        <c:crossesAt val="-5"/>
        <c:crossBetween val="midCat"/>
      </c:valAx>
      <c:spPr>
        <a:ln>
          <a:solidFill>
            <a:schemeClr val="accent1"/>
          </a:solidFill>
        </a:ln>
      </c:spPr>
    </c:plotArea>
    <c:plotVisOnly val="1"/>
    <c:dispBlanksAs val="gap"/>
    <c:showDLblsOverMax val="0"/>
    <c:extLst/>
  </c:chart>
  <c:txPr>
    <a:bodyPr/>
    <a:lstStyle/>
    <a:p>
      <a:pPr>
        <a:defRPr/>
      </a:pPr>
      <a:endParaRPr lang="en-US"/>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 Id="rId9" Type="http://schemas.openxmlformats.org/officeDocument/2006/relationships/image" Target="../media/image9.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2.xml.rels><?xml version="1.0" encoding="UTF-8" standalone="yes"?>
<Relationships xmlns="http://schemas.openxmlformats.org/package/2006/relationships"><Relationship Id="rId2" Type="http://schemas.openxmlformats.org/officeDocument/2006/relationships/chart" Target="../charts/chart5.xml"/><Relationship Id="rId1" Type="http://schemas.openxmlformats.org/officeDocument/2006/relationships/chart" Target="../charts/chart4.xml"/></Relationships>
</file>

<file path=xl/drawings/_rels/drawing13.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2.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13.png"/></Relationships>
</file>

<file path=xl/drawings/_rels/drawing17.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image" Target="../media/image14.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0.png"/></Relationships>
</file>

<file path=xl/drawings/_rels/drawing7.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8.xml.rels><?xml version="1.0" encoding="UTF-8" standalone="yes"?>
<Relationships xmlns="http://schemas.openxmlformats.org/package/2006/relationships"><Relationship Id="rId1" Type="http://schemas.openxmlformats.org/officeDocument/2006/relationships/image" Target="../media/image1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1.png"/></Relationships>
</file>

<file path=xl/drawings/drawing1.xml><?xml version="1.0" encoding="utf-8"?>
<xdr:wsDr xmlns:xdr="http://schemas.openxmlformats.org/drawingml/2006/spreadsheetDrawing" xmlns:a="http://schemas.openxmlformats.org/drawingml/2006/main">
  <xdr:twoCellAnchor editAs="oneCell">
    <xdr:from>
      <xdr:col>1</xdr:col>
      <xdr:colOff>365450</xdr:colOff>
      <xdr:row>37</xdr:row>
      <xdr:rowOff>7775</xdr:rowOff>
    </xdr:from>
    <xdr:to>
      <xdr:col>13</xdr:col>
      <xdr:colOff>562055</xdr:colOff>
      <xdr:row>61</xdr:row>
      <xdr:rowOff>100787</xdr:rowOff>
    </xdr:to>
    <xdr:pic>
      <xdr:nvPicPr>
        <xdr:cNvPr id="7" name="Picture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1"/>
        <a:stretch>
          <a:fillRect/>
        </a:stretch>
      </xdr:blipFill>
      <xdr:spPr>
        <a:xfrm>
          <a:off x="971940" y="5979367"/>
          <a:ext cx="7474482" cy="4571706"/>
        </a:xfrm>
        <a:prstGeom prst="rect">
          <a:avLst/>
        </a:prstGeom>
      </xdr:spPr>
    </xdr:pic>
    <xdr:clientData/>
  </xdr:twoCellAnchor>
  <xdr:twoCellAnchor>
    <xdr:from>
      <xdr:col>1</xdr:col>
      <xdr:colOff>31102</xdr:colOff>
      <xdr:row>40</xdr:row>
      <xdr:rowOff>93306</xdr:rowOff>
    </xdr:from>
    <xdr:to>
      <xdr:col>3</xdr:col>
      <xdr:colOff>163286</xdr:colOff>
      <xdr:row>40</xdr:row>
      <xdr:rowOff>101081</xdr:rowOff>
    </xdr:to>
    <xdr:cxnSp macro="">
      <xdr:nvCxnSpPr>
        <xdr:cNvPr id="9" name="Straight Arrow Connector 8">
          <a:extLst>
            <a:ext uri="{FF2B5EF4-FFF2-40B4-BE49-F238E27FC236}">
              <a16:creationId xmlns:a16="http://schemas.microsoft.com/office/drawing/2014/main" id="{00000000-0008-0000-0000-000009000000}"/>
            </a:ext>
          </a:extLst>
        </xdr:cNvPr>
        <xdr:cNvCxnSpPr/>
      </xdr:nvCxnSpPr>
      <xdr:spPr>
        <a:xfrm>
          <a:off x="637592" y="6624735"/>
          <a:ext cx="1345163" cy="777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225490</xdr:colOff>
      <xdr:row>46</xdr:row>
      <xdr:rowOff>93307</xdr:rowOff>
    </xdr:from>
    <xdr:to>
      <xdr:col>3</xdr:col>
      <xdr:colOff>233266</xdr:colOff>
      <xdr:row>46</xdr:row>
      <xdr:rowOff>116633</xdr:rowOff>
    </xdr:to>
    <xdr:cxnSp macro="">
      <xdr:nvCxnSpPr>
        <xdr:cNvPr id="11" name="Straight Arrow Connector 10">
          <a:extLst>
            <a:ext uri="{FF2B5EF4-FFF2-40B4-BE49-F238E27FC236}">
              <a16:creationId xmlns:a16="http://schemas.microsoft.com/office/drawing/2014/main" id="{00000000-0008-0000-0000-00000B000000}"/>
            </a:ext>
          </a:extLst>
        </xdr:cNvPr>
        <xdr:cNvCxnSpPr/>
      </xdr:nvCxnSpPr>
      <xdr:spPr>
        <a:xfrm flipV="1">
          <a:off x="831980" y="7744409"/>
          <a:ext cx="1220755" cy="23326"/>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101081</xdr:colOff>
      <xdr:row>50</xdr:row>
      <xdr:rowOff>108857</xdr:rowOff>
    </xdr:from>
    <xdr:to>
      <xdr:col>2</xdr:col>
      <xdr:colOff>342122</xdr:colOff>
      <xdr:row>50</xdr:row>
      <xdr:rowOff>147735</xdr:rowOff>
    </xdr:to>
    <xdr:cxnSp macro="">
      <xdr:nvCxnSpPr>
        <xdr:cNvPr id="13" name="Straight Arrow Connector 12">
          <a:extLst>
            <a:ext uri="{FF2B5EF4-FFF2-40B4-BE49-F238E27FC236}">
              <a16:creationId xmlns:a16="http://schemas.microsoft.com/office/drawing/2014/main" id="{00000000-0008-0000-0000-00000D000000}"/>
            </a:ext>
          </a:extLst>
        </xdr:cNvPr>
        <xdr:cNvCxnSpPr/>
      </xdr:nvCxnSpPr>
      <xdr:spPr>
        <a:xfrm>
          <a:off x="707571" y="8506408"/>
          <a:ext cx="847531" cy="38878"/>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15552</xdr:colOff>
      <xdr:row>33</xdr:row>
      <xdr:rowOff>57824</xdr:rowOff>
    </xdr:from>
    <xdr:to>
      <xdr:col>0</xdr:col>
      <xdr:colOff>544286</xdr:colOff>
      <xdr:row>33</xdr:row>
      <xdr:rowOff>135618</xdr:rowOff>
    </xdr:to>
    <xdr:pic>
      <xdr:nvPicPr>
        <xdr:cNvPr id="17" name="Picture 16">
          <a:extLst>
            <a:ext uri="{FF2B5EF4-FFF2-40B4-BE49-F238E27FC236}">
              <a16:creationId xmlns:a16="http://schemas.microsoft.com/office/drawing/2014/main" id="{00000000-0008-0000-0000-000011000000}"/>
            </a:ext>
          </a:extLst>
        </xdr:cNvPr>
        <xdr:cNvPicPr>
          <a:picLocks noChangeAspect="1"/>
        </xdr:cNvPicPr>
      </xdr:nvPicPr>
      <xdr:blipFill>
        <a:blip xmlns:r="http://schemas.openxmlformats.org/officeDocument/2006/relationships" r:embed="rId2"/>
        <a:stretch>
          <a:fillRect/>
        </a:stretch>
      </xdr:blipFill>
      <xdr:spPr>
        <a:xfrm>
          <a:off x="15552" y="5469579"/>
          <a:ext cx="528734" cy="77794"/>
        </a:xfrm>
        <a:prstGeom prst="rect">
          <a:avLst/>
        </a:prstGeom>
      </xdr:spPr>
    </xdr:pic>
    <xdr:clientData/>
  </xdr:twoCellAnchor>
  <xdr:twoCellAnchor>
    <xdr:from>
      <xdr:col>1</xdr:col>
      <xdr:colOff>342122</xdr:colOff>
      <xdr:row>61</xdr:row>
      <xdr:rowOff>77755</xdr:rowOff>
    </xdr:from>
    <xdr:to>
      <xdr:col>2</xdr:col>
      <xdr:colOff>396551</xdr:colOff>
      <xdr:row>62</xdr:row>
      <xdr:rowOff>132184</xdr:rowOff>
    </xdr:to>
    <xdr:cxnSp macro="">
      <xdr:nvCxnSpPr>
        <xdr:cNvPr id="19" name="Straight Arrow Connector 18">
          <a:extLst>
            <a:ext uri="{FF2B5EF4-FFF2-40B4-BE49-F238E27FC236}">
              <a16:creationId xmlns:a16="http://schemas.microsoft.com/office/drawing/2014/main" id="{00000000-0008-0000-0000-000013000000}"/>
            </a:ext>
          </a:extLst>
        </xdr:cNvPr>
        <xdr:cNvCxnSpPr/>
      </xdr:nvCxnSpPr>
      <xdr:spPr>
        <a:xfrm flipV="1">
          <a:off x="948612" y="10714653"/>
          <a:ext cx="660919" cy="241041"/>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85531</xdr:colOff>
      <xdr:row>45</xdr:row>
      <xdr:rowOff>38878</xdr:rowOff>
    </xdr:from>
    <xdr:to>
      <xdr:col>13</xdr:col>
      <xdr:colOff>559837</xdr:colOff>
      <xdr:row>47</xdr:row>
      <xdr:rowOff>93306</xdr:rowOff>
    </xdr:to>
    <xdr:cxnSp macro="">
      <xdr:nvCxnSpPr>
        <xdr:cNvPr id="23" name="Straight Arrow Connector 22">
          <a:extLst>
            <a:ext uri="{FF2B5EF4-FFF2-40B4-BE49-F238E27FC236}">
              <a16:creationId xmlns:a16="http://schemas.microsoft.com/office/drawing/2014/main" id="{00000000-0008-0000-0000-000017000000}"/>
            </a:ext>
          </a:extLst>
        </xdr:cNvPr>
        <xdr:cNvCxnSpPr/>
      </xdr:nvCxnSpPr>
      <xdr:spPr>
        <a:xfrm flipH="1" flipV="1">
          <a:off x="7969898" y="7689980"/>
          <a:ext cx="474306" cy="427653"/>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7776</xdr:colOff>
      <xdr:row>48</xdr:row>
      <xdr:rowOff>31102</xdr:rowOff>
    </xdr:from>
    <xdr:to>
      <xdr:col>14</xdr:col>
      <xdr:colOff>272143</xdr:colOff>
      <xdr:row>53</xdr:row>
      <xdr:rowOff>108857</xdr:rowOff>
    </xdr:to>
    <xdr:cxnSp macro="">
      <xdr:nvCxnSpPr>
        <xdr:cNvPr id="25" name="Straight Arrow Connector 24">
          <a:extLst>
            <a:ext uri="{FF2B5EF4-FFF2-40B4-BE49-F238E27FC236}">
              <a16:creationId xmlns:a16="http://schemas.microsoft.com/office/drawing/2014/main" id="{00000000-0008-0000-0000-000019000000}"/>
            </a:ext>
          </a:extLst>
        </xdr:cNvPr>
        <xdr:cNvCxnSpPr/>
      </xdr:nvCxnSpPr>
      <xdr:spPr>
        <a:xfrm flipH="1">
          <a:off x="7892143" y="8242041"/>
          <a:ext cx="870857" cy="1010816"/>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1</xdr:colOff>
      <xdr:row>67</xdr:row>
      <xdr:rowOff>1</xdr:rowOff>
    </xdr:from>
    <xdr:to>
      <xdr:col>0</xdr:col>
      <xdr:colOff>583364</xdr:colOff>
      <xdr:row>68</xdr:row>
      <xdr:rowOff>108858</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3"/>
        <a:stretch>
          <a:fillRect/>
        </a:stretch>
      </xdr:blipFill>
      <xdr:spPr>
        <a:xfrm>
          <a:off x="1" y="11756572"/>
          <a:ext cx="583363" cy="295470"/>
        </a:xfrm>
        <a:prstGeom prst="rect">
          <a:avLst/>
        </a:prstGeom>
      </xdr:spPr>
    </xdr:pic>
    <xdr:clientData/>
  </xdr:twoCellAnchor>
  <xdr:twoCellAnchor editAs="oneCell">
    <xdr:from>
      <xdr:col>1</xdr:col>
      <xdr:colOff>0</xdr:colOff>
      <xdr:row>72</xdr:row>
      <xdr:rowOff>163286</xdr:rowOff>
    </xdr:from>
    <xdr:to>
      <xdr:col>11</xdr:col>
      <xdr:colOff>209939</xdr:colOff>
      <xdr:row>106</xdr:row>
      <xdr:rowOff>66776</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4"/>
        <a:stretch>
          <a:fillRect/>
        </a:stretch>
      </xdr:blipFill>
      <xdr:spPr>
        <a:xfrm>
          <a:off x="606490" y="13599368"/>
          <a:ext cx="6274837" cy="6248306"/>
        </a:xfrm>
        <a:prstGeom prst="rect">
          <a:avLst/>
        </a:prstGeom>
      </xdr:spPr>
    </xdr:pic>
    <xdr:clientData/>
  </xdr:twoCellAnchor>
  <xdr:twoCellAnchor editAs="oneCell">
    <xdr:from>
      <xdr:col>1</xdr:col>
      <xdr:colOff>85536</xdr:colOff>
      <xdr:row>108</xdr:row>
      <xdr:rowOff>22148</xdr:rowOff>
    </xdr:from>
    <xdr:to>
      <xdr:col>10</xdr:col>
      <xdr:colOff>606489</xdr:colOff>
      <xdr:row>116</xdr:row>
      <xdr:rowOff>44478</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5"/>
        <a:stretch>
          <a:fillRect/>
        </a:stretch>
      </xdr:blipFill>
      <xdr:spPr>
        <a:xfrm>
          <a:off x="692026" y="20176270"/>
          <a:ext cx="5979361" cy="1515228"/>
        </a:xfrm>
        <a:prstGeom prst="rect">
          <a:avLst/>
        </a:prstGeom>
      </xdr:spPr>
    </xdr:pic>
    <xdr:clientData/>
  </xdr:twoCellAnchor>
  <xdr:twoCellAnchor editAs="oneCell">
    <xdr:from>
      <xdr:col>1</xdr:col>
      <xdr:colOff>7777</xdr:colOff>
      <xdr:row>117</xdr:row>
      <xdr:rowOff>23318</xdr:rowOff>
    </xdr:from>
    <xdr:to>
      <xdr:col>10</xdr:col>
      <xdr:colOff>537558</xdr:colOff>
      <xdr:row>134</xdr:row>
      <xdr:rowOff>171813</xdr:rowOff>
    </xdr:to>
    <xdr:pic>
      <xdr:nvPicPr>
        <xdr:cNvPr id="10" name="Picture 9">
          <a:extLst>
            <a:ext uri="{FF2B5EF4-FFF2-40B4-BE49-F238E27FC236}">
              <a16:creationId xmlns:a16="http://schemas.microsoft.com/office/drawing/2014/main" id="{00000000-0008-0000-0000-00000A000000}"/>
            </a:ext>
          </a:extLst>
        </xdr:cNvPr>
        <xdr:cNvPicPr>
          <a:picLocks noChangeAspect="1"/>
        </xdr:cNvPicPr>
      </xdr:nvPicPr>
      <xdr:blipFill>
        <a:blip xmlns:r="http://schemas.openxmlformats.org/officeDocument/2006/relationships" r:embed="rId6"/>
        <a:stretch>
          <a:fillRect/>
        </a:stretch>
      </xdr:blipFill>
      <xdr:spPr>
        <a:xfrm>
          <a:off x="614267" y="21856951"/>
          <a:ext cx="5988189" cy="3320903"/>
        </a:xfrm>
        <a:prstGeom prst="rect">
          <a:avLst/>
        </a:prstGeom>
      </xdr:spPr>
    </xdr:pic>
    <xdr:clientData/>
  </xdr:twoCellAnchor>
  <xdr:twoCellAnchor editAs="oneCell">
    <xdr:from>
      <xdr:col>1</xdr:col>
      <xdr:colOff>69978</xdr:colOff>
      <xdr:row>108</xdr:row>
      <xdr:rowOff>79532</xdr:rowOff>
    </xdr:from>
    <xdr:to>
      <xdr:col>10</xdr:col>
      <xdr:colOff>482081</xdr:colOff>
      <xdr:row>115</xdr:row>
      <xdr:rowOff>155937</xdr:rowOff>
    </xdr:to>
    <xdr:pic>
      <xdr:nvPicPr>
        <xdr:cNvPr id="6" name="Picture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7"/>
        <a:stretch>
          <a:fillRect/>
        </a:stretch>
      </xdr:blipFill>
      <xdr:spPr>
        <a:xfrm>
          <a:off x="676468" y="20233654"/>
          <a:ext cx="5870511" cy="1382691"/>
        </a:xfrm>
        <a:prstGeom prst="rect">
          <a:avLst/>
        </a:prstGeom>
      </xdr:spPr>
    </xdr:pic>
    <xdr:clientData/>
  </xdr:twoCellAnchor>
  <xdr:twoCellAnchor editAs="oneCell">
    <xdr:from>
      <xdr:col>11</xdr:col>
      <xdr:colOff>69979</xdr:colOff>
      <xdr:row>90</xdr:row>
      <xdr:rowOff>20614</xdr:rowOff>
    </xdr:from>
    <xdr:to>
      <xdr:col>19</xdr:col>
      <xdr:colOff>0</xdr:colOff>
      <xdr:row>98</xdr:row>
      <xdr:rowOff>16656</xdr:rowOff>
    </xdr:to>
    <xdr:pic>
      <xdr:nvPicPr>
        <xdr:cNvPr id="16" name="Picture 15">
          <a:extLst>
            <a:ext uri="{FF2B5EF4-FFF2-40B4-BE49-F238E27FC236}">
              <a16:creationId xmlns:a16="http://schemas.microsoft.com/office/drawing/2014/main" id="{5DCED291-900E-48BB-8CA9-9CDF5711C1B9}"/>
            </a:ext>
          </a:extLst>
        </xdr:cNvPr>
        <xdr:cNvPicPr>
          <a:picLocks noChangeAspect="1"/>
        </xdr:cNvPicPr>
      </xdr:nvPicPr>
      <xdr:blipFill>
        <a:blip xmlns:r="http://schemas.openxmlformats.org/officeDocument/2006/relationships" r:embed="rId8"/>
        <a:stretch>
          <a:fillRect/>
        </a:stretch>
      </xdr:blipFill>
      <xdr:spPr>
        <a:xfrm>
          <a:off x="6741367" y="16815716"/>
          <a:ext cx="4781939" cy="1488940"/>
        </a:xfrm>
        <a:prstGeom prst="rect">
          <a:avLst/>
        </a:prstGeom>
      </xdr:spPr>
    </xdr:pic>
    <xdr:clientData/>
  </xdr:twoCellAnchor>
  <xdr:twoCellAnchor editAs="oneCell">
    <xdr:from>
      <xdr:col>13</xdr:col>
      <xdr:colOff>0</xdr:colOff>
      <xdr:row>10</xdr:row>
      <xdr:rowOff>179377</xdr:rowOff>
    </xdr:from>
    <xdr:to>
      <xdr:col>19</xdr:col>
      <xdr:colOff>583163</xdr:colOff>
      <xdr:row>18</xdr:row>
      <xdr:rowOff>1104</xdr:rowOff>
    </xdr:to>
    <xdr:pic>
      <xdr:nvPicPr>
        <xdr:cNvPr id="20" name="Picture 19">
          <a:extLst>
            <a:ext uri="{FF2B5EF4-FFF2-40B4-BE49-F238E27FC236}">
              <a16:creationId xmlns:a16="http://schemas.microsoft.com/office/drawing/2014/main" id="{A23C372A-785F-4FDD-BE58-3ED07AB61616}"/>
            </a:ext>
          </a:extLst>
        </xdr:cNvPr>
        <xdr:cNvPicPr>
          <a:picLocks noChangeAspect="1"/>
        </xdr:cNvPicPr>
      </xdr:nvPicPr>
      <xdr:blipFill>
        <a:blip xmlns:r="http://schemas.openxmlformats.org/officeDocument/2006/relationships" r:embed="rId8"/>
        <a:stretch>
          <a:fillRect/>
        </a:stretch>
      </xdr:blipFill>
      <xdr:spPr>
        <a:xfrm>
          <a:off x="7884367" y="2045499"/>
          <a:ext cx="4222102" cy="1314625"/>
        </a:xfrm>
        <a:prstGeom prst="rect">
          <a:avLst/>
        </a:prstGeom>
      </xdr:spPr>
    </xdr:pic>
    <xdr:clientData/>
  </xdr:twoCellAnchor>
  <xdr:twoCellAnchor editAs="oneCell">
    <xdr:from>
      <xdr:col>12</xdr:col>
      <xdr:colOff>575387</xdr:colOff>
      <xdr:row>0</xdr:row>
      <xdr:rowOff>1</xdr:rowOff>
    </xdr:from>
    <xdr:to>
      <xdr:col>19</xdr:col>
      <xdr:colOff>443204</xdr:colOff>
      <xdr:row>2</xdr:row>
      <xdr:rowOff>114584</xdr:rowOff>
    </xdr:to>
    <xdr:pic>
      <xdr:nvPicPr>
        <xdr:cNvPr id="2" name="Picture 1">
          <a:extLst>
            <a:ext uri="{FF2B5EF4-FFF2-40B4-BE49-F238E27FC236}">
              <a16:creationId xmlns:a16="http://schemas.microsoft.com/office/drawing/2014/main" id="{39BD529F-EC99-46FF-9C1A-35EF9CE19F9B}"/>
            </a:ext>
          </a:extLst>
        </xdr:cNvPr>
        <xdr:cNvPicPr>
          <a:picLocks noChangeAspect="1"/>
        </xdr:cNvPicPr>
      </xdr:nvPicPr>
      <xdr:blipFill>
        <a:blip xmlns:r="http://schemas.openxmlformats.org/officeDocument/2006/relationships" r:embed="rId9"/>
        <a:stretch>
          <a:fillRect/>
        </a:stretch>
      </xdr:blipFill>
      <xdr:spPr>
        <a:xfrm>
          <a:off x="7853265" y="1"/>
          <a:ext cx="4113245" cy="487807"/>
        </a:xfrm>
        <a:prstGeom prst="rect">
          <a:avLst/>
        </a:prstGeom>
      </xdr:spPr>
    </xdr:pic>
    <xdr:clientData/>
  </xdr:twoCellAnchor>
</xdr:wsDr>
</file>

<file path=xl/drawings/drawing10.xml><?xml version="1.0" encoding="utf-8"?>
<c:userShapes xmlns:c="http://schemas.openxmlformats.org/drawingml/2006/chart">
  <cdr:relSizeAnchor xmlns:cdr="http://schemas.openxmlformats.org/drawingml/2006/chartDrawing">
    <cdr:from>
      <cdr:x>0</cdr:x>
      <cdr:y>0</cdr:y>
    </cdr:from>
    <cdr:to>
      <cdr:x>0.00442</cdr:x>
      <cdr:y>0.00746</cdr:y>
    </cdr:to>
    <cdr:pic>
      <cdr:nvPicPr>
        <cdr:cNvPr id="3" name="chart">
          <a:extLst xmlns:a="http://schemas.openxmlformats.org/drawingml/2006/main">
            <a:ext uri="{FF2B5EF4-FFF2-40B4-BE49-F238E27FC236}">
              <a16:creationId xmlns:a16="http://schemas.microsoft.com/office/drawing/2014/main" id="{2ED92715-9A77-4668-93F6-0B550BA93F33}"/>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0.06734</cdr:x>
      <cdr:y>0.01025</cdr:y>
    </cdr:from>
    <cdr:to>
      <cdr:x>0.95791</cdr:x>
      <cdr:y>0.06277</cdr:y>
    </cdr:to>
    <cdr:sp macro="" textlink="">
      <cdr:nvSpPr>
        <cdr:cNvPr id="4" name="TextBox 3"/>
        <cdr:cNvSpPr txBox="1"/>
      </cdr:nvSpPr>
      <cdr:spPr>
        <a:xfrm xmlns:a="http://schemas.openxmlformats.org/drawingml/2006/main">
          <a:off x="896472" y="66619"/>
          <a:ext cx="11855822" cy="34134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sz="1200"/>
            <a:t>ESTIMATED</a:t>
          </a:r>
          <a:r>
            <a:rPr lang="en-US" sz="1200" baseline="0"/>
            <a:t> </a:t>
          </a:r>
          <a:r>
            <a:rPr lang="en-US" sz="1200"/>
            <a:t> STEEL  VOLUME  (cy</a:t>
          </a:r>
          <a:r>
            <a:rPr lang="en-US" sz="1000"/>
            <a:t>)   </a:t>
          </a:r>
          <a:r>
            <a:rPr lang="en-US" sz="1000" baseline="0"/>
            <a:t>-   for various Drilled Shaft Dia.'s  &amp; Lengths   ( based upon FL DOT  </a:t>
          </a:r>
          <a:r>
            <a:rPr lang="en-US" sz="1000"/>
            <a:t>2013,</a:t>
          </a:r>
          <a:r>
            <a:rPr lang="en-US" sz="1000" baseline="0"/>
            <a:t> 2010 Int. &amp; 2010 DS )</a:t>
          </a:r>
          <a:r>
            <a:rPr lang="en-US" sz="1000"/>
            <a:t> </a:t>
          </a:r>
        </a:p>
      </cdr:txBody>
    </cdr:sp>
  </cdr:relSizeAnchor>
</c:userShapes>
</file>

<file path=xl/drawings/drawing11.xml><?xml version="1.0" encoding="utf-8"?>
<xdr:wsDr xmlns:xdr="http://schemas.openxmlformats.org/drawingml/2006/spreadsheetDrawing" xmlns:a="http://schemas.openxmlformats.org/drawingml/2006/main">
  <xdr:twoCellAnchor>
    <xdr:from>
      <xdr:col>0</xdr:col>
      <xdr:colOff>203200</xdr:colOff>
      <xdr:row>111</xdr:row>
      <xdr:rowOff>139700</xdr:rowOff>
    </xdr:from>
    <xdr:to>
      <xdr:col>62</xdr:col>
      <xdr:colOff>0</xdr:colOff>
      <xdr:row>114</xdr:row>
      <xdr:rowOff>12700</xdr:rowOff>
    </xdr:to>
    <xdr:sp macro="" textlink="">
      <xdr:nvSpPr>
        <xdr:cNvPr id="3" name="TextBox 2">
          <a:extLst>
            <a:ext uri="{FF2B5EF4-FFF2-40B4-BE49-F238E27FC236}">
              <a16:creationId xmlns:a16="http://schemas.microsoft.com/office/drawing/2014/main" id="{00000000-0008-0000-0800-000003000000}"/>
            </a:ext>
          </a:extLst>
        </xdr:cNvPr>
        <xdr:cNvSpPr txBox="1"/>
      </xdr:nvSpPr>
      <xdr:spPr>
        <a:xfrm>
          <a:off x="203200" y="12471400"/>
          <a:ext cx="10858500" cy="444500"/>
        </a:xfrm>
        <a:prstGeom prst="rect">
          <a:avLst/>
        </a:prstGeom>
        <a:solidFill>
          <a:srgbClr val="FFFFF3"/>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800" u="sng"/>
            <a:t>Sheet</a:t>
          </a:r>
          <a:r>
            <a:rPr lang="en-US" sz="1800" u="sng" baseline="0"/>
            <a:t> Information &amp; Notes</a:t>
          </a:r>
          <a:r>
            <a:rPr lang="en-US" sz="1800" u="none" baseline="0"/>
            <a:t>:  </a:t>
          </a:r>
          <a:r>
            <a:rPr lang="en-US" sz="1200" u="none" baseline="0"/>
            <a:t>rev. 6/18/13</a:t>
          </a:r>
          <a:endParaRPr lang="en-US" sz="1200" u="none"/>
        </a:p>
      </xdr:txBody>
    </xdr:sp>
    <xdr:clientData/>
  </xdr:twoCellAnchor>
  <xdr:twoCellAnchor>
    <xdr:from>
      <xdr:col>0</xdr:col>
      <xdr:colOff>203200</xdr:colOff>
      <xdr:row>133</xdr:row>
      <xdr:rowOff>177800</xdr:rowOff>
    </xdr:from>
    <xdr:to>
      <xdr:col>62</xdr:col>
      <xdr:colOff>0</xdr:colOff>
      <xdr:row>213</xdr:row>
      <xdr:rowOff>25400</xdr:rowOff>
    </xdr:to>
    <xdr:sp macro="" textlink="">
      <xdr:nvSpPr>
        <xdr:cNvPr id="10" name="TextBox 9">
          <a:extLst>
            <a:ext uri="{FF2B5EF4-FFF2-40B4-BE49-F238E27FC236}">
              <a16:creationId xmlns:a16="http://schemas.microsoft.com/office/drawing/2014/main" id="{00000000-0008-0000-0800-00000A000000}"/>
            </a:ext>
          </a:extLst>
        </xdr:cNvPr>
        <xdr:cNvSpPr txBox="1"/>
      </xdr:nvSpPr>
      <xdr:spPr>
        <a:xfrm>
          <a:off x="203200" y="16827500"/>
          <a:ext cx="10858500" cy="15100300"/>
        </a:xfrm>
        <a:prstGeom prst="rect">
          <a:avLst/>
        </a:prstGeom>
        <a:solidFill>
          <a:srgbClr val="FFFFF3"/>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2000" b="1" u="sng"/>
            <a:t>Volume Placed (VP):</a:t>
          </a:r>
        </a:p>
        <a:p>
          <a:endParaRPr lang="en-US" sz="1600" u="sng"/>
        </a:p>
        <a:p>
          <a:r>
            <a:rPr lang="en-US" sz="1600"/>
            <a:t>For PUMPED concrete:		</a:t>
          </a:r>
          <a:r>
            <a:rPr lang="en-US" sz="1800"/>
            <a:t>VP  =  VD  </a:t>
          </a:r>
          <a:r>
            <a:rPr lang="en-US" sz="1800">
              <a:solidFill>
                <a:schemeClr val="dk1"/>
              </a:solidFill>
              <a:latin typeface="+mn-lt"/>
              <a:ea typeface="+mn-ea"/>
              <a:cs typeface="+mn-cs"/>
            </a:rPr>
            <a:t>-  </a:t>
          </a:r>
          <a:r>
            <a:rPr lang="en-US" sz="1800"/>
            <a:t>VW</a:t>
          </a:r>
          <a:r>
            <a:rPr lang="en-US" sz="1800" baseline="-25000"/>
            <a:t>total</a:t>
          </a:r>
          <a:r>
            <a:rPr lang="en-US" sz="1800"/>
            <a:t> (</a:t>
          </a:r>
          <a:r>
            <a:rPr lang="en-US" sz="1400"/>
            <a:t>incl.  </a:t>
          </a:r>
          <a:r>
            <a:rPr lang="en-US" sz="1400">
              <a:solidFill>
                <a:schemeClr val="dk1"/>
              </a:solidFill>
              <a:effectLst/>
              <a:latin typeface="+mn-lt"/>
              <a:ea typeface="+mn-ea"/>
              <a:cs typeface="+mn-cs"/>
            </a:rPr>
            <a:t>LPH</a:t>
          </a:r>
          <a:r>
            <a:rPr lang="en-US" sz="1400" baseline="-25000">
              <a:solidFill>
                <a:schemeClr val="dk1"/>
              </a:solidFill>
              <a:effectLst/>
              <a:latin typeface="+mn-lt"/>
              <a:ea typeface="+mn-ea"/>
              <a:cs typeface="+mn-cs"/>
            </a:rPr>
            <a:t>After placement</a:t>
          </a:r>
          <a:r>
            <a:rPr lang="en-US" sz="1400">
              <a:solidFill>
                <a:schemeClr val="dk1"/>
              </a:solidFill>
              <a:effectLst/>
              <a:latin typeface="+mn-lt"/>
              <a:ea typeface="+mn-ea"/>
              <a:cs typeface="+mn-cs"/>
            </a:rPr>
            <a:t>  -  LPH</a:t>
          </a:r>
          <a:r>
            <a:rPr lang="en-US" sz="1400" baseline="-25000">
              <a:solidFill>
                <a:schemeClr val="dk1"/>
              </a:solidFill>
              <a:effectLst/>
              <a:latin typeface="+mn-lt"/>
              <a:ea typeface="+mn-ea"/>
              <a:cs typeface="+mn-cs"/>
            </a:rPr>
            <a:t>Befor placement</a:t>
          </a:r>
          <a:r>
            <a:rPr lang="en-US" sz="1400">
              <a:solidFill>
                <a:schemeClr val="dk1"/>
              </a:solidFill>
              <a:effectLst/>
              <a:latin typeface="+mn-lt"/>
              <a:ea typeface="+mn-ea"/>
              <a:cs typeface="+mn-cs"/>
            </a:rPr>
            <a:t> </a:t>
          </a:r>
          <a:r>
            <a:rPr lang="en-US" sz="1800">
              <a:solidFill>
                <a:schemeClr val="dk1"/>
              </a:solidFill>
              <a:effectLst/>
              <a:latin typeface="+mn-lt"/>
              <a:ea typeface="+mn-ea"/>
              <a:cs typeface="+mn-cs"/>
            </a:rPr>
            <a:t>)</a:t>
          </a:r>
          <a:r>
            <a:rPr lang="en-US" sz="1800" baseline="0">
              <a:solidFill>
                <a:schemeClr val="dk1"/>
              </a:solidFill>
              <a:effectLst/>
              <a:latin typeface="+mn-lt"/>
              <a:ea typeface="+mn-ea"/>
              <a:cs typeface="+mn-cs"/>
            </a:rPr>
            <a:t> </a:t>
          </a:r>
          <a:r>
            <a:rPr lang="en-US" sz="1800"/>
            <a:t> -  VL</a:t>
          </a:r>
        </a:p>
        <a:p>
          <a:endParaRPr lang="en-US" sz="1600"/>
        </a:p>
        <a:p>
          <a:pPr marL="0" marR="0" indent="0" defTabSz="914400" eaLnBrk="1" fontAlgn="auto" latinLnBrk="0" hangingPunct="1">
            <a:lnSpc>
              <a:spcPct val="100000"/>
            </a:lnSpc>
            <a:spcBef>
              <a:spcPts val="0"/>
            </a:spcBef>
            <a:spcAft>
              <a:spcPts val="0"/>
            </a:spcAft>
            <a:buClrTx/>
            <a:buSzTx/>
            <a:buFontTx/>
            <a:buNone/>
            <a:tabLst/>
            <a:defRPr/>
          </a:pPr>
          <a:r>
            <a:rPr lang="en-US" sz="1600">
              <a:solidFill>
                <a:schemeClr val="dk1"/>
              </a:solidFill>
              <a:latin typeface="+mn-lt"/>
              <a:ea typeface="+mn-ea"/>
              <a:cs typeface="+mn-cs"/>
            </a:rPr>
            <a:t>For TREMIED</a:t>
          </a:r>
          <a:r>
            <a:rPr lang="en-US" sz="1600" baseline="0">
              <a:solidFill>
                <a:schemeClr val="dk1"/>
              </a:solidFill>
              <a:latin typeface="+mn-lt"/>
              <a:ea typeface="+mn-ea"/>
              <a:cs typeface="+mn-cs"/>
            </a:rPr>
            <a:t> (no pump)</a:t>
          </a:r>
          <a:r>
            <a:rPr lang="en-US" sz="1600">
              <a:solidFill>
                <a:schemeClr val="dk1"/>
              </a:solidFill>
              <a:latin typeface="+mn-lt"/>
              <a:ea typeface="+mn-ea"/>
              <a:cs typeface="+mn-cs"/>
            </a:rPr>
            <a:t> concrete:	</a:t>
          </a:r>
          <a:r>
            <a:rPr lang="en-US" sz="1800">
              <a:solidFill>
                <a:schemeClr val="dk1"/>
              </a:solidFill>
              <a:latin typeface="+mn-lt"/>
              <a:ea typeface="+mn-ea"/>
              <a:cs typeface="+mn-cs"/>
            </a:rPr>
            <a:t>VP  =  VD  -  VW</a:t>
          </a:r>
          <a:r>
            <a:rPr lang="en-US" sz="1800" baseline="-25000">
              <a:solidFill>
                <a:schemeClr val="dk1"/>
              </a:solidFill>
              <a:latin typeface="+mn-lt"/>
              <a:ea typeface="+mn-ea"/>
              <a:cs typeface="+mn-cs"/>
            </a:rPr>
            <a:t>total</a:t>
          </a:r>
          <a:r>
            <a:rPr lang="en-US" sz="1800">
              <a:solidFill>
                <a:schemeClr val="dk1"/>
              </a:solidFill>
              <a:latin typeface="+mn-lt"/>
              <a:ea typeface="+mn-ea"/>
              <a:cs typeface="+mn-cs"/>
            </a:rPr>
            <a:t> </a:t>
          </a:r>
          <a:endParaRPr lang="en-US" sz="1800"/>
        </a:p>
        <a:p>
          <a:endParaRPr lang="en-US" sz="1600"/>
        </a:p>
        <a:p>
          <a:endParaRPr lang="en-US" sz="1600"/>
        </a:p>
        <a:p>
          <a:pPr marL="0" marR="0" indent="0" defTabSz="914400" eaLnBrk="1" fontAlgn="auto" latinLnBrk="0" hangingPunct="1">
            <a:lnSpc>
              <a:spcPct val="100000"/>
            </a:lnSpc>
            <a:spcBef>
              <a:spcPts val="0"/>
            </a:spcBef>
            <a:spcAft>
              <a:spcPts val="0"/>
            </a:spcAft>
            <a:buClrTx/>
            <a:buSzTx/>
            <a:buFontTx/>
            <a:buNone/>
            <a:tabLst/>
            <a:defRPr/>
          </a:pPr>
          <a:r>
            <a:rPr lang="en-US" sz="1400" b="1">
              <a:solidFill>
                <a:schemeClr val="dk1"/>
              </a:solidFill>
              <a:latin typeface="+mn-lt"/>
              <a:ea typeface="+mn-ea"/>
              <a:cs typeface="+mn-cs"/>
            </a:rPr>
            <a:t>VP    Volume Placed    (cy) </a:t>
          </a:r>
          <a:r>
            <a:rPr lang="en-US" sz="1400">
              <a:solidFill>
                <a:schemeClr val="dk1"/>
              </a:solidFill>
              <a:latin typeface="+mn-lt"/>
              <a:ea typeface="+mn-ea"/>
              <a:cs typeface="+mn-cs"/>
            </a:rPr>
            <a:t>	</a:t>
          </a:r>
        </a:p>
        <a:p>
          <a:pPr marL="0" marR="0" indent="0" defTabSz="914400" eaLnBrk="1" fontAlgn="auto" latinLnBrk="0" hangingPunct="1">
            <a:lnSpc>
              <a:spcPct val="100000"/>
            </a:lnSpc>
            <a:spcBef>
              <a:spcPts val="0"/>
            </a:spcBef>
            <a:spcAft>
              <a:spcPts val="0"/>
            </a:spcAft>
            <a:buClrTx/>
            <a:buSzTx/>
            <a:buFontTx/>
            <a:buNone/>
            <a:tabLst/>
            <a:defRPr/>
          </a:pPr>
          <a:r>
            <a:rPr lang="en-US" sz="1400">
              <a:solidFill>
                <a:schemeClr val="dk1"/>
              </a:solidFill>
              <a:latin typeface="+mn-lt"/>
              <a:ea typeface="+mn-ea"/>
              <a:cs typeface="+mn-cs"/>
            </a:rPr>
            <a:t>Volume of concrete placed into the shaft   [ p</a:t>
          </a:r>
          <a:r>
            <a:rPr lang="en-US" sz="1400" baseline="0">
              <a:solidFill>
                <a:schemeClr val="dk1"/>
              </a:solidFill>
              <a:latin typeface="+mn-lt"/>
              <a:ea typeface="+mn-ea"/>
              <a:cs typeface="+mn-cs"/>
            </a:rPr>
            <a:t>er Truck Load, per Pg. (ex. VP</a:t>
          </a:r>
          <a:r>
            <a:rPr lang="en-US" sz="1400" baseline="-25000">
              <a:solidFill>
                <a:schemeClr val="dk1"/>
              </a:solidFill>
              <a:latin typeface="+mn-lt"/>
              <a:ea typeface="+mn-ea"/>
              <a:cs typeface="+mn-cs"/>
            </a:rPr>
            <a:t>1,2,3 ... </a:t>
          </a:r>
          <a:r>
            <a:rPr lang="en-US" sz="1400" baseline="0">
              <a:solidFill>
                <a:schemeClr val="dk1"/>
              </a:solidFill>
              <a:latin typeface="+mn-lt"/>
              <a:ea typeface="+mn-ea"/>
              <a:cs typeface="+mn-cs"/>
            </a:rPr>
            <a:t>) , or total VP for all Trucks (VP</a:t>
          </a:r>
          <a:r>
            <a:rPr lang="en-US" sz="1400" baseline="-25000">
              <a:solidFill>
                <a:schemeClr val="dk1"/>
              </a:solidFill>
              <a:latin typeface="+mn-lt"/>
              <a:ea typeface="+mn-ea"/>
              <a:cs typeface="+mn-cs"/>
            </a:rPr>
            <a:t>T</a:t>
          </a:r>
          <a:r>
            <a:rPr lang="en-US" sz="1400" baseline="0">
              <a:solidFill>
                <a:schemeClr val="dk1"/>
              </a:solidFill>
              <a:latin typeface="+mn-lt"/>
              <a:ea typeface="+mn-ea"/>
              <a:cs typeface="+mn-cs"/>
            </a:rPr>
            <a:t>) ]</a:t>
          </a:r>
        </a:p>
        <a:p>
          <a:pPr marL="0" marR="0" indent="0" defTabSz="914400" eaLnBrk="1" fontAlgn="auto" latinLnBrk="0" hangingPunct="1">
            <a:lnSpc>
              <a:spcPct val="100000"/>
            </a:lnSpc>
            <a:spcBef>
              <a:spcPts val="0"/>
            </a:spcBef>
            <a:spcAft>
              <a:spcPts val="0"/>
            </a:spcAft>
            <a:buClrTx/>
            <a:buSzTx/>
            <a:buFontTx/>
            <a:buNone/>
            <a:tabLst/>
            <a:defRPr/>
          </a:pPr>
          <a:r>
            <a:rPr lang="en-US" sz="1400">
              <a:solidFill>
                <a:schemeClr val="dk1"/>
              </a:solidFill>
              <a:latin typeface="+mn-lt"/>
              <a:ea typeface="+mn-ea"/>
              <a:cs typeface="+mn-cs"/>
            </a:rPr>
            <a:t>The "Accum.</a:t>
          </a:r>
          <a:r>
            <a:rPr lang="en-US" sz="1400" baseline="0">
              <a:solidFill>
                <a:schemeClr val="dk1"/>
              </a:solidFill>
              <a:latin typeface="+mn-lt"/>
              <a:ea typeface="+mn-ea"/>
              <a:cs typeface="+mn-cs"/>
            </a:rPr>
            <a:t> </a:t>
          </a:r>
          <a:r>
            <a:rPr lang="en-US" sz="1400">
              <a:solidFill>
                <a:schemeClr val="dk1"/>
              </a:solidFill>
              <a:latin typeface="+mn-lt"/>
              <a:ea typeface="+mn-ea"/>
              <a:cs typeface="+mn-cs"/>
            </a:rPr>
            <a:t>VP" column on the table provides the volumes (</a:t>
          </a:r>
          <a:r>
            <a:rPr lang="en-US" sz="1400">
              <a:solidFill>
                <a:schemeClr val="dk1"/>
              </a:solidFill>
              <a:effectLst/>
              <a:latin typeface="+mn-lt"/>
              <a:ea typeface="+mn-ea"/>
              <a:cs typeface="+mn-cs"/>
            </a:rPr>
            <a:t>X-cy </a:t>
          </a:r>
          <a:r>
            <a:rPr lang="en-US" sz="1400">
              <a:solidFill>
                <a:schemeClr val="dk1"/>
              </a:solidFill>
              <a:latin typeface="+mn-lt"/>
              <a:ea typeface="+mn-ea"/>
              <a:cs typeface="+mn-cs"/>
            </a:rPr>
            <a:t>) used to generate the (X-cy,Y-ft) plot points</a:t>
          </a:r>
          <a:r>
            <a:rPr lang="en-US" sz="1400" baseline="0">
              <a:solidFill>
                <a:schemeClr val="dk1"/>
              </a:solidFill>
              <a:latin typeface="+mn-lt"/>
              <a:ea typeface="+mn-ea"/>
              <a:cs typeface="+mn-cs"/>
            </a:rPr>
            <a:t> on </a:t>
          </a:r>
          <a:r>
            <a:rPr lang="en-US" sz="1400">
              <a:solidFill>
                <a:schemeClr val="dk1"/>
              </a:solidFill>
              <a:latin typeface="+mn-lt"/>
              <a:ea typeface="+mn-ea"/>
              <a:cs typeface="+mn-cs"/>
            </a:rPr>
            <a:t>the Actual  Volume c</a:t>
          </a:r>
          <a:r>
            <a:rPr lang="en-US" sz="1400" baseline="0">
              <a:solidFill>
                <a:schemeClr val="dk1"/>
              </a:solidFill>
              <a:latin typeface="+mn-lt"/>
              <a:ea typeface="+mn-ea"/>
              <a:cs typeface="+mn-cs"/>
            </a:rPr>
            <a:t>oncreting Curve.</a:t>
          </a:r>
          <a:endParaRPr lang="en-US" sz="140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endParaRPr lang="en-US" sz="140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400" b="1">
              <a:solidFill>
                <a:schemeClr val="dk1"/>
              </a:solidFill>
              <a:latin typeface="+mn-lt"/>
              <a:ea typeface="+mn-ea"/>
              <a:cs typeface="+mn-cs"/>
            </a:rPr>
            <a:t>VD    Volume Delivered    (cy)</a:t>
          </a:r>
        </a:p>
        <a:p>
          <a:pPr marL="0" marR="0" indent="0" defTabSz="914400" eaLnBrk="1" fontAlgn="auto" latinLnBrk="0" hangingPunct="1">
            <a:lnSpc>
              <a:spcPct val="100000"/>
            </a:lnSpc>
            <a:spcBef>
              <a:spcPts val="0"/>
            </a:spcBef>
            <a:spcAft>
              <a:spcPts val="0"/>
            </a:spcAft>
            <a:buClrTx/>
            <a:buSzTx/>
            <a:buFontTx/>
            <a:buNone/>
            <a:tabLst/>
            <a:defRPr/>
          </a:pPr>
          <a:r>
            <a:rPr lang="en-US" sz="1400">
              <a:solidFill>
                <a:schemeClr val="dk1"/>
              </a:solidFill>
              <a:latin typeface="+mn-lt"/>
              <a:ea typeface="+mn-ea"/>
              <a:cs typeface="+mn-cs"/>
            </a:rPr>
            <a:t>Delivered concrete </a:t>
          </a:r>
          <a:r>
            <a:rPr lang="en-US" sz="1400" baseline="0">
              <a:solidFill>
                <a:schemeClr val="dk1"/>
              </a:solidFill>
              <a:latin typeface="+mn-lt"/>
              <a:ea typeface="+mn-ea"/>
              <a:cs typeface="+mn-cs"/>
            </a:rPr>
            <a:t>truckload volume   [ per truck load, per Pg.  (ex. VD</a:t>
          </a:r>
          <a:r>
            <a:rPr lang="en-US" sz="1400" baseline="-25000">
              <a:solidFill>
                <a:schemeClr val="dk1"/>
              </a:solidFill>
              <a:latin typeface="+mn-lt"/>
              <a:ea typeface="+mn-ea"/>
              <a:cs typeface="+mn-cs"/>
            </a:rPr>
            <a:t>1,2,3 ... </a:t>
          </a:r>
          <a:r>
            <a:rPr lang="en-US" sz="1400" baseline="0">
              <a:solidFill>
                <a:schemeClr val="dk1"/>
              </a:solidFill>
              <a:latin typeface="+mn-lt"/>
              <a:ea typeface="+mn-ea"/>
              <a:cs typeface="+mn-cs"/>
            </a:rPr>
            <a:t>) , or total VD for entire placement (all Trucks, VD</a:t>
          </a:r>
          <a:r>
            <a:rPr lang="en-US" sz="1400" baseline="-25000">
              <a:solidFill>
                <a:schemeClr val="dk1"/>
              </a:solidFill>
              <a:latin typeface="+mn-lt"/>
              <a:ea typeface="+mn-ea"/>
              <a:cs typeface="+mn-cs"/>
            </a:rPr>
            <a:t>T</a:t>
          </a:r>
          <a:r>
            <a:rPr lang="en-US" sz="1400" baseline="0">
              <a:solidFill>
                <a:schemeClr val="dk1"/>
              </a:solidFill>
              <a:latin typeface="+mn-lt"/>
              <a:ea typeface="+mn-ea"/>
              <a:cs typeface="+mn-cs"/>
            </a:rPr>
            <a:t>) ]</a:t>
          </a:r>
        </a:p>
        <a:p>
          <a:pPr marL="0" marR="0" indent="0" defTabSz="914400" eaLnBrk="1" fontAlgn="auto" latinLnBrk="0" hangingPunct="1">
            <a:lnSpc>
              <a:spcPct val="100000"/>
            </a:lnSpc>
            <a:spcBef>
              <a:spcPts val="0"/>
            </a:spcBef>
            <a:spcAft>
              <a:spcPts val="0"/>
            </a:spcAft>
            <a:buClrTx/>
            <a:buSzTx/>
            <a:buFontTx/>
            <a:buNone/>
            <a:tabLst/>
            <a:defRPr/>
          </a:pPr>
          <a:endParaRPr lang="en-US" sz="1400"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400" b="1" u="sng">
              <a:solidFill>
                <a:schemeClr val="dk1"/>
              </a:solidFill>
              <a:latin typeface="+mn-lt"/>
              <a:ea typeface="+mn-ea"/>
              <a:cs typeface="+mn-cs"/>
            </a:rPr>
            <a:t>LPH    Left in Pump Hopper</a:t>
          </a:r>
        </a:p>
        <a:p>
          <a:pPr marL="0" marR="0" indent="0" defTabSz="914400" eaLnBrk="1" fontAlgn="auto" latinLnBrk="0" hangingPunct="1">
            <a:lnSpc>
              <a:spcPct val="100000"/>
            </a:lnSpc>
            <a:spcBef>
              <a:spcPts val="0"/>
            </a:spcBef>
            <a:spcAft>
              <a:spcPts val="0"/>
            </a:spcAft>
            <a:buClrTx/>
            <a:buSzTx/>
            <a:buFontTx/>
            <a:buNone/>
            <a:tabLst/>
            <a:defRPr/>
          </a:pPr>
          <a:r>
            <a:rPr lang="en-US" sz="1400">
              <a:solidFill>
                <a:schemeClr val="dk1"/>
              </a:solidFill>
              <a:latin typeface="+mn-lt"/>
              <a:ea typeface="+mn-ea"/>
              <a:cs typeface="+mn-cs"/>
            </a:rPr>
            <a:t>Estimated volume of concrete Left i</a:t>
          </a:r>
          <a:r>
            <a:rPr lang="en-US" sz="1400" baseline="0">
              <a:solidFill>
                <a:schemeClr val="dk1"/>
              </a:solidFill>
              <a:latin typeface="+mn-lt"/>
              <a:ea typeface="+mn-ea"/>
              <a:cs typeface="+mn-cs"/>
            </a:rPr>
            <a:t>n Pump Hopper (LPH) before or after placement.  LHP only applies when concrete is pumped.</a:t>
          </a:r>
        </a:p>
        <a:p>
          <a:r>
            <a:rPr lang="en-US" sz="1600" b="0" baseline="0">
              <a:solidFill>
                <a:schemeClr val="dk1"/>
              </a:solidFill>
              <a:latin typeface="+mn-lt"/>
              <a:ea typeface="+mn-ea"/>
              <a:cs typeface="+mn-cs"/>
            </a:rPr>
            <a:t>↓</a:t>
          </a:r>
        </a:p>
        <a:p>
          <a:endParaRPr lang="en-US" sz="1600" b="0" baseline="0">
            <a:solidFill>
              <a:schemeClr val="dk1"/>
            </a:solidFill>
            <a:latin typeface="+mn-lt"/>
            <a:ea typeface="+mn-ea"/>
            <a:cs typeface="+mn-cs"/>
          </a:endParaRPr>
        </a:p>
        <a:p>
          <a:r>
            <a:rPr lang="en-US" sz="1400" b="1">
              <a:solidFill>
                <a:schemeClr val="dk1"/>
              </a:solidFill>
              <a:latin typeface="+mn-lt"/>
              <a:ea typeface="+mn-ea"/>
              <a:cs typeface="+mn-cs"/>
            </a:rPr>
            <a:t>LPH</a:t>
          </a:r>
          <a:r>
            <a:rPr lang="en-US" sz="1400" b="1" baseline="-25000">
              <a:solidFill>
                <a:schemeClr val="dk1"/>
              </a:solidFill>
              <a:latin typeface="+mn-lt"/>
              <a:ea typeface="+mn-ea"/>
              <a:cs typeface="+mn-cs"/>
            </a:rPr>
            <a:t>Before placement</a:t>
          </a:r>
          <a:r>
            <a:rPr lang="en-US" sz="1400" b="1" baseline="0">
              <a:solidFill>
                <a:schemeClr val="dk1"/>
              </a:solidFill>
              <a:latin typeface="+mn-lt"/>
              <a:ea typeface="+mn-ea"/>
              <a:cs typeface="+mn-cs"/>
            </a:rPr>
            <a:t>    (cy)</a:t>
          </a:r>
        </a:p>
        <a:p>
          <a:endParaRPr lang="en-US" sz="1400" b="1" baseline="0">
            <a:solidFill>
              <a:schemeClr val="dk1"/>
            </a:solidFill>
            <a:latin typeface="+mn-lt"/>
            <a:ea typeface="+mn-ea"/>
            <a:cs typeface="+mn-cs"/>
          </a:endParaRPr>
        </a:p>
        <a:p>
          <a:r>
            <a:rPr lang="en-US" sz="1400" baseline="0">
              <a:solidFill>
                <a:schemeClr val="dk1"/>
              </a:solidFill>
              <a:latin typeface="+mn-lt"/>
              <a:ea typeface="+mn-ea"/>
              <a:cs typeface="+mn-cs"/>
            </a:rPr>
            <a:t>LPH from previous truckload, before placement of the current truckload (per truck load, per Pg. (</a:t>
          </a:r>
          <a:r>
            <a:rPr lang="en-US" sz="1400">
              <a:solidFill>
                <a:schemeClr val="dk1"/>
              </a:solidFill>
              <a:latin typeface="+mn-lt"/>
              <a:ea typeface="+mn-ea"/>
              <a:cs typeface="+mn-cs"/>
            </a:rPr>
            <a:t>LPH</a:t>
          </a:r>
          <a:r>
            <a:rPr lang="en-US" sz="1400" baseline="-25000">
              <a:solidFill>
                <a:schemeClr val="dk1"/>
              </a:solidFill>
              <a:latin typeface="+mn-lt"/>
              <a:ea typeface="+mn-ea"/>
              <a:cs typeface="+mn-cs"/>
            </a:rPr>
            <a:t>1,2,3 Before</a:t>
          </a:r>
          <a:r>
            <a:rPr lang="en-US" sz="1400" baseline="0">
              <a:solidFill>
                <a:schemeClr val="dk1"/>
              </a:solidFill>
              <a:latin typeface="+mn-lt"/>
              <a:ea typeface="+mn-ea"/>
              <a:cs typeface="+mn-cs"/>
            </a:rPr>
            <a:t>) or Total for all Trucks, </a:t>
          </a:r>
          <a:r>
            <a:rPr lang="en-US" sz="1400">
              <a:solidFill>
                <a:schemeClr val="dk1"/>
              </a:solidFill>
              <a:latin typeface="+mn-lt"/>
              <a:ea typeface="+mn-ea"/>
              <a:cs typeface="+mn-cs"/>
            </a:rPr>
            <a:t>LPH</a:t>
          </a:r>
          <a:r>
            <a:rPr lang="en-US" sz="1400" baseline="-25000">
              <a:solidFill>
                <a:schemeClr val="dk1"/>
              </a:solidFill>
              <a:latin typeface="+mn-lt"/>
              <a:ea typeface="+mn-ea"/>
              <a:cs typeface="+mn-cs"/>
            </a:rPr>
            <a:t>T Before</a:t>
          </a:r>
          <a:r>
            <a:rPr lang="en-US" sz="1400" baseline="0">
              <a:solidFill>
                <a:schemeClr val="dk1"/>
              </a:solidFill>
              <a:latin typeface="+mn-lt"/>
              <a:ea typeface="+mn-ea"/>
              <a:cs typeface="+mn-cs"/>
            </a:rPr>
            <a:t>).</a:t>
          </a:r>
        </a:p>
        <a:p>
          <a:r>
            <a:rPr lang="en-US" sz="1400" baseline="0">
              <a:solidFill>
                <a:schemeClr val="dk1"/>
              </a:solidFill>
              <a:latin typeface="+mn-lt"/>
              <a:ea typeface="+mn-ea"/>
              <a:cs typeface="+mn-cs"/>
            </a:rPr>
            <a:t>The Excel sheet includes cell calcs to input the </a:t>
          </a:r>
          <a:r>
            <a:rPr lang="en-US" sz="1400">
              <a:solidFill>
                <a:schemeClr val="dk1"/>
              </a:solidFill>
              <a:latin typeface="+mn-lt"/>
              <a:ea typeface="+mn-ea"/>
              <a:cs typeface="+mn-cs"/>
            </a:rPr>
            <a:t>LPH</a:t>
          </a:r>
          <a:r>
            <a:rPr lang="en-US" sz="1400" baseline="-25000">
              <a:solidFill>
                <a:schemeClr val="dk1"/>
              </a:solidFill>
              <a:latin typeface="+mn-lt"/>
              <a:ea typeface="+mn-ea"/>
              <a:cs typeface="+mn-cs"/>
            </a:rPr>
            <a:t>Before</a:t>
          </a:r>
          <a:r>
            <a:rPr lang="en-US" sz="1400" baseline="0">
              <a:solidFill>
                <a:schemeClr val="dk1"/>
              </a:solidFill>
              <a:latin typeface="+mn-lt"/>
              <a:ea typeface="+mn-ea"/>
              <a:cs typeface="+mn-cs"/>
            </a:rPr>
            <a:t> automatically (LPH</a:t>
          </a:r>
          <a:r>
            <a:rPr lang="en-US" sz="1400" baseline="-25000">
              <a:solidFill>
                <a:schemeClr val="dk1"/>
              </a:solidFill>
              <a:latin typeface="+mn-lt"/>
              <a:ea typeface="+mn-ea"/>
              <a:cs typeface="+mn-cs"/>
            </a:rPr>
            <a:t>After</a:t>
          </a:r>
          <a:r>
            <a:rPr lang="en-US" sz="1400" baseline="0">
              <a:solidFill>
                <a:schemeClr val="dk1"/>
              </a:solidFill>
              <a:latin typeface="+mn-lt"/>
              <a:ea typeface="+mn-ea"/>
              <a:cs typeface="+mn-cs"/>
            </a:rPr>
            <a:t>  values are manually input by user).  The </a:t>
          </a:r>
          <a:r>
            <a:rPr lang="en-US" sz="1400">
              <a:solidFill>
                <a:schemeClr val="dk1"/>
              </a:solidFill>
              <a:latin typeface="+mn-lt"/>
              <a:ea typeface="+mn-ea"/>
              <a:cs typeface="+mn-cs"/>
            </a:rPr>
            <a:t>LPH</a:t>
          </a:r>
          <a:r>
            <a:rPr lang="en-US" sz="1400" baseline="-25000">
              <a:solidFill>
                <a:schemeClr val="dk1"/>
              </a:solidFill>
              <a:latin typeface="+mn-lt"/>
              <a:ea typeface="+mn-ea"/>
              <a:cs typeface="+mn-cs"/>
            </a:rPr>
            <a:t>Before</a:t>
          </a:r>
          <a:r>
            <a:rPr lang="en-US" sz="1400" baseline="0">
              <a:solidFill>
                <a:schemeClr val="dk1"/>
              </a:solidFill>
              <a:latin typeface="+mn-lt"/>
              <a:ea typeface="+mn-ea"/>
              <a:cs typeface="+mn-cs"/>
            </a:rPr>
            <a:t> calcs  consider "REJECTED" or "Not Placed" loads (click on column Lxx cell drop-downs to select &amp; input "REJECTED" or "Not Placed",  when applicable), and pass  the previous load's </a:t>
          </a:r>
          <a:r>
            <a:rPr lang="en-US" sz="1400">
              <a:solidFill>
                <a:schemeClr val="dk1"/>
              </a:solidFill>
              <a:latin typeface="+mn-lt"/>
              <a:ea typeface="+mn-ea"/>
              <a:cs typeface="+mn-cs"/>
            </a:rPr>
            <a:t>LPH</a:t>
          </a:r>
          <a:r>
            <a:rPr lang="en-US" sz="1400" baseline="-25000">
              <a:solidFill>
                <a:schemeClr val="dk1"/>
              </a:solidFill>
              <a:latin typeface="+mn-lt"/>
              <a:ea typeface="+mn-ea"/>
              <a:cs typeface="+mn-cs"/>
            </a:rPr>
            <a:t>After</a:t>
          </a:r>
          <a:r>
            <a:rPr lang="en-US" sz="1400" baseline="0">
              <a:solidFill>
                <a:schemeClr val="dk1"/>
              </a:solidFill>
              <a:latin typeface="+mn-lt"/>
              <a:ea typeface="+mn-ea"/>
              <a:cs typeface="+mn-cs"/>
            </a:rPr>
            <a:t> to the next placed load </a:t>
          </a:r>
          <a:r>
            <a:rPr lang="en-US" sz="1400">
              <a:solidFill>
                <a:schemeClr val="dk1"/>
              </a:solidFill>
              <a:latin typeface="+mn-lt"/>
              <a:ea typeface="+mn-ea"/>
              <a:cs typeface="+mn-cs"/>
            </a:rPr>
            <a:t>LPH</a:t>
          </a:r>
          <a:r>
            <a:rPr lang="en-US" sz="1400" baseline="-25000">
              <a:solidFill>
                <a:schemeClr val="dk1"/>
              </a:solidFill>
              <a:latin typeface="+mn-lt"/>
              <a:ea typeface="+mn-ea"/>
              <a:cs typeface="+mn-cs"/>
            </a:rPr>
            <a:t>Before</a:t>
          </a:r>
          <a:r>
            <a:rPr lang="en-US" sz="1400" baseline="0">
              <a:solidFill>
                <a:schemeClr val="dk1"/>
              </a:solidFill>
              <a:latin typeface="+mn-lt"/>
              <a:ea typeface="+mn-ea"/>
              <a:cs typeface="+mn-cs"/>
            </a:rPr>
            <a:t>, etc.  If Placement Method type "Pump" input cell AB22 is left blank, the </a:t>
          </a:r>
          <a:r>
            <a:rPr lang="en-US" sz="1400">
              <a:solidFill>
                <a:schemeClr val="dk1"/>
              </a:solidFill>
              <a:latin typeface="+mn-lt"/>
              <a:ea typeface="+mn-ea"/>
              <a:cs typeface="+mn-cs"/>
            </a:rPr>
            <a:t>LPH</a:t>
          </a:r>
          <a:r>
            <a:rPr lang="en-US" sz="1400" baseline="-25000">
              <a:solidFill>
                <a:schemeClr val="dk1"/>
              </a:solidFill>
              <a:latin typeface="+mn-lt"/>
              <a:ea typeface="+mn-ea"/>
              <a:cs typeface="+mn-cs"/>
            </a:rPr>
            <a:t>Before</a:t>
          </a:r>
          <a:r>
            <a:rPr lang="en-US" sz="1400" baseline="0">
              <a:solidFill>
                <a:schemeClr val="dk1"/>
              </a:solidFill>
              <a:latin typeface="+mn-lt"/>
              <a:ea typeface="+mn-ea"/>
              <a:cs typeface="+mn-cs"/>
            </a:rPr>
            <a:t> calcs will all be automatically removed (ex. when concrete is tremie-placed with no pump being used) -  so, if the concrete is being pumped, the user must make sure that the "Pump" cell AB22 input is applied (not left blank, ex. use cell AB22 drop-down to select &amp; apply "X") when a pump is being used -  to activate the appearance and function of the </a:t>
          </a:r>
          <a:r>
            <a:rPr lang="en-US" sz="1400">
              <a:solidFill>
                <a:schemeClr val="dk1"/>
              </a:solidFill>
              <a:latin typeface="+mn-lt"/>
              <a:ea typeface="+mn-ea"/>
              <a:cs typeface="+mn-cs"/>
            </a:rPr>
            <a:t>LPH</a:t>
          </a:r>
          <a:r>
            <a:rPr lang="en-US" sz="1400" baseline="-25000">
              <a:solidFill>
                <a:schemeClr val="dk1"/>
              </a:solidFill>
              <a:latin typeface="+mn-lt"/>
              <a:ea typeface="+mn-ea"/>
              <a:cs typeface="+mn-cs"/>
            </a:rPr>
            <a:t>Before </a:t>
          </a:r>
          <a:r>
            <a:rPr lang="en-US" sz="1400" baseline="0">
              <a:solidFill>
                <a:schemeClr val="dk1"/>
              </a:solidFill>
              <a:latin typeface="+mn-lt"/>
              <a:ea typeface="+mn-ea"/>
              <a:cs typeface="+mn-cs"/>
            </a:rPr>
            <a:t>calcs.</a:t>
          </a:r>
        </a:p>
        <a:p>
          <a:endParaRPr lang="en-US" sz="1200" baseline="-25000">
            <a:solidFill>
              <a:schemeClr val="dk1"/>
            </a:solidFill>
            <a:latin typeface="+mn-lt"/>
            <a:ea typeface="+mn-ea"/>
            <a:cs typeface="+mn-cs"/>
          </a:endParaRPr>
        </a:p>
        <a:p>
          <a:r>
            <a:rPr lang="en-US" sz="1400" b="1">
              <a:solidFill>
                <a:schemeClr val="dk1"/>
              </a:solidFill>
              <a:latin typeface="+mn-lt"/>
              <a:ea typeface="+mn-ea"/>
              <a:cs typeface="+mn-cs"/>
            </a:rPr>
            <a:t>LPH</a:t>
          </a:r>
          <a:r>
            <a:rPr lang="en-US" sz="1400" b="1" baseline="-25000">
              <a:solidFill>
                <a:schemeClr val="dk1"/>
              </a:solidFill>
              <a:latin typeface="+mn-lt"/>
              <a:ea typeface="+mn-ea"/>
              <a:cs typeface="+mn-cs"/>
            </a:rPr>
            <a:t>After placement</a:t>
          </a:r>
          <a:r>
            <a:rPr lang="en-US" sz="1400" b="1" baseline="0">
              <a:solidFill>
                <a:schemeClr val="dk1"/>
              </a:solidFill>
              <a:latin typeface="+mn-lt"/>
              <a:ea typeface="+mn-ea"/>
              <a:cs typeface="+mn-cs"/>
            </a:rPr>
            <a:t>    (cy)</a:t>
          </a:r>
        </a:p>
        <a:p>
          <a:endParaRPr lang="en-US" sz="1400" b="1" baseline="0">
            <a:solidFill>
              <a:schemeClr val="dk1"/>
            </a:solidFill>
            <a:latin typeface="+mn-lt"/>
            <a:ea typeface="+mn-ea"/>
            <a:cs typeface="+mn-cs"/>
          </a:endParaRPr>
        </a:p>
        <a:p>
          <a:r>
            <a:rPr lang="en-US" sz="1400" baseline="0">
              <a:solidFill>
                <a:schemeClr val="dk1"/>
              </a:solidFill>
              <a:latin typeface="+mn-lt"/>
              <a:ea typeface="+mn-ea"/>
              <a:cs typeface="+mn-cs"/>
            </a:rPr>
            <a:t>LPH from current truckload, before placement of the next truckload starts [per truck load </a:t>
          </a:r>
          <a:r>
            <a:rPr lang="en-US" sz="1400">
              <a:solidFill>
                <a:schemeClr val="dk1"/>
              </a:solidFill>
              <a:latin typeface="+mn-lt"/>
              <a:ea typeface="+mn-ea"/>
              <a:cs typeface="+mn-cs"/>
            </a:rPr>
            <a:t>LPH</a:t>
          </a:r>
          <a:r>
            <a:rPr lang="en-US" sz="1400" baseline="-25000">
              <a:solidFill>
                <a:schemeClr val="dk1"/>
              </a:solidFill>
              <a:latin typeface="+mn-lt"/>
              <a:ea typeface="+mn-ea"/>
              <a:cs typeface="+mn-cs"/>
            </a:rPr>
            <a:t>After</a:t>
          </a:r>
          <a:r>
            <a:rPr lang="en-US" sz="1400" baseline="0">
              <a:solidFill>
                <a:schemeClr val="dk1"/>
              </a:solidFill>
              <a:latin typeface="+mn-lt"/>
              <a:ea typeface="+mn-ea"/>
              <a:cs typeface="+mn-cs"/>
            </a:rPr>
            <a:t> , per Pg. (</a:t>
          </a:r>
          <a:r>
            <a:rPr lang="en-US" sz="1400">
              <a:solidFill>
                <a:schemeClr val="dk1"/>
              </a:solidFill>
              <a:latin typeface="+mn-lt"/>
              <a:ea typeface="+mn-ea"/>
              <a:cs typeface="+mn-cs"/>
            </a:rPr>
            <a:t>LPH</a:t>
          </a:r>
          <a:r>
            <a:rPr lang="en-US" sz="1400" baseline="-25000">
              <a:solidFill>
                <a:schemeClr val="dk1"/>
              </a:solidFill>
              <a:latin typeface="+mn-lt"/>
              <a:ea typeface="+mn-ea"/>
              <a:cs typeface="+mn-cs"/>
            </a:rPr>
            <a:t>1,2,3 Before</a:t>
          </a:r>
          <a:r>
            <a:rPr lang="en-US" sz="1400" baseline="0">
              <a:solidFill>
                <a:schemeClr val="dk1"/>
              </a:solidFill>
              <a:latin typeface="+mn-lt"/>
              <a:ea typeface="+mn-ea"/>
              <a:cs typeface="+mn-cs"/>
            </a:rPr>
            <a:t>)  or Total for all Trucks, </a:t>
          </a:r>
          <a:r>
            <a:rPr lang="en-US" sz="1400">
              <a:solidFill>
                <a:schemeClr val="dk1"/>
              </a:solidFill>
              <a:latin typeface="+mn-lt"/>
              <a:ea typeface="+mn-ea"/>
              <a:cs typeface="+mn-cs"/>
            </a:rPr>
            <a:t>LPH</a:t>
          </a:r>
          <a:r>
            <a:rPr lang="en-US" sz="1400" baseline="-25000">
              <a:solidFill>
                <a:schemeClr val="dk1"/>
              </a:solidFill>
              <a:latin typeface="+mn-lt"/>
              <a:ea typeface="+mn-ea"/>
              <a:cs typeface="+mn-cs"/>
            </a:rPr>
            <a:t>T After</a:t>
          </a:r>
          <a:r>
            <a:rPr lang="en-US" sz="1400" baseline="0">
              <a:solidFill>
                <a:schemeClr val="dk1"/>
              </a:solidFill>
              <a:latin typeface="+mn-lt"/>
              <a:ea typeface="+mn-ea"/>
              <a:cs typeface="+mn-cs"/>
            </a:rPr>
            <a:t>].</a:t>
          </a:r>
        </a:p>
        <a:p>
          <a:r>
            <a:rPr lang="en-US" sz="1400" baseline="0">
              <a:solidFill>
                <a:schemeClr val="dk1"/>
              </a:solidFill>
              <a:latin typeface="+mn-lt"/>
              <a:ea typeface="+mn-ea"/>
              <a:cs typeface="+mn-cs"/>
            </a:rPr>
            <a:t>Within the sheet VW calculations, the  LPH Vol Waste = ( </a:t>
          </a:r>
          <a:r>
            <a:rPr lang="en-US" sz="1400">
              <a:solidFill>
                <a:schemeClr val="dk1"/>
              </a:solidFill>
              <a:latin typeface="+mn-lt"/>
              <a:ea typeface="+mn-ea"/>
              <a:cs typeface="+mn-cs"/>
            </a:rPr>
            <a:t>LPH</a:t>
          </a:r>
          <a:r>
            <a:rPr lang="en-US" sz="1400" baseline="-25000">
              <a:solidFill>
                <a:schemeClr val="dk1"/>
              </a:solidFill>
              <a:latin typeface="+mn-lt"/>
              <a:ea typeface="+mn-ea"/>
              <a:cs typeface="+mn-cs"/>
            </a:rPr>
            <a:t>After</a:t>
          </a:r>
          <a:r>
            <a:rPr lang="en-US" sz="1400" baseline="0">
              <a:solidFill>
                <a:schemeClr val="dk1"/>
              </a:solidFill>
              <a:latin typeface="+mn-lt"/>
              <a:ea typeface="+mn-ea"/>
              <a:cs typeface="+mn-cs"/>
            </a:rPr>
            <a:t>  - </a:t>
          </a:r>
          <a:r>
            <a:rPr lang="en-US" sz="1400">
              <a:solidFill>
                <a:schemeClr val="dk1"/>
              </a:solidFill>
              <a:effectLst/>
              <a:latin typeface="+mn-lt"/>
              <a:ea typeface="+mn-ea"/>
              <a:cs typeface="+mn-cs"/>
            </a:rPr>
            <a:t>LPH</a:t>
          </a:r>
          <a:r>
            <a:rPr lang="en-US" sz="1400" baseline="-25000">
              <a:solidFill>
                <a:schemeClr val="dk1"/>
              </a:solidFill>
              <a:effectLst/>
              <a:latin typeface="+mn-lt"/>
              <a:ea typeface="+mn-ea"/>
              <a:cs typeface="+mn-cs"/>
            </a:rPr>
            <a:t>before </a:t>
          </a:r>
          <a:r>
            <a:rPr lang="en-US" sz="1400" baseline="0">
              <a:solidFill>
                <a:schemeClr val="dk1"/>
              </a:solidFill>
              <a:latin typeface="+mn-lt"/>
              <a:ea typeface="+mn-ea"/>
              <a:cs typeface="+mn-cs"/>
            </a:rPr>
            <a:t>)  for each truck load, Page, and for the entire placement.  If truck loads are  REJECTED" or "Not Placed", </a:t>
          </a:r>
          <a:r>
            <a:rPr lang="en-US" sz="1400" b="1" u="none" baseline="0">
              <a:solidFill>
                <a:schemeClr val="dk1"/>
              </a:solidFill>
              <a:latin typeface="+mn-lt"/>
              <a:ea typeface="+mn-ea"/>
              <a:cs typeface="+mn-cs"/>
            </a:rPr>
            <a:t>make sure  the </a:t>
          </a:r>
          <a:r>
            <a:rPr lang="en-US" sz="1400" b="1" u="none">
              <a:solidFill>
                <a:schemeClr val="dk1"/>
              </a:solidFill>
              <a:latin typeface="+mn-lt"/>
              <a:ea typeface="+mn-ea"/>
              <a:cs typeface="+mn-cs"/>
            </a:rPr>
            <a:t>LPH</a:t>
          </a:r>
          <a:r>
            <a:rPr lang="en-US" sz="1400" b="1" u="none" baseline="-25000">
              <a:solidFill>
                <a:schemeClr val="dk1"/>
              </a:solidFill>
              <a:latin typeface="+mn-lt"/>
              <a:ea typeface="+mn-ea"/>
              <a:cs typeface="+mn-cs"/>
            </a:rPr>
            <a:t>After</a:t>
          </a:r>
          <a:r>
            <a:rPr lang="en-US" sz="1400" b="1" u="none" baseline="0">
              <a:solidFill>
                <a:schemeClr val="dk1"/>
              </a:solidFill>
              <a:latin typeface="+mn-lt"/>
              <a:ea typeface="+mn-ea"/>
              <a:cs typeface="+mn-cs"/>
            </a:rPr>
            <a:t> cell input blocks for those truck loads are left blank</a:t>
          </a:r>
          <a:r>
            <a:rPr lang="en-US" sz="1400" u="none" baseline="0">
              <a:solidFill>
                <a:schemeClr val="dk1"/>
              </a:solidFill>
              <a:latin typeface="+mn-lt"/>
              <a:ea typeface="+mn-ea"/>
              <a:cs typeface="+mn-cs"/>
            </a:rPr>
            <a:t> (or = 0)!!  </a:t>
          </a:r>
          <a:r>
            <a:rPr lang="en-US" sz="1400" baseline="0">
              <a:solidFill>
                <a:schemeClr val="dk1"/>
              </a:solidFill>
              <a:latin typeface="+mn-lt"/>
              <a:ea typeface="+mn-ea"/>
              <a:cs typeface="+mn-cs"/>
            </a:rPr>
            <a:t>For REJECTED or Not Placed loads, only the Volume Delivered (VD) will be input for the record -  although the VD</a:t>
          </a:r>
          <a:r>
            <a:rPr lang="en-US" sz="1400" b="1" baseline="-25000">
              <a:solidFill>
                <a:schemeClr val="dk1"/>
              </a:solidFill>
              <a:latin typeface="+mn-lt"/>
              <a:ea typeface="+mn-ea"/>
              <a:cs typeface="+mn-cs"/>
            </a:rPr>
            <a:t>RNP</a:t>
          </a:r>
          <a:r>
            <a:rPr lang="en-US" sz="1400" baseline="0">
              <a:solidFill>
                <a:schemeClr val="dk1"/>
              </a:solidFill>
              <a:latin typeface="+mn-lt"/>
              <a:ea typeface="+mn-ea"/>
              <a:cs typeface="+mn-cs"/>
            </a:rPr>
            <a:t> (</a:t>
          </a:r>
          <a:r>
            <a:rPr lang="en-US" sz="1400" b="1" baseline="0">
              <a:solidFill>
                <a:schemeClr val="dk1"/>
              </a:solidFill>
              <a:latin typeface="+mn-lt"/>
              <a:ea typeface="+mn-ea"/>
              <a:cs typeface="+mn-cs"/>
            </a:rPr>
            <a:t>R</a:t>
          </a:r>
          <a:r>
            <a:rPr lang="en-US" sz="1400" baseline="0">
              <a:solidFill>
                <a:schemeClr val="dk1"/>
              </a:solidFill>
              <a:latin typeface="+mn-lt"/>
              <a:ea typeface="+mn-ea"/>
              <a:cs typeface="+mn-cs"/>
            </a:rPr>
            <a:t>ejected </a:t>
          </a:r>
          <a:r>
            <a:rPr lang="en-US" sz="1400" b="1" baseline="0">
              <a:solidFill>
                <a:schemeClr val="dk1"/>
              </a:solidFill>
              <a:latin typeface="+mn-lt"/>
              <a:ea typeface="+mn-ea"/>
              <a:cs typeface="+mn-cs"/>
            </a:rPr>
            <a:t>N</a:t>
          </a:r>
          <a:r>
            <a:rPr lang="en-US" sz="1400" baseline="0">
              <a:solidFill>
                <a:schemeClr val="dk1"/>
              </a:solidFill>
              <a:latin typeface="+mn-lt"/>
              <a:ea typeface="+mn-ea"/>
              <a:cs typeface="+mn-cs"/>
            </a:rPr>
            <a:t>ot </a:t>
          </a:r>
          <a:r>
            <a:rPr lang="en-US" sz="1400" b="1" baseline="0">
              <a:solidFill>
                <a:schemeClr val="dk1"/>
              </a:solidFill>
              <a:latin typeface="+mn-lt"/>
              <a:ea typeface="+mn-ea"/>
              <a:cs typeface="+mn-cs"/>
            </a:rPr>
            <a:t>P</a:t>
          </a:r>
          <a:r>
            <a:rPr lang="en-US" sz="1400" baseline="0">
              <a:solidFill>
                <a:schemeClr val="dk1"/>
              </a:solidFill>
              <a:latin typeface="+mn-lt"/>
              <a:ea typeface="+mn-ea"/>
              <a:cs typeface="+mn-cs"/>
            </a:rPr>
            <a:t>laced) will </a:t>
          </a:r>
          <a:r>
            <a:rPr lang="en-US" sz="1400" u="sng" baseline="0">
              <a:solidFill>
                <a:schemeClr val="dk1"/>
              </a:solidFill>
              <a:latin typeface="+mn-lt"/>
              <a:ea typeface="+mn-ea"/>
              <a:cs typeface="+mn-cs"/>
            </a:rPr>
            <a:t>not be included in Vol. Placed (VP)</a:t>
          </a:r>
          <a:r>
            <a:rPr lang="en-US" sz="1400" baseline="0">
              <a:solidFill>
                <a:schemeClr val="dk1"/>
              </a:solidFill>
              <a:latin typeface="+mn-lt"/>
              <a:ea typeface="+mn-ea"/>
              <a:cs typeface="+mn-cs"/>
            </a:rPr>
            <a:t>. </a:t>
          </a:r>
        </a:p>
        <a:p>
          <a:r>
            <a:rPr lang="en-US" sz="1400" baseline="0">
              <a:solidFill>
                <a:schemeClr val="dk1"/>
              </a:solidFill>
              <a:latin typeface="+mn-lt"/>
              <a:ea typeface="+mn-ea"/>
              <a:cs typeface="+mn-cs"/>
            </a:rPr>
            <a:t>	  </a:t>
          </a:r>
          <a:endParaRPr lang="en-US" sz="1400">
            <a:solidFill>
              <a:schemeClr val="dk1"/>
            </a:solidFill>
            <a:latin typeface="+mn-lt"/>
            <a:ea typeface="+mn-ea"/>
            <a:cs typeface="+mn-cs"/>
          </a:endParaRPr>
        </a:p>
        <a:p>
          <a:r>
            <a:rPr lang="en-US" sz="1400" baseline="0">
              <a:solidFill>
                <a:schemeClr val="dk1"/>
              </a:solidFill>
              <a:latin typeface="+mn-lt"/>
              <a:ea typeface="+mn-ea"/>
              <a:cs typeface="+mn-cs"/>
            </a:rPr>
            <a:t>For 1st pumped truckload, LPH</a:t>
          </a:r>
          <a:r>
            <a:rPr lang="en-US" sz="1400" baseline="-25000">
              <a:solidFill>
                <a:schemeClr val="dk1"/>
              </a:solidFill>
              <a:latin typeface="+mn-lt"/>
              <a:ea typeface="+mn-ea"/>
              <a:cs typeface="+mn-cs"/>
            </a:rPr>
            <a:t>Before </a:t>
          </a:r>
          <a:r>
            <a:rPr lang="en-US" sz="1400" baseline="0">
              <a:solidFill>
                <a:schemeClr val="dk1"/>
              </a:solidFill>
              <a:latin typeface="+mn-lt"/>
              <a:ea typeface="+mn-ea"/>
              <a:cs typeface="+mn-cs"/>
            </a:rPr>
            <a:t> = 0.  In Excel, when Placement Method "Pump" cell AB22 is not blank (ex. "X" applied), the  LPH</a:t>
          </a:r>
          <a:r>
            <a:rPr lang="en-US" sz="1400" baseline="-25000">
              <a:solidFill>
                <a:schemeClr val="dk1"/>
              </a:solidFill>
              <a:latin typeface="+mn-lt"/>
              <a:ea typeface="+mn-ea"/>
              <a:cs typeface="+mn-cs"/>
            </a:rPr>
            <a:t>Before </a:t>
          </a:r>
          <a:r>
            <a:rPr lang="en-US" sz="1400" baseline="0">
              <a:solidFill>
                <a:schemeClr val="dk1"/>
              </a:solidFill>
              <a:latin typeface="+mn-lt"/>
              <a:ea typeface="+mn-ea"/>
              <a:cs typeface="+mn-cs"/>
            </a:rPr>
            <a:t> = 0 will automatically appear/be applied (0.00 in cell AJ51).  For the last truckload pumped, LPH</a:t>
          </a:r>
          <a:r>
            <a:rPr lang="en-US" sz="1400" baseline="-25000">
              <a:solidFill>
                <a:schemeClr val="dk1"/>
              </a:solidFill>
              <a:latin typeface="+mn-lt"/>
              <a:ea typeface="+mn-ea"/>
              <a:cs typeface="+mn-cs"/>
            </a:rPr>
            <a:t>After</a:t>
          </a:r>
          <a:r>
            <a:rPr lang="en-US" sz="1400" baseline="0">
              <a:solidFill>
                <a:schemeClr val="dk1"/>
              </a:solidFill>
              <a:latin typeface="+mn-lt"/>
              <a:ea typeface="+mn-ea"/>
              <a:cs typeface="+mn-cs"/>
            </a:rPr>
            <a:t>  is not placed and therefore is included as volume waste.  The placement LPH totals </a:t>
          </a:r>
          <a:r>
            <a:rPr lang="en-US" sz="1400" baseline="0">
              <a:solidFill>
                <a:schemeClr val="dk1"/>
              </a:solidFill>
              <a:effectLst/>
              <a:latin typeface="+mn-lt"/>
              <a:ea typeface="+mn-ea"/>
              <a:cs typeface="+mn-cs"/>
            </a:rPr>
            <a:t>(LPH</a:t>
          </a:r>
          <a:r>
            <a:rPr lang="en-US" sz="1400" baseline="-25000">
              <a:solidFill>
                <a:schemeClr val="dk1"/>
              </a:solidFill>
              <a:effectLst/>
              <a:latin typeface="+mn-lt"/>
              <a:ea typeface="+mn-ea"/>
              <a:cs typeface="+mn-cs"/>
            </a:rPr>
            <a:t>After</a:t>
          </a:r>
          <a:r>
            <a:rPr lang="en-US" sz="1400" baseline="0">
              <a:solidFill>
                <a:schemeClr val="dk1"/>
              </a:solidFill>
              <a:effectLst/>
              <a:latin typeface="+mn-lt"/>
              <a:ea typeface="+mn-ea"/>
              <a:cs typeface="+mn-cs"/>
            </a:rPr>
            <a:t>  - </a:t>
          </a:r>
          <a:r>
            <a:rPr lang="en-US" sz="1400">
              <a:solidFill>
                <a:schemeClr val="dk1"/>
              </a:solidFill>
              <a:effectLst/>
              <a:latin typeface="+mn-lt"/>
              <a:ea typeface="+mn-ea"/>
              <a:cs typeface="+mn-cs"/>
            </a:rPr>
            <a:t>LPH</a:t>
          </a:r>
          <a:r>
            <a:rPr lang="en-US" sz="1400" baseline="-25000">
              <a:solidFill>
                <a:schemeClr val="dk1"/>
              </a:solidFill>
              <a:effectLst/>
              <a:latin typeface="+mn-lt"/>
              <a:ea typeface="+mn-ea"/>
              <a:cs typeface="+mn-cs"/>
            </a:rPr>
            <a:t>before</a:t>
          </a:r>
          <a:r>
            <a:rPr lang="en-US" sz="1400" baseline="0">
              <a:solidFill>
                <a:schemeClr val="dk1"/>
              </a:solidFill>
              <a:latin typeface="+mn-lt"/>
              <a:ea typeface="+mn-ea"/>
              <a:cs typeface="+mn-cs"/>
            </a:rPr>
            <a:t> )  will be = the last pumped truck load's </a:t>
          </a:r>
          <a:r>
            <a:rPr lang="en-US" sz="1400" baseline="0">
              <a:solidFill>
                <a:schemeClr val="dk1"/>
              </a:solidFill>
              <a:effectLst/>
              <a:latin typeface="+mn-lt"/>
              <a:ea typeface="+mn-ea"/>
              <a:cs typeface="+mn-cs"/>
            </a:rPr>
            <a:t>LPH</a:t>
          </a:r>
          <a:r>
            <a:rPr lang="en-US" sz="1400" baseline="-25000">
              <a:solidFill>
                <a:schemeClr val="dk1"/>
              </a:solidFill>
              <a:effectLst/>
              <a:latin typeface="+mn-lt"/>
              <a:ea typeface="+mn-ea"/>
              <a:cs typeface="+mn-cs"/>
            </a:rPr>
            <a:t>After</a:t>
          </a:r>
          <a:r>
            <a:rPr lang="en-US" sz="1400" baseline="0">
              <a:solidFill>
                <a:schemeClr val="dk1"/>
              </a:solidFill>
              <a:effectLst/>
              <a:latin typeface="+mn-lt"/>
              <a:ea typeface="+mn-ea"/>
              <a:cs typeface="+mn-cs"/>
            </a:rPr>
            <a:t> volume.</a:t>
          </a:r>
          <a:endParaRPr lang="en-US" sz="1400" baseline="0">
            <a:solidFill>
              <a:schemeClr val="dk1"/>
            </a:solidFill>
            <a:latin typeface="+mn-lt"/>
            <a:ea typeface="+mn-ea"/>
            <a:cs typeface="+mn-cs"/>
          </a:endParaRPr>
        </a:p>
        <a:p>
          <a:r>
            <a:rPr lang="en-US" sz="1400" b="0" i="0">
              <a:solidFill>
                <a:schemeClr val="dk1"/>
              </a:solidFill>
              <a:latin typeface="+mn-lt"/>
              <a:ea typeface="+mn-ea"/>
              <a:cs typeface="+mn-cs"/>
            </a:rPr>
            <a:t>[Observe and estimate the total volume of the pump's hopper before placement start-up.  Check after every truck pour and estimate and record concrete volume Left in Pump Hopper.  When concrete overflows the top of casing, check volume immediately after concrete overflow and before casing removal.]</a:t>
          </a:r>
          <a:r>
            <a:rPr lang="en-US" sz="1400">
              <a:solidFill>
                <a:schemeClr val="dk1"/>
              </a:solidFill>
              <a:latin typeface="+mn-lt"/>
              <a:ea typeface="+mn-ea"/>
              <a:cs typeface="+mn-cs"/>
            </a:rPr>
            <a:t> </a:t>
          </a:r>
          <a:endParaRPr lang="en-US" sz="1400"/>
        </a:p>
        <a:p>
          <a:pPr marL="0" marR="0" indent="0" defTabSz="914400" eaLnBrk="1" fontAlgn="auto" latinLnBrk="0" hangingPunct="1">
            <a:lnSpc>
              <a:spcPct val="100000"/>
            </a:lnSpc>
            <a:spcBef>
              <a:spcPts val="0"/>
            </a:spcBef>
            <a:spcAft>
              <a:spcPts val="0"/>
            </a:spcAft>
            <a:buClrTx/>
            <a:buSzTx/>
            <a:buFontTx/>
            <a:buNone/>
            <a:tabLst/>
            <a:defRPr/>
          </a:pPr>
          <a:endParaRPr lang="en-US" sz="1200">
            <a:solidFill>
              <a:schemeClr val="dk1"/>
            </a:solidFill>
            <a:latin typeface="+mn-lt"/>
            <a:ea typeface="+mn-ea"/>
            <a:cs typeface="+mn-cs"/>
          </a:endParaRPr>
        </a:p>
        <a:p>
          <a:pPr eaLnBrk="1" fontAlgn="auto" latinLnBrk="0" hangingPunct="1"/>
          <a:r>
            <a:rPr lang="en-US" sz="1400" b="1">
              <a:solidFill>
                <a:schemeClr val="dk1"/>
              </a:solidFill>
              <a:latin typeface="+mn-lt"/>
              <a:ea typeface="+mn-ea"/>
              <a:cs typeface="+mn-cs"/>
            </a:rPr>
            <a:t>VW    Volume Waste    (cy)</a:t>
          </a:r>
        </a:p>
        <a:p>
          <a:pPr eaLnBrk="1" fontAlgn="auto" latinLnBrk="0" hangingPunct="1"/>
          <a:endParaRPr lang="en-US" sz="1400" b="1">
            <a:solidFill>
              <a:schemeClr val="dk1"/>
            </a:solidFill>
            <a:latin typeface="+mn-lt"/>
            <a:ea typeface="+mn-ea"/>
            <a:cs typeface="+mn-cs"/>
          </a:endParaRPr>
        </a:p>
        <a:p>
          <a:pPr eaLnBrk="1" fontAlgn="auto" latinLnBrk="0" hangingPunct="1"/>
          <a:r>
            <a:rPr lang="en-US" sz="1400">
              <a:solidFill>
                <a:schemeClr val="dk1"/>
              </a:solidFill>
              <a:latin typeface="+mn-lt"/>
              <a:ea typeface="+mn-ea"/>
              <a:cs typeface="+mn-cs"/>
            </a:rPr>
            <a:t>Volume</a:t>
          </a:r>
          <a:r>
            <a:rPr lang="en-US" sz="1400" baseline="0">
              <a:solidFill>
                <a:schemeClr val="dk1"/>
              </a:solidFill>
              <a:latin typeface="+mn-lt"/>
              <a:ea typeface="+mn-ea"/>
              <a:cs typeface="+mn-cs"/>
            </a:rPr>
            <a:t> Waste (VW) includes the sum of all waste applied to a placed truckload, or sheet [ (VW</a:t>
          </a:r>
          <a:r>
            <a:rPr lang="en-US" sz="1400" baseline="-25000">
              <a:solidFill>
                <a:schemeClr val="dk1"/>
              </a:solidFill>
              <a:latin typeface="+mn-lt"/>
              <a:ea typeface="+mn-ea"/>
              <a:cs typeface="+mn-cs"/>
            </a:rPr>
            <a:t>1,2,3 ...</a:t>
          </a:r>
          <a:r>
            <a:rPr lang="en-US" sz="1400" baseline="0">
              <a:solidFill>
                <a:schemeClr val="dk1"/>
              </a:solidFill>
              <a:latin typeface="+mn-lt"/>
              <a:ea typeface="+mn-ea"/>
              <a:cs typeface="+mn-cs"/>
            </a:rPr>
            <a:t>) for Pg. 1, 2, 3 ], or total placement (VW</a:t>
          </a:r>
          <a:r>
            <a:rPr lang="en-US" sz="1400" baseline="-25000">
              <a:solidFill>
                <a:schemeClr val="dk1"/>
              </a:solidFill>
              <a:latin typeface="+mn-lt"/>
              <a:ea typeface="+mn-ea"/>
              <a:cs typeface="+mn-cs"/>
            </a:rPr>
            <a:t>T</a:t>
          </a:r>
          <a:r>
            <a:rPr lang="en-US" sz="1400" baseline="0">
              <a:solidFill>
                <a:schemeClr val="dk1"/>
              </a:solidFill>
              <a:latin typeface="+mn-lt"/>
              <a:ea typeface="+mn-ea"/>
              <a:cs typeface="+mn-cs"/>
            </a:rPr>
            <a:t>) of all sheet truck loads, as follows:</a:t>
          </a:r>
        </a:p>
        <a:p>
          <a:pPr eaLnBrk="1" fontAlgn="auto" latinLnBrk="0" hangingPunct="1"/>
          <a:endParaRPr lang="en-US" sz="1400" baseline="0">
            <a:solidFill>
              <a:schemeClr val="dk1"/>
            </a:solidFill>
            <a:latin typeface="+mn-lt"/>
            <a:ea typeface="+mn-ea"/>
            <a:cs typeface="+mn-cs"/>
          </a:endParaRPr>
        </a:p>
        <a:p>
          <a:pPr eaLnBrk="1" fontAlgn="auto" latinLnBrk="0" hangingPunct="1"/>
          <a:r>
            <a:rPr lang="en-US" sz="1400" baseline="0">
              <a:solidFill>
                <a:schemeClr val="dk1"/>
              </a:solidFill>
              <a:latin typeface="+mn-lt"/>
              <a:ea typeface="+mn-ea"/>
              <a:cs typeface="+mn-cs"/>
            </a:rPr>
            <a:t>Pumped Concrete:            VW = (LPH</a:t>
          </a:r>
          <a:r>
            <a:rPr lang="en-US" sz="1400" baseline="-25000">
              <a:solidFill>
                <a:schemeClr val="dk1"/>
              </a:solidFill>
              <a:latin typeface="+mn-lt"/>
              <a:ea typeface="+mn-ea"/>
              <a:cs typeface="+mn-cs"/>
            </a:rPr>
            <a:t>After</a:t>
          </a:r>
          <a:r>
            <a:rPr lang="en-US" sz="1400" baseline="0">
              <a:solidFill>
                <a:schemeClr val="dk1"/>
              </a:solidFill>
              <a:latin typeface="+mn-lt"/>
              <a:ea typeface="+mn-ea"/>
              <a:cs typeface="+mn-cs"/>
            </a:rPr>
            <a:t>  - </a:t>
          </a:r>
          <a:r>
            <a:rPr lang="en-US" sz="1400">
              <a:solidFill>
                <a:schemeClr val="dk1"/>
              </a:solidFill>
              <a:effectLst/>
              <a:latin typeface="+mn-lt"/>
              <a:ea typeface="+mn-ea"/>
              <a:cs typeface="+mn-cs"/>
            </a:rPr>
            <a:t>LPH</a:t>
          </a:r>
          <a:r>
            <a:rPr lang="en-US" sz="1400" baseline="-25000">
              <a:solidFill>
                <a:schemeClr val="dk1"/>
              </a:solidFill>
              <a:effectLst/>
              <a:latin typeface="+mn-lt"/>
              <a:ea typeface="+mn-ea"/>
              <a:cs typeface="+mn-cs"/>
            </a:rPr>
            <a:t>before</a:t>
          </a:r>
          <a:r>
            <a:rPr lang="en-US" sz="1400" baseline="0">
              <a:solidFill>
                <a:schemeClr val="dk1"/>
              </a:solidFill>
              <a:latin typeface="+mn-lt"/>
              <a:ea typeface="+mn-ea"/>
              <a:cs typeface="+mn-cs"/>
            </a:rPr>
            <a:t>) +  Testing  +  Left in Truck  +  Left on Ground (Spillage)  +  Prime Lines</a:t>
          </a:r>
        </a:p>
        <a:p>
          <a:pPr eaLnBrk="1" fontAlgn="auto" latinLnBrk="0" hangingPunct="1"/>
          <a:endParaRPr lang="en-US" sz="1400"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400" baseline="0">
              <a:solidFill>
                <a:schemeClr val="dk1"/>
              </a:solidFill>
              <a:latin typeface="+mn-lt"/>
              <a:ea typeface="+mn-ea"/>
              <a:cs typeface="+mn-cs"/>
            </a:rPr>
            <a:t>No Pump (ex. tremie):     VW =  Testing  +  Left in Truck  +  Left on Ground (Spillage)</a:t>
          </a:r>
        </a:p>
        <a:p>
          <a:pPr eaLnBrk="1" fontAlgn="auto" latinLnBrk="0" hangingPunct="1"/>
          <a:endParaRPr lang="en-US" sz="1400" baseline="0">
            <a:solidFill>
              <a:schemeClr val="dk1"/>
            </a:solidFill>
            <a:latin typeface="+mn-lt"/>
            <a:ea typeface="+mn-ea"/>
            <a:cs typeface="+mn-cs"/>
          </a:endParaRPr>
        </a:p>
        <a:p>
          <a:pPr eaLnBrk="1" fontAlgn="auto" latinLnBrk="0" hangingPunct="1"/>
          <a:endParaRPr lang="en-US" sz="1400" baseline="0">
            <a:solidFill>
              <a:schemeClr val="dk1"/>
            </a:solidFill>
            <a:latin typeface="+mn-lt"/>
            <a:ea typeface="+mn-ea"/>
            <a:cs typeface="+mn-cs"/>
          </a:endParaRPr>
        </a:p>
        <a:p>
          <a:pPr eaLnBrk="1" fontAlgn="auto" latinLnBrk="0" hangingPunct="1"/>
          <a:r>
            <a:rPr lang="en-US" sz="1400" baseline="0">
              <a:solidFill>
                <a:schemeClr val="dk1"/>
              </a:solidFill>
              <a:latin typeface="+mn-lt"/>
              <a:ea typeface="+mn-ea"/>
              <a:cs typeface="+mn-cs"/>
            </a:rPr>
            <a:t>As noted above, LPH</a:t>
          </a:r>
          <a:r>
            <a:rPr lang="en-US" sz="1400" baseline="-25000">
              <a:solidFill>
                <a:schemeClr val="dk1"/>
              </a:solidFill>
              <a:latin typeface="+mn-lt"/>
              <a:ea typeface="+mn-ea"/>
              <a:cs typeface="+mn-cs"/>
            </a:rPr>
            <a:t>After</a:t>
          </a:r>
          <a:r>
            <a:rPr lang="en-US" sz="1400" baseline="0">
              <a:solidFill>
                <a:schemeClr val="dk1"/>
              </a:solidFill>
              <a:latin typeface="+mn-lt"/>
              <a:ea typeface="+mn-ea"/>
              <a:cs typeface="+mn-cs"/>
            </a:rPr>
            <a:t> - </a:t>
          </a:r>
          <a:r>
            <a:rPr lang="en-US" sz="1400">
              <a:solidFill>
                <a:schemeClr val="dk1"/>
              </a:solidFill>
              <a:effectLst/>
              <a:latin typeface="+mn-lt"/>
              <a:ea typeface="+mn-ea"/>
              <a:cs typeface="+mn-cs"/>
            </a:rPr>
            <a:t>LPH</a:t>
          </a:r>
          <a:r>
            <a:rPr lang="en-US" sz="1400" baseline="-25000">
              <a:solidFill>
                <a:schemeClr val="dk1"/>
              </a:solidFill>
              <a:effectLst/>
              <a:latin typeface="+mn-lt"/>
              <a:ea typeface="+mn-ea"/>
              <a:cs typeface="+mn-cs"/>
            </a:rPr>
            <a:t>before</a:t>
          </a:r>
          <a:r>
            <a:rPr lang="en-US" sz="1400" baseline="0">
              <a:solidFill>
                <a:schemeClr val="dk1"/>
              </a:solidFill>
              <a:latin typeface="+mn-lt"/>
              <a:ea typeface="+mn-ea"/>
              <a:cs typeface="+mn-cs"/>
            </a:rPr>
            <a:t> is included within VW calculations.  At the end of placement, the net difference between the sum total of all LHP</a:t>
          </a:r>
          <a:r>
            <a:rPr lang="en-US" sz="1400" baseline="-25000">
              <a:solidFill>
                <a:schemeClr val="dk1"/>
              </a:solidFill>
              <a:latin typeface="+mn-lt"/>
              <a:ea typeface="+mn-ea"/>
              <a:cs typeface="+mn-cs"/>
            </a:rPr>
            <a:t>After</a:t>
          </a:r>
          <a:r>
            <a:rPr lang="en-US" sz="1400" baseline="0">
              <a:solidFill>
                <a:schemeClr val="dk1"/>
              </a:solidFill>
              <a:latin typeface="+mn-lt"/>
              <a:ea typeface="+mn-ea"/>
              <a:cs typeface="+mn-cs"/>
            </a:rPr>
            <a:t> </a:t>
          </a:r>
          <a:r>
            <a:rPr lang="en-US" sz="1400" baseline="0">
              <a:solidFill>
                <a:schemeClr val="dk1"/>
              </a:solidFill>
              <a:effectLst/>
              <a:latin typeface="+mn-lt"/>
              <a:ea typeface="+mn-ea"/>
              <a:cs typeface="+mn-cs"/>
            </a:rPr>
            <a:t>- all LHP</a:t>
          </a:r>
          <a:r>
            <a:rPr lang="en-US" sz="1400" baseline="-25000">
              <a:solidFill>
                <a:schemeClr val="dk1"/>
              </a:solidFill>
              <a:effectLst/>
              <a:latin typeface="+mn-lt"/>
              <a:ea typeface="+mn-ea"/>
              <a:cs typeface="+mn-cs"/>
            </a:rPr>
            <a:t>Before  </a:t>
          </a:r>
          <a:r>
            <a:rPr lang="en-US" sz="1400" baseline="-25000">
              <a:solidFill>
                <a:schemeClr val="dk1"/>
              </a:solidFill>
              <a:latin typeface="+mn-lt"/>
              <a:ea typeface="+mn-ea"/>
              <a:cs typeface="+mn-cs"/>
            </a:rPr>
            <a:t> </a:t>
          </a:r>
          <a:r>
            <a:rPr lang="en-US" sz="1400" baseline="0">
              <a:solidFill>
                <a:schemeClr val="dk1"/>
              </a:solidFill>
              <a:latin typeface="+mn-lt"/>
              <a:ea typeface="+mn-ea"/>
              <a:cs typeface="+mn-cs"/>
            </a:rPr>
            <a:t>is considered as the LPH volume waste, which will be = to the last truckload's  LHP</a:t>
          </a:r>
          <a:r>
            <a:rPr lang="en-US" sz="1400" baseline="-25000">
              <a:solidFill>
                <a:schemeClr val="dk1"/>
              </a:solidFill>
              <a:latin typeface="+mn-lt"/>
              <a:ea typeface="+mn-ea"/>
              <a:cs typeface="+mn-cs"/>
            </a:rPr>
            <a:t>After</a:t>
          </a:r>
          <a:r>
            <a:rPr lang="en-US" sz="1400" baseline="0">
              <a:solidFill>
                <a:schemeClr val="dk1"/>
              </a:solidFill>
              <a:latin typeface="+mn-lt"/>
              <a:ea typeface="+mn-ea"/>
              <a:cs typeface="+mn-cs"/>
            </a:rPr>
            <a:t> volume.</a:t>
          </a:r>
          <a:endParaRPr lang="en-US" sz="1400"/>
        </a:p>
        <a:p>
          <a:pPr eaLnBrk="1" fontAlgn="auto" latinLnBrk="0" hangingPunct="1"/>
          <a:r>
            <a:rPr lang="en-US" sz="1200" baseline="0">
              <a:solidFill>
                <a:schemeClr val="dk1"/>
              </a:solidFill>
              <a:latin typeface="+mn-lt"/>
              <a:ea typeface="+mn-ea"/>
              <a:cs typeface="+mn-cs"/>
            </a:rPr>
            <a:t>			</a:t>
          </a:r>
        </a:p>
        <a:p>
          <a:r>
            <a:rPr lang="en-US" sz="1400" b="1">
              <a:solidFill>
                <a:schemeClr val="dk1"/>
              </a:solidFill>
              <a:latin typeface="+mn-lt"/>
              <a:ea typeface="+mn-ea"/>
              <a:cs typeface="+mn-cs"/>
            </a:rPr>
            <a:t>VL    Volume in Lines    (cy)</a:t>
          </a:r>
        </a:p>
        <a:p>
          <a:endParaRPr lang="en-US" sz="1400" b="1">
            <a:solidFill>
              <a:schemeClr val="dk1"/>
            </a:solidFill>
            <a:latin typeface="+mn-lt"/>
            <a:ea typeface="+mn-ea"/>
            <a:cs typeface="+mn-cs"/>
          </a:endParaRPr>
        </a:p>
        <a:p>
          <a:r>
            <a:rPr lang="en-US" sz="1400">
              <a:solidFill>
                <a:schemeClr val="dk1"/>
              </a:solidFill>
              <a:latin typeface="+mn-lt"/>
              <a:ea typeface="+mn-ea"/>
              <a:cs typeface="+mn-cs"/>
            </a:rPr>
            <a:t>Calculated total volume of all pump line(s).</a:t>
          </a:r>
          <a:r>
            <a:rPr lang="en-US" sz="1400" baseline="0">
              <a:solidFill>
                <a:schemeClr val="dk1"/>
              </a:solidFill>
              <a:latin typeface="+mn-lt"/>
              <a:ea typeface="+mn-ea"/>
              <a:cs typeface="+mn-cs"/>
            </a:rPr>
            <a:t>  This is the concrete volume required to initially fill all pump line(s), and is s</a:t>
          </a:r>
          <a:r>
            <a:rPr lang="en-US" sz="1400">
              <a:solidFill>
                <a:schemeClr val="dk1"/>
              </a:solidFill>
              <a:latin typeface="+mn-lt"/>
              <a:ea typeface="+mn-ea"/>
              <a:cs typeface="+mn-cs"/>
            </a:rPr>
            <a:t>ubtracted from t</a:t>
          </a:r>
          <a:r>
            <a:rPr lang="en-US" sz="1400" baseline="0">
              <a:solidFill>
                <a:schemeClr val="dk1"/>
              </a:solidFill>
              <a:latin typeface="+mn-lt"/>
              <a:ea typeface="+mn-ea"/>
              <a:cs typeface="+mn-cs"/>
            </a:rPr>
            <a:t>he 1st pumped truckload placed which </a:t>
          </a:r>
          <a:r>
            <a:rPr lang="en-US" sz="1400">
              <a:solidFill>
                <a:schemeClr val="dk1"/>
              </a:solidFill>
              <a:latin typeface="+mn-lt"/>
              <a:ea typeface="+mn-ea"/>
              <a:cs typeface="+mn-cs"/>
            </a:rPr>
            <a:t>is used to fill the pump lines (u</a:t>
          </a:r>
          <a:r>
            <a:rPr lang="en-US" sz="1400" baseline="0">
              <a:solidFill>
                <a:schemeClr val="dk1"/>
              </a:solidFill>
              <a:latin typeface="+mn-lt"/>
              <a:ea typeface="+mn-ea"/>
              <a:cs typeface="+mn-cs"/>
            </a:rPr>
            <a:t>sually the initial truckload delivered, unless the initial load is rejected).  VL only applies when concrete is pumped.</a:t>
          </a:r>
        </a:p>
        <a:p>
          <a:r>
            <a:rPr lang="en-US" sz="1400">
              <a:solidFill>
                <a:schemeClr val="dk1"/>
              </a:solidFill>
              <a:latin typeface="+mn-lt"/>
              <a:ea typeface="+mn-ea"/>
              <a:cs typeface="+mn-cs"/>
            </a:rPr>
            <a:t>If there are different diameter lines, the Pg 1 log sheet provides two (2) data input rows and VL</a:t>
          </a:r>
          <a:r>
            <a:rPr lang="en-US" sz="1400" baseline="0">
              <a:solidFill>
                <a:schemeClr val="dk1"/>
              </a:solidFill>
              <a:latin typeface="+mn-lt"/>
              <a:ea typeface="+mn-ea"/>
              <a:cs typeface="+mn-cs"/>
            </a:rPr>
            <a:t> </a:t>
          </a:r>
          <a:r>
            <a:rPr lang="en-US" sz="1400">
              <a:solidFill>
                <a:schemeClr val="dk1"/>
              </a:solidFill>
              <a:latin typeface="+mn-lt"/>
              <a:ea typeface="+mn-ea"/>
              <a:cs typeface="+mn-cs"/>
            </a:rPr>
            <a:t>calcs for the Pump Line(s).</a:t>
          </a:r>
          <a:r>
            <a:rPr lang="en-US" sz="1400" baseline="0">
              <a:solidFill>
                <a:schemeClr val="dk1"/>
              </a:solidFill>
              <a:latin typeface="+mn-lt"/>
              <a:ea typeface="+mn-ea"/>
              <a:cs typeface="+mn-cs"/>
            </a:rPr>
            <a:t> </a:t>
          </a:r>
          <a:r>
            <a:rPr lang="en-US" sz="1400">
              <a:solidFill>
                <a:schemeClr val="dk1"/>
              </a:solidFill>
              <a:latin typeface="+mn-lt"/>
              <a:ea typeface="+mn-ea"/>
              <a:cs typeface="+mn-cs"/>
            </a:rPr>
            <a:t> </a:t>
          </a:r>
          <a:endParaRPr lang="en-US" sz="1400"/>
        </a:p>
        <a:p>
          <a:r>
            <a:rPr lang="en-US" sz="1400" baseline="0">
              <a:solidFill>
                <a:schemeClr val="dk1"/>
              </a:solidFill>
              <a:latin typeface="+mn-lt"/>
              <a:ea typeface="+mn-ea"/>
              <a:cs typeface="+mn-cs"/>
            </a:rPr>
            <a:t>Note:   VL is accounted for on the initial truckload placement, as a VP reduction, and is NOT included as VW after that point.</a:t>
          </a:r>
          <a:r>
            <a:rPr lang="en-US" sz="1400">
              <a:solidFill>
                <a:schemeClr val="dk1"/>
              </a:solidFill>
              <a:latin typeface="+mn-lt"/>
              <a:ea typeface="+mn-ea"/>
              <a:cs typeface="+mn-cs"/>
            </a:rPr>
            <a:t> </a:t>
          </a:r>
          <a:endParaRPr lang="en-US" sz="1400"/>
        </a:p>
        <a:p>
          <a:pPr eaLnBrk="1" fontAlgn="auto" latinLnBrk="0" hangingPunct="1"/>
          <a:endParaRPr lang="en-US" sz="140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endParaRPr lang="en-US" sz="140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endParaRPr lang="en-US" sz="140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endParaRPr lang="en-US" sz="1200"/>
        </a:p>
        <a:p>
          <a:r>
            <a:rPr lang="en-US" sz="1200">
              <a:solidFill>
                <a:schemeClr val="dk1"/>
              </a:solidFill>
              <a:latin typeface="+mn-lt"/>
              <a:ea typeface="+mn-ea"/>
              <a:cs typeface="+mn-cs"/>
            </a:rPr>
            <a:t>	</a:t>
          </a:r>
          <a:endParaRPr lang="en-US" sz="1200"/>
        </a:p>
        <a:p>
          <a:endParaRPr lang="en-US" sz="1200"/>
        </a:p>
      </xdr:txBody>
    </xdr:sp>
    <xdr:clientData/>
  </xdr:twoCellAnchor>
  <xdr:twoCellAnchor>
    <xdr:from>
      <xdr:col>1</xdr:col>
      <xdr:colOff>0</xdr:colOff>
      <xdr:row>215</xdr:row>
      <xdr:rowOff>12700</xdr:rowOff>
    </xdr:from>
    <xdr:to>
      <xdr:col>62</xdr:col>
      <xdr:colOff>12700</xdr:colOff>
      <xdr:row>293</xdr:row>
      <xdr:rowOff>0</xdr:rowOff>
    </xdr:to>
    <xdr:sp macro="" textlink="">
      <xdr:nvSpPr>
        <xdr:cNvPr id="8" name="TextBox 7">
          <a:extLst>
            <a:ext uri="{FF2B5EF4-FFF2-40B4-BE49-F238E27FC236}">
              <a16:creationId xmlns:a16="http://schemas.microsoft.com/office/drawing/2014/main" id="{00000000-0008-0000-0800-000008000000}"/>
            </a:ext>
          </a:extLst>
        </xdr:cNvPr>
        <xdr:cNvSpPr txBox="1"/>
      </xdr:nvSpPr>
      <xdr:spPr>
        <a:xfrm>
          <a:off x="215900" y="32308800"/>
          <a:ext cx="10858500" cy="14846300"/>
        </a:xfrm>
        <a:prstGeom prst="rect">
          <a:avLst/>
        </a:prstGeom>
        <a:solidFill>
          <a:srgbClr val="FFFFF3"/>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800" b="1" i="0" u="sng" strike="noStrike">
              <a:solidFill>
                <a:schemeClr val="dk1"/>
              </a:solidFill>
              <a:latin typeface="+mn-lt"/>
              <a:ea typeface="+mn-ea"/>
              <a:cs typeface="+mn-cs"/>
            </a:rPr>
            <a:t>Volume Waste</a:t>
          </a:r>
          <a:r>
            <a:rPr lang="en-US" sz="1800" b="1" i="0" u="none" strike="noStrike">
              <a:solidFill>
                <a:schemeClr val="dk1"/>
              </a:solidFill>
              <a:latin typeface="+mn-lt"/>
              <a:ea typeface="+mn-ea"/>
              <a:cs typeface="+mn-cs"/>
            </a:rPr>
            <a:t>:</a:t>
          </a:r>
        </a:p>
        <a:p>
          <a:endParaRPr lang="en-US" sz="1800" b="1" i="0" u="none" strike="noStrike">
            <a:solidFill>
              <a:schemeClr val="dk1"/>
            </a:solidFill>
            <a:latin typeface="+mn-lt"/>
            <a:ea typeface="+mn-ea"/>
            <a:cs typeface="+mn-cs"/>
          </a:endParaRPr>
        </a:p>
        <a:p>
          <a:r>
            <a:rPr lang="en-US" sz="1600" b="0" i="0" u="sng" strike="noStrike">
              <a:solidFill>
                <a:schemeClr val="dk1"/>
              </a:solidFill>
              <a:latin typeface="+mn-lt"/>
              <a:ea typeface="+mn-ea"/>
              <a:cs typeface="+mn-cs"/>
            </a:rPr>
            <a:t>LPH Waste</a:t>
          </a:r>
          <a:r>
            <a:rPr lang="en-US" sz="1600" b="0" i="0" u="none" strike="noStrike">
              <a:solidFill>
                <a:schemeClr val="dk1"/>
              </a:solidFill>
              <a:latin typeface="+mn-lt"/>
              <a:ea typeface="+mn-ea"/>
              <a:cs typeface="+mn-cs"/>
            </a:rPr>
            <a:t>:</a:t>
          </a:r>
          <a:r>
            <a:rPr lang="en-US" sz="1600" b="0" i="0" u="sng" strike="noStrike">
              <a:solidFill>
                <a:schemeClr val="dk1"/>
              </a:solidFill>
              <a:latin typeface="+mn-lt"/>
              <a:ea typeface="+mn-ea"/>
              <a:cs typeface="+mn-cs"/>
            </a:rPr>
            <a:t> </a:t>
          </a:r>
        </a:p>
        <a:p>
          <a:r>
            <a:rPr lang="en-US" sz="1400" baseline="0">
              <a:solidFill>
                <a:schemeClr val="dk1"/>
              </a:solidFill>
              <a:effectLst/>
              <a:latin typeface="+mn-lt"/>
              <a:ea typeface="+mn-ea"/>
              <a:cs typeface="+mn-cs"/>
            </a:rPr>
            <a:t>LPH Vol. Waste = (LPH</a:t>
          </a:r>
          <a:r>
            <a:rPr lang="en-US" sz="1400" baseline="-25000">
              <a:solidFill>
                <a:schemeClr val="dk1"/>
              </a:solidFill>
              <a:effectLst/>
              <a:latin typeface="+mn-lt"/>
              <a:ea typeface="+mn-ea"/>
              <a:cs typeface="+mn-cs"/>
            </a:rPr>
            <a:t>After</a:t>
          </a:r>
          <a:r>
            <a:rPr lang="en-US" sz="1400" baseline="0">
              <a:solidFill>
                <a:schemeClr val="dk1"/>
              </a:solidFill>
              <a:effectLst/>
              <a:latin typeface="+mn-lt"/>
              <a:ea typeface="+mn-ea"/>
              <a:cs typeface="+mn-cs"/>
            </a:rPr>
            <a:t>  - </a:t>
          </a:r>
          <a:r>
            <a:rPr lang="en-US" sz="1400">
              <a:solidFill>
                <a:schemeClr val="dk1"/>
              </a:solidFill>
              <a:effectLst/>
              <a:latin typeface="+mn-lt"/>
              <a:ea typeface="+mn-ea"/>
              <a:cs typeface="+mn-cs"/>
            </a:rPr>
            <a:t>LPH</a:t>
          </a:r>
          <a:r>
            <a:rPr lang="en-US" sz="1400" baseline="-25000">
              <a:solidFill>
                <a:schemeClr val="dk1"/>
              </a:solidFill>
              <a:effectLst/>
              <a:latin typeface="+mn-lt"/>
              <a:ea typeface="+mn-ea"/>
              <a:cs typeface="+mn-cs"/>
            </a:rPr>
            <a:t>before</a:t>
          </a:r>
          <a:r>
            <a:rPr lang="en-US" sz="1400" baseline="0">
              <a:solidFill>
                <a:schemeClr val="dk1"/>
              </a:solidFill>
              <a:effectLst/>
              <a:latin typeface="+mn-lt"/>
              <a:ea typeface="+mn-ea"/>
              <a:cs typeface="+mn-cs"/>
            </a:rPr>
            <a:t>)</a:t>
          </a:r>
        </a:p>
        <a:p>
          <a:r>
            <a:rPr lang="en-US" sz="1400" baseline="0">
              <a:solidFill>
                <a:schemeClr val="dk1"/>
              </a:solidFill>
              <a:effectLst/>
              <a:latin typeface="+mn-lt"/>
              <a:ea typeface="+mn-ea"/>
              <a:cs typeface="+mn-cs"/>
            </a:rPr>
            <a:t>The Excel log tracks Pg. 1, 2 &amp; 3 VW and LPH, page by page.  However, the LPH and VW total on Pg. 1 complete the  balance sheet.  The LPH final true waste will always be - to the last truck load LPH</a:t>
          </a:r>
          <a:r>
            <a:rPr lang="en-US" sz="1400" baseline="-25000">
              <a:solidFill>
                <a:schemeClr val="dk1"/>
              </a:solidFill>
              <a:effectLst/>
              <a:latin typeface="+mn-lt"/>
              <a:ea typeface="+mn-ea"/>
              <a:cs typeface="+mn-cs"/>
            </a:rPr>
            <a:t>After</a:t>
          </a:r>
          <a:r>
            <a:rPr lang="en-US" sz="1400" baseline="0">
              <a:solidFill>
                <a:schemeClr val="dk1"/>
              </a:solidFill>
              <a:effectLst/>
              <a:latin typeface="+mn-lt"/>
              <a:ea typeface="+mn-ea"/>
              <a:cs typeface="+mn-cs"/>
            </a:rPr>
            <a:t>. </a:t>
          </a:r>
          <a:endParaRPr lang="en-US" sz="1400" b="0" i="0" u="sng" strike="noStrike">
            <a:solidFill>
              <a:schemeClr val="dk1"/>
            </a:solidFill>
            <a:latin typeface="+mn-lt"/>
            <a:ea typeface="+mn-ea"/>
            <a:cs typeface="+mn-cs"/>
          </a:endParaRPr>
        </a:p>
        <a:p>
          <a:endParaRPr lang="en-US" sz="1600" b="0" i="0" u="sng" strike="noStrike">
            <a:solidFill>
              <a:schemeClr val="dk1"/>
            </a:solidFill>
            <a:latin typeface="+mn-lt"/>
            <a:ea typeface="+mn-ea"/>
            <a:cs typeface="+mn-cs"/>
          </a:endParaRPr>
        </a:p>
        <a:p>
          <a:r>
            <a:rPr lang="en-US" sz="1600" b="0" i="0" u="sng" strike="noStrike">
              <a:solidFill>
                <a:schemeClr val="dk1"/>
              </a:solidFill>
              <a:latin typeface="+mn-lt"/>
              <a:ea typeface="+mn-ea"/>
              <a:cs typeface="+mn-cs"/>
            </a:rPr>
            <a:t>Testing</a:t>
          </a:r>
          <a:r>
            <a:rPr lang="en-US" sz="1600" b="0" i="0" u="none" strike="noStrike">
              <a:solidFill>
                <a:schemeClr val="dk1"/>
              </a:solidFill>
              <a:latin typeface="+mn-lt"/>
              <a:ea typeface="+mn-ea"/>
              <a:cs typeface="+mn-cs"/>
            </a:rPr>
            <a:t>:</a:t>
          </a:r>
        </a:p>
        <a:p>
          <a:r>
            <a:rPr lang="en-US" sz="1400" b="0" i="0" u="none" strike="noStrike">
              <a:solidFill>
                <a:schemeClr val="dk1"/>
              </a:solidFill>
              <a:latin typeface="+mn-lt"/>
              <a:ea typeface="+mn-ea"/>
              <a:cs typeface="+mn-cs"/>
            </a:rPr>
            <a:t>Concrete sample volume estimate </a:t>
          </a:r>
          <a:r>
            <a:rPr lang="en-US" sz="1400" b="0" i="0" u="none">
              <a:solidFill>
                <a:schemeClr val="dk1"/>
              </a:solidFill>
              <a:latin typeface="+mn-lt"/>
              <a:ea typeface="+mn-ea"/>
              <a:cs typeface="+mn-cs"/>
            </a:rPr>
            <a:t>for Slump &amp; Air testing, and molding</a:t>
          </a:r>
          <a:r>
            <a:rPr lang="en-US" sz="1400" b="0" i="0" u="none" baseline="0">
              <a:solidFill>
                <a:schemeClr val="dk1"/>
              </a:solidFill>
              <a:latin typeface="+mn-lt"/>
              <a:ea typeface="+mn-ea"/>
              <a:cs typeface="+mn-cs"/>
            </a:rPr>
            <a:t> 4x8 </a:t>
          </a:r>
          <a:r>
            <a:rPr lang="en-US" sz="1400" b="0" i="0" u="none">
              <a:solidFill>
                <a:schemeClr val="dk1"/>
              </a:solidFill>
              <a:latin typeface="+mn-lt"/>
              <a:ea typeface="+mn-ea"/>
              <a:cs typeface="+mn-cs"/>
            </a:rPr>
            <a:t>cylinders:</a:t>
          </a:r>
          <a:endParaRPr lang="en-US" sz="1400" b="0" i="0" u="none" strike="noStrike">
            <a:solidFill>
              <a:schemeClr val="dk1"/>
            </a:solidFill>
            <a:latin typeface="+mn-lt"/>
            <a:ea typeface="+mn-ea"/>
            <a:cs typeface="+mn-cs"/>
          </a:endParaRPr>
        </a:p>
        <a:p>
          <a:r>
            <a:rPr lang="en-US" sz="1400" b="0" i="0" u="none" strike="noStrike">
              <a:solidFill>
                <a:schemeClr val="dk1"/>
              </a:solidFill>
              <a:latin typeface="+mn-lt"/>
              <a:ea typeface="+mn-ea"/>
              <a:cs typeface="+mn-cs"/>
            </a:rPr>
            <a:t>A typical wheelbarrow concrete sample volume range for testing freshly mixed concrete &amp; molding cylinders would be </a:t>
          </a:r>
          <a:r>
            <a:rPr lang="en-US" sz="1400" b="0" i="0" u="none" strike="noStrike" baseline="0">
              <a:solidFill>
                <a:schemeClr val="dk1"/>
              </a:solidFill>
              <a:latin typeface="+mn-lt"/>
              <a:ea typeface="+mn-ea"/>
              <a:cs typeface="+mn-cs"/>
            </a:rPr>
            <a:t>approximately:   </a:t>
          </a:r>
          <a:r>
            <a:rPr lang="en-US" sz="1400" b="0" i="0" u="none" strike="noStrike">
              <a:solidFill>
                <a:schemeClr val="dk1"/>
              </a:solidFill>
              <a:latin typeface="+mn-lt"/>
              <a:ea typeface="+mn-ea"/>
              <a:cs typeface="+mn-cs"/>
            </a:rPr>
            <a:t>0.04</a:t>
          </a:r>
          <a:r>
            <a:rPr lang="en-US" sz="1400" b="0" i="0" u="none" strike="noStrike" baseline="0">
              <a:solidFill>
                <a:schemeClr val="dk1"/>
              </a:solidFill>
              <a:latin typeface="+mn-lt"/>
              <a:ea typeface="+mn-ea"/>
              <a:cs typeface="+mn-cs"/>
            </a:rPr>
            <a:t> - 0.10 </a:t>
          </a:r>
          <a:r>
            <a:rPr lang="en-US" sz="1400" b="0" i="0" u="none" strike="noStrike">
              <a:solidFill>
                <a:schemeClr val="dk1"/>
              </a:solidFill>
              <a:latin typeface="+mn-lt"/>
              <a:ea typeface="+mn-ea"/>
              <a:cs typeface="+mn-cs"/>
            </a:rPr>
            <a:t>cu yds  (1.0 - 2.7 cu ft)</a:t>
          </a:r>
        </a:p>
        <a:p>
          <a:r>
            <a:rPr lang="en-US" sz="1400" b="0" i="0" u="none" strike="noStrike">
              <a:solidFill>
                <a:schemeClr val="dk1"/>
              </a:solidFill>
              <a:latin typeface="+mn-lt"/>
              <a:ea typeface="+mn-ea"/>
              <a:cs typeface="+mn-cs"/>
            </a:rPr>
            <a:t> </a:t>
          </a:r>
        </a:p>
        <a:p>
          <a:r>
            <a:rPr lang="en-US" sz="1400" b="0" i="0" u="none" strike="noStrike">
              <a:solidFill>
                <a:schemeClr val="dk1"/>
              </a:solidFill>
              <a:latin typeface="+mn-lt"/>
              <a:ea typeface="+mn-ea"/>
              <a:cs typeface="+mn-cs"/>
            </a:rPr>
            <a:t>ASTM</a:t>
          </a:r>
          <a:r>
            <a:rPr lang="en-US" sz="1400" b="0" i="0" u="none" strike="noStrike" baseline="0">
              <a:solidFill>
                <a:schemeClr val="dk1"/>
              </a:solidFill>
              <a:latin typeface="+mn-lt"/>
              <a:ea typeface="+mn-ea"/>
              <a:cs typeface="+mn-cs"/>
            </a:rPr>
            <a:t> C172 recommends a minimum concrete sample size of 1.0 cu ft (approx. 0.04 cu yds) for strength testing.</a:t>
          </a:r>
        </a:p>
        <a:p>
          <a:endParaRPr lang="en-US" sz="1400" b="0" i="0" u="none" strike="noStrike" baseline="0">
            <a:solidFill>
              <a:schemeClr val="dk1"/>
            </a:solidFill>
            <a:latin typeface="+mn-lt"/>
            <a:ea typeface="+mn-ea"/>
            <a:cs typeface="+mn-cs"/>
          </a:endParaRPr>
        </a:p>
        <a:p>
          <a:r>
            <a:rPr lang="en-US" sz="1400" b="0" i="0" u="none" strike="noStrike" baseline="0">
              <a:solidFill>
                <a:schemeClr val="dk1"/>
              </a:solidFill>
              <a:latin typeface="+mn-lt"/>
              <a:ea typeface="+mn-ea"/>
              <a:cs typeface="+mn-cs"/>
            </a:rPr>
            <a:t>Based on the Air &amp; Slump test bowl volumes, and 4x8 cylinder volumes, the 0.04 cu yds should be enough concrete volume (unless sample waste is excessive) to perform the Air &amp; Slump testing on the freshly mixed concrete, and mold the required cylinders (ex. the 3 required acceptance cylinders, and a few early break cylinders, as needed).</a:t>
          </a:r>
        </a:p>
        <a:p>
          <a:endParaRPr lang="en-US" sz="1400" b="0" i="0" u="none" strike="noStrike" baseline="0">
            <a:solidFill>
              <a:schemeClr val="dk1"/>
            </a:solidFill>
            <a:latin typeface="+mn-lt"/>
            <a:ea typeface="+mn-ea"/>
            <a:cs typeface="+mn-cs"/>
          </a:endParaRPr>
        </a:p>
        <a:p>
          <a:r>
            <a:rPr lang="en-US" sz="1400" b="0" i="0">
              <a:solidFill>
                <a:schemeClr val="dk1"/>
              </a:solidFill>
              <a:latin typeface="+mn-lt"/>
              <a:ea typeface="+mn-ea"/>
              <a:cs typeface="+mn-cs"/>
            </a:rPr>
            <a:t>A</a:t>
          </a:r>
          <a:r>
            <a:rPr lang="en-US" sz="1400" b="0" i="0" baseline="0">
              <a:solidFill>
                <a:schemeClr val="dk1"/>
              </a:solidFill>
              <a:latin typeface="+mn-lt"/>
              <a:ea typeface="+mn-ea"/>
              <a:cs typeface="+mn-cs"/>
            </a:rPr>
            <a:t>n</a:t>
          </a:r>
          <a:r>
            <a:rPr lang="en-US" sz="1400" b="0" i="0">
              <a:solidFill>
                <a:schemeClr val="dk1"/>
              </a:solidFill>
              <a:latin typeface="+mn-lt"/>
              <a:ea typeface="+mn-ea"/>
              <a:cs typeface="+mn-cs"/>
            </a:rPr>
            <a:t> inspector could determine and record </a:t>
          </a:r>
          <a:r>
            <a:rPr lang="en-US" sz="1400" b="0" i="0" baseline="0">
              <a:solidFill>
                <a:schemeClr val="dk1"/>
              </a:solidFill>
              <a:latin typeface="+mn-lt"/>
              <a:ea typeface="+mn-ea"/>
              <a:cs typeface="+mn-cs"/>
            </a:rPr>
            <a:t>a sample volume size  &gt;  0.10 cu yds, if justified by their concrete sampling observations and experience.</a:t>
          </a:r>
        </a:p>
        <a:p>
          <a:endParaRPr lang="en-US" sz="1400" b="0" i="0" baseline="0">
            <a:solidFill>
              <a:schemeClr val="dk1"/>
            </a:solidFill>
            <a:latin typeface="+mn-lt"/>
            <a:ea typeface="+mn-ea"/>
            <a:cs typeface="+mn-cs"/>
          </a:endParaRPr>
        </a:p>
        <a:p>
          <a:endParaRPr lang="en-US" sz="1400" b="0" i="0" baseline="0">
            <a:solidFill>
              <a:schemeClr val="dk1"/>
            </a:solidFill>
            <a:latin typeface="+mn-lt"/>
            <a:ea typeface="+mn-ea"/>
            <a:cs typeface="+mn-cs"/>
          </a:endParaRPr>
        </a:p>
        <a:p>
          <a:r>
            <a:rPr lang="en-US" sz="1600" u="sng">
              <a:solidFill>
                <a:schemeClr val="dk1"/>
              </a:solidFill>
              <a:latin typeface="+mn-lt"/>
              <a:ea typeface="+mn-ea"/>
              <a:cs typeface="+mn-cs"/>
            </a:rPr>
            <a:t>Left in Truck</a:t>
          </a:r>
          <a:r>
            <a:rPr lang="en-US" sz="1600" u="none">
              <a:solidFill>
                <a:schemeClr val="dk1"/>
              </a:solidFill>
              <a:latin typeface="+mn-lt"/>
              <a:ea typeface="+mn-ea"/>
              <a:cs typeface="+mn-cs"/>
            </a:rPr>
            <a:t>:</a:t>
          </a:r>
        </a:p>
        <a:p>
          <a:r>
            <a:rPr lang="en-US" sz="1400" u="none">
              <a:solidFill>
                <a:schemeClr val="dk1"/>
              </a:solidFill>
              <a:latin typeface="+mn-lt"/>
              <a:ea typeface="+mn-ea"/>
              <a:cs typeface="+mn-cs"/>
            </a:rPr>
            <a:t>Portion of a truckload (usually the</a:t>
          </a:r>
          <a:r>
            <a:rPr lang="en-US" sz="1400" u="none" baseline="0">
              <a:solidFill>
                <a:schemeClr val="dk1"/>
              </a:solidFill>
              <a:latin typeface="+mn-lt"/>
              <a:ea typeface="+mn-ea"/>
              <a:cs typeface="+mn-cs"/>
            </a:rPr>
            <a:t> l</a:t>
          </a:r>
          <a:r>
            <a:rPr lang="en-US" sz="1400" u="none">
              <a:solidFill>
                <a:schemeClr val="dk1"/>
              </a:solidFill>
              <a:latin typeface="+mn-lt"/>
              <a:ea typeface="+mn-ea"/>
              <a:cs typeface="+mn-cs"/>
            </a:rPr>
            <a:t>ast truck only) that is not discharged from the truck by the end of placement.</a:t>
          </a:r>
        </a:p>
        <a:p>
          <a:endParaRPr lang="en-US" sz="1400" b="0" i="0" baseline="0">
            <a:solidFill>
              <a:schemeClr val="dk1"/>
            </a:solidFill>
            <a:latin typeface="+mn-lt"/>
            <a:ea typeface="+mn-ea"/>
            <a:cs typeface="+mn-cs"/>
          </a:endParaRPr>
        </a:p>
        <a:p>
          <a:endParaRPr lang="en-US" sz="1400" b="0" i="0" baseline="0">
            <a:solidFill>
              <a:schemeClr val="dk1"/>
            </a:solidFill>
            <a:latin typeface="+mn-lt"/>
            <a:ea typeface="+mn-ea"/>
            <a:cs typeface="+mn-cs"/>
          </a:endParaRPr>
        </a:p>
        <a:p>
          <a:r>
            <a:rPr lang="en-US" sz="1600" b="0" i="0" u="sng">
              <a:solidFill>
                <a:schemeClr val="dk1"/>
              </a:solidFill>
              <a:latin typeface="+mn-lt"/>
              <a:ea typeface="+mn-ea"/>
              <a:cs typeface="+mn-cs"/>
            </a:rPr>
            <a:t>Left on Ground</a:t>
          </a:r>
          <a:r>
            <a:rPr lang="en-US" sz="1600" b="0" i="0" u="none">
              <a:solidFill>
                <a:schemeClr val="dk1"/>
              </a:solidFill>
              <a:latin typeface="+mn-lt"/>
              <a:ea typeface="+mn-ea"/>
              <a:cs typeface="+mn-cs"/>
            </a:rPr>
            <a:t>:</a:t>
          </a:r>
          <a:endParaRPr lang="en-US" sz="1600" u="none"/>
        </a:p>
        <a:p>
          <a:r>
            <a:rPr lang="en-US" sz="1400" b="0" i="0">
              <a:solidFill>
                <a:schemeClr val="dk1"/>
              </a:solidFill>
              <a:latin typeface="+mn-lt"/>
              <a:ea typeface="+mn-ea"/>
              <a:cs typeface="+mn-cs"/>
            </a:rPr>
            <a:t>Observe and estimate volume "spillage" left on the ground (cy) during the </a:t>
          </a:r>
          <a:r>
            <a:rPr lang="en-US" sz="1400" b="0" i="0" u="none">
              <a:solidFill>
                <a:schemeClr val="dk1"/>
              </a:solidFill>
              <a:latin typeface="+mn-lt"/>
              <a:ea typeface="+mn-ea"/>
              <a:cs typeface="+mn-cs"/>
            </a:rPr>
            <a:t>CURRENT </a:t>
          </a:r>
          <a:r>
            <a:rPr lang="en-US" sz="1400" b="0" i="0">
              <a:solidFill>
                <a:schemeClr val="dk1"/>
              </a:solidFill>
              <a:latin typeface="+mn-lt"/>
              <a:ea typeface="+mn-ea"/>
              <a:cs typeface="+mn-cs"/>
            </a:rPr>
            <a:t>truckload placement.  Exclude Prime Lines waste volume that went to ground, or any other concrete waste that was already on the ground from other truckload</a:t>
          </a:r>
          <a:r>
            <a:rPr lang="en-US" sz="1400" b="0" i="0" baseline="0">
              <a:solidFill>
                <a:schemeClr val="dk1"/>
              </a:solidFill>
              <a:latin typeface="+mn-lt"/>
              <a:ea typeface="+mn-ea"/>
              <a:cs typeface="+mn-cs"/>
            </a:rPr>
            <a:t> placements.</a:t>
          </a:r>
          <a:endParaRPr lang="en-US" sz="1400">
            <a:solidFill>
              <a:schemeClr val="dk1"/>
            </a:solidFill>
            <a:latin typeface="+mn-lt"/>
            <a:ea typeface="+mn-ea"/>
            <a:cs typeface="+mn-cs"/>
          </a:endParaRPr>
        </a:p>
        <a:p>
          <a:endParaRPr lang="en-US" sz="1400"/>
        </a:p>
        <a:p>
          <a:endParaRPr lang="en-US" sz="1400"/>
        </a:p>
        <a:p>
          <a:r>
            <a:rPr lang="en-US" sz="1600" u="sng">
              <a:solidFill>
                <a:schemeClr val="dk1"/>
              </a:solidFill>
              <a:latin typeface="+mn-lt"/>
              <a:ea typeface="+mn-ea"/>
              <a:cs typeface="+mn-cs"/>
            </a:rPr>
            <a:t>Prime Lines</a:t>
          </a:r>
          <a:r>
            <a:rPr lang="en-US" sz="1600" u="none">
              <a:solidFill>
                <a:schemeClr val="dk1"/>
              </a:solidFill>
              <a:latin typeface="+mn-lt"/>
              <a:ea typeface="+mn-ea"/>
              <a:cs typeface="+mn-cs"/>
            </a:rPr>
            <a:t>:</a:t>
          </a:r>
        </a:p>
        <a:p>
          <a:r>
            <a:rPr lang="en-US" sz="1400">
              <a:solidFill>
                <a:schemeClr val="dk1"/>
              </a:solidFill>
              <a:latin typeface="+mn-lt"/>
              <a:ea typeface="+mn-ea"/>
              <a:cs typeface="+mn-cs"/>
            </a:rPr>
            <a:t>Concrete volume is pumped initially  to fill &amp; prime the pump line(s).  The "Prime Lines" portion is the volume that is wasted to the ground [estimate volume (cy) left on the ground].</a:t>
          </a:r>
          <a:endParaRPr lang="en-US" sz="1400"/>
        </a:p>
        <a:p>
          <a:r>
            <a:rPr lang="en-US" sz="1400">
              <a:solidFill>
                <a:schemeClr val="dk1"/>
              </a:solidFill>
              <a:latin typeface="+mn-lt"/>
              <a:ea typeface="+mn-ea"/>
              <a:cs typeface="+mn-cs"/>
            </a:rPr>
            <a:t>Note:  If the pump's vol./pump stroke was  known, the pump stroke count (as concrete is wasted to ground)</a:t>
          </a:r>
          <a:r>
            <a:rPr lang="en-US" sz="1400" baseline="0">
              <a:solidFill>
                <a:schemeClr val="dk1"/>
              </a:solidFill>
              <a:latin typeface="+mn-lt"/>
              <a:ea typeface="+mn-ea"/>
              <a:cs typeface="+mn-cs"/>
            </a:rPr>
            <a:t> </a:t>
          </a:r>
          <a:r>
            <a:rPr lang="en-US" sz="1400">
              <a:solidFill>
                <a:schemeClr val="dk1"/>
              </a:solidFill>
              <a:latin typeface="+mn-lt"/>
              <a:ea typeface="+mn-ea"/>
              <a:cs typeface="+mn-cs"/>
            </a:rPr>
            <a:t>would allow the inspector to calculate a more accurate Prime</a:t>
          </a:r>
          <a:r>
            <a:rPr lang="en-US" sz="1400" baseline="0">
              <a:solidFill>
                <a:schemeClr val="dk1"/>
              </a:solidFill>
              <a:latin typeface="+mn-lt"/>
              <a:ea typeface="+mn-ea"/>
              <a:cs typeface="+mn-cs"/>
            </a:rPr>
            <a:t> Lines </a:t>
          </a:r>
          <a:r>
            <a:rPr lang="en-US" sz="1400">
              <a:solidFill>
                <a:schemeClr val="dk1"/>
              </a:solidFill>
              <a:latin typeface="+mn-lt"/>
              <a:ea typeface="+mn-ea"/>
              <a:cs typeface="+mn-cs"/>
            </a:rPr>
            <a:t>waste volume</a:t>
          </a:r>
          <a:r>
            <a:rPr lang="en-US" sz="1400" baseline="0">
              <a:solidFill>
                <a:schemeClr val="dk1"/>
              </a:solidFill>
              <a:latin typeface="+mn-lt"/>
              <a:ea typeface="+mn-ea"/>
              <a:cs typeface="+mn-cs"/>
            </a:rPr>
            <a:t> </a:t>
          </a:r>
          <a:r>
            <a:rPr lang="en-US" sz="1400">
              <a:solidFill>
                <a:schemeClr val="dk1"/>
              </a:solidFill>
              <a:latin typeface="+mn-lt"/>
              <a:ea typeface="+mn-ea"/>
              <a:cs typeface="+mn-cs"/>
            </a:rPr>
            <a:t>estimate.</a:t>
          </a:r>
          <a:endParaRPr lang="en-US" sz="1400"/>
        </a:p>
        <a:p>
          <a:endParaRPr lang="en-US" sz="1200"/>
        </a:p>
        <a:p>
          <a:endParaRPr lang="en-US" sz="1200"/>
        </a:p>
        <a:p>
          <a:endParaRPr lang="en-US" sz="1200"/>
        </a:p>
        <a:p>
          <a:r>
            <a:rPr lang="en-US" sz="1800" b="1" u="sng">
              <a:solidFill>
                <a:schemeClr val="dk1"/>
              </a:solidFill>
              <a:latin typeface="+mn-lt"/>
              <a:ea typeface="+mn-ea"/>
              <a:cs typeface="+mn-cs"/>
            </a:rPr>
            <a:t>"REJECTED" &amp; "Not Placed" truck loads (column cells "Lxx"):</a:t>
          </a:r>
        </a:p>
        <a:p>
          <a:r>
            <a:rPr lang="en-US" sz="1400" baseline="0">
              <a:solidFill>
                <a:schemeClr val="dk1"/>
              </a:solidFill>
              <a:latin typeface="+mn-lt"/>
              <a:ea typeface="+mn-ea"/>
              <a:cs typeface="+mn-cs"/>
            </a:rPr>
            <a:t>When utilizing this Excel Concrete Placement log (form 70001089  Pg. 1, 2, &amp; 3 tab sheets) on a computer:</a:t>
          </a:r>
        </a:p>
        <a:p>
          <a:endParaRPr lang="en-US" sz="1400">
            <a:solidFill>
              <a:schemeClr val="dk1"/>
            </a:solidFill>
            <a:latin typeface="+mn-lt"/>
            <a:ea typeface="+mn-ea"/>
            <a:cs typeface="+mn-cs"/>
          </a:endParaRPr>
        </a:p>
        <a:p>
          <a:r>
            <a:rPr lang="en-US" sz="1400">
              <a:solidFill>
                <a:schemeClr val="dk1"/>
              </a:solidFill>
              <a:latin typeface="+mn-lt"/>
              <a:ea typeface="+mn-ea"/>
              <a:cs typeface="+mn-cs"/>
            </a:rPr>
            <a:t>If a truck load of concrete is inspected an</a:t>
          </a:r>
          <a:r>
            <a:rPr lang="en-US" sz="1400" u="none">
              <a:solidFill>
                <a:schemeClr val="dk1"/>
              </a:solidFill>
              <a:latin typeface="+mn-lt"/>
              <a:ea typeface="+mn-ea"/>
              <a:cs typeface="+mn-cs"/>
            </a:rPr>
            <a:t>d </a:t>
          </a:r>
          <a:r>
            <a:rPr lang="en-US" sz="1400" u="sng">
              <a:solidFill>
                <a:schemeClr val="dk1"/>
              </a:solidFill>
              <a:latin typeface="+mn-lt"/>
              <a:ea typeface="+mn-ea"/>
              <a:cs typeface="+mn-cs"/>
            </a:rPr>
            <a:t>REJECTED</a:t>
          </a:r>
          <a:r>
            <a:rPr lang="en-US" sz="1400">
              <a:solidFill>
                <a:schemeClr val="dk1"/>
              </a:solidFill>
              <a:latin typeface="+mn-lt"/>
              <a:ea typeface="+mn-ea"/>
              <a:cs typeface="+mn-cs"/>
            </a:rPr>
            <a:t> (ex. failed tests) </a:t>
          </a:r>
          <a:r>
            <a:rPr lang="en-US" sz="1400" u="sng">
              <a:solidFill>
                <a:schemeClr val="dk1"/>
              </a:solidFill>
              <a:latin typeface="+mn-lt"/>
              <a:ea typeface="+mn-ea"/>
              <a:cs typeface="+mn-cs"/>
            </a:rPr>
            <a:t>or</a:t>
          </a:r>
          <a:r>
            <a:rPr lang="en-US" sz="1400">
              <a:solidFill>
                <a:schemeClr val="dk1"/>
              </a:solidFill>
              <a:latin typeface="+mn-lt"/>
              <a:ea typeface="+mn-ea"/>
              <a:cs typeface="+mn-cs"/>
            </a:rPr>
            <a:t> </a:t>
          </a:r>
          <a:r>
            <a:rPr lang="en-US" sz="1400" u="sng">
              <a:solidFill>
                <a:schemeClr val="dk1"/>
              </a:solidFill>
              <a:latin typeface="+mn-lt"/>
              <a:ea typeface="+mn-ea"/>
              <a:cs typeface="+mn-cs"/>
            </a:rPr>
            <a:t>Not Placed</a:t>
          </a:r>
          <a:r>
            <a:rPr lang="en-US" sz="1400">
              <a:solidFill>
                <a:schemeClr val="dk1"/>
              </a:solidFill>
              <a:latin typeface="+mn-lt"/>
              <a:ea typeface="+mn-ea"/>
              <a:cs typeface="+mn-cs"/>
            </a:rPr>
            <a:t> (ex. not needed) </a:t>
          </a:r>
          <a:r>
            <a:rPr lang="en-US" sz="1400" baseline="0">
              <a:solidFill>
                <a:schemeClr val="dk1"/>
              </a:solidFill>
              <a:latin typeface="+mn-lt"/>
              <a:ea typeface="+mn-ea"/>
              <a:cs typeface="+mn-cs"/>
            </a:rPr>
            <a:t>under the "Start Time or REJECTED or Not Placed" column (3rd column on table), </a:t>
          </a:r>
          <a:r>
            <a:rPr lang="en-US" sz="1400">
              <a:solidFill>
                <a:schemeClr val="dk1"/>
              </a:solidFill>
              <a:latin typeface="+mn-lt"/>
              <a:ea typeface="+mn-ea"/>
              <a:cs typeface="+mn-cs"/>
            </a:rPr>
            <a:t>click</a:t>
          </a:r>
          <a:r>
            <a:rPr lang="en-US" sz="1400" baseline="0">
              <a:solidFill>
                <a:schemeClr val="dk1"/>
              </a:solidFill>
              <a:latin typeface="+mn-lt"/>
              <a:ea typeface="+mn-ea"/>
              <a:cs typeface="+mn-cs"/>
            </a:rPr>
            <a:t> on the "Lxx" cell  for that truck delivery, and click on to select either "</a:t>
          </a:r>
          <a:r>
            <a:rPr lang="en-US" sz="1400" u="none" baseline="0">
              <a:solidFill>
                <a:schemeClr val="dk1"/>
              </a:solidFill>
              <a:latin typeface="+mn-lt"/>
              <a:ea typeface="+mn-ea"/>
              <a:cs typeface="+mn-cs"/>
            </a:rPr>
            <a:t>REJECTED</a:t>
          </a:r>
          <a:r>
            <a:rPr lang="en-US" sz="1400" baseline="0">
              <a:solidFill>
                <a:schemeClr val="dk1"/>
              </a:solidFill>
              <a:latin typeface="+mn-lt"/>
              <a:ea typeface="+mn-ea"/>
              <a:cs typeface="+mn-cs"/>
            </a:rPr>
            <a:t>" or "Not Placed", as applicable, from the drop-down list  ( the cell Lxx drop-down lists include only 2-items to select from -  "REJECTED"  or "Not Placed").  To highlight that a truck load is REJECTED or Not Placed, in the cell, "REJECTED" or "Not Placed" is conditionally formatted to then automatically appear in red font when either "REJECTED" or "Not Placed"  is applied.  This allows the inspector to maintain a full record of all truck load deliveries. </a:t>
          </a:r>
          <a:endParaRPr lang="en-US" sz="1400">
            <a:solidFill>
              <a:schemeClr val="dk1"/>
            </a:solidFill>
            <a:latin typeface="+mn-lt"/>
            <a:ea typeface="+mn-ea"/>
            <a:cs typeface="+mn-cs"/>
          </a:endParaRPr>
        </a:p>
        <a:p>
          <a:r>
            <a:rPr lang="en-US" sz="1400" baseline="0">
              <a:solidFill>
                <a:schemeClr val="dk1"/>
              </a:solidFill>
              <a:latin typeface="+mn-lt"/>
              <a:ea typeface="+mn-ea"/>
              <a:cs typeface="+mn-cs"/>
            </a:rPr>
            <a:t>Also, for a REJECTED  or Not Placed truck loads, on the same truck delivery row of input data, </a:t>
          </a:r>
          <a:r>
            <a:rPr lang="en-US" sz="1400">
              <a:solidFill>
                <a:schemeClr val="dk1"/>
              </a:solidFill>
              <a:latin typeface="+mn-lt"/>
              <a:ea typeface="+mn-ea"/>
              <a:cs typeface="+mn-cs"/>
            </a:rPr>
            <a:t>record the </a:t>
          </a:r>
          <a:r>
            <a:rPr lang="en-US" sz="1400" u="sng">
              <a:solidFill>
                <a:schemeClr val="dk1"/>
              </a:solidFill>
              <a:latin typeface="+mn-lt"/>
              <a:ea typeface="+mn-ea"/>
              <a:cs typeface="+mn-cs"/>
            </a:rPr>
            <a:t>Truck No</a:t>
          </a:r>
          <a:r>
            <a:rPr lang="en-US" sz="1400">
              <a:solidFill>
                <a:schemeClr val="dk1"/>
              </a:solidFill>
              <a:latin typeface="+mn-lt"/>
              <a:ea typeface="+mn-ea"/>
              <a:cs typeface="+mn-cs"/>
            </a:rPr>
            <a:t>.  </a:t>
          </a:r>
          <a:r>
            <a:rPr lang="en-US" sz="1400" u="sng">
              <a:solidFill>
                <a:schemeClr val="dk1"/>
              </a:solidFill>
              <a:latin typeface="+mn-lt"/>
              <a:ea typeface="+mn-ea"/>
              <a:cs typeface="+mn-cs"/>
            </a:rPr>
            <a:t>and</a:t>
          </a:r>
          <a:r>
            <a:rPr lang="en-US" sz="1400" u="none">
              <a:solidFill>
                <a:schemeClr val="dk1"/>
              </a:solidFill>
              <a:latin typeface="+mn-lt"/>
              <a:ea typeface="+mn-ea"/>
              <a:cs typeface="+mn-cs"/>
            </a:rPr>
            <a:t>  input the rejected truck's </a:t>
          </a:r>
          <a:r>
            <a:rPr lang="en-US" sz="1400" u="sng">
              <a:solidFill>
                <a:schemeClr val="dk1"/>
              </a:solidFill>
              <a:latin typeface="+mn-lt"/>
              <a:ea typeface="+mn-ea"/>
              <a:cs typeface="+mn-cs"/>
            </a:rPr>
            <a:t>Volume Delivered (VD) </a:t>
          </a:r>
          <a:r>
            <a:rPr lang="en-US" sz="1400" baseline="0">
              <a:solidFill>
                <a:schemeClr val="dk1"/>
              </a:solidFill>
              <a:latin typeface="+mn-lt"/>
              <a:ea typeface="+mn-ea"/>
              <a:cs typeface="+mn-cs"/>
            </a:rPr>
            <a:t>(cy).  T</a:t>
          </a:r>
          <a:r>
            <a:rPr lang="en-US" sz="1400">
              <a:solidFill>
                <a:schemeClr val="dk1"/>
              </a:solidFill>
              <a:latin typeface="+mn-lt"/>
              <a:ea typeface="+mn-ea"/>
              <a:cs typeface="+mn-cs"/>
            </a:rPr>
            <a:t>he</a:t>
          </a:r>
          <a:r>
            <a:rPr lang="en-US" sz="1400" baseline="0">
              <a:solidFill>
                <a:schemeClr val="dk1"/>
              </a:solidFill>
              <a:latin typeface="+mn-lt"/>
              <a:ea typeface="+mn-ea"/>
              <a:cs typeface="+mn-cs"/>
            </a:rPr>
            <a:t> sheet uses the "REJECTED" or "Not Placed" input into cell Lxx to automatically adjust the:  LPH</a:t>
          </a:r>
          <a:r>
            <a:rPr lang="en-US" sz="1400" baseline="-25000">
              <a:solidFill>
                <a:schemeClr val="dk1"/>
              </a:solidFill>
              <a:latin typeface="+mn-lt"/>
              <a:ea typeface="+mn-ea"/>
              <a:cs typeface="+mn-cs"/>
            </a:rPr>
            <a:t>After</a:t>
          </a:r>
          <a:r>
            <a:rPr lang="en-US" sz="1400" baseline="0">
              <a:solidFill>
                <a:schemeClr val="dk1"/>
              </a:solidFill>
              <a:latin typeface="+mn-lt"/>
              <a:ea typeface="+mn-ea"/>
              <a:cs typeface="+mn-cs"/>
            </a:rPr>
            <a:t> , Volume Placed (VP), and "Accum. Vol. Placed" calculations -  so that LPH</a:t>
          </a:r>
          <a:r>
            <a:rPr lang="en-US" sz="1400" baseline="-25000">
              <a:solidFill>
                <a:schemeClr val="dk1"/>
              </a:solidFill>
              <a:latin typeface="+mn-lt"/>
              <a:ea typeface="+mn-ea"/>
              <a:cs typeface="+mn-cs"/>
            </a:rPr>
            <a:t>After</a:t>
          </a:r>
          <a:r>
            <a:rPr lang="en-US" sz="1400" baseline="0">
              <a:solidFill>
                <a:schemeClr val="dk1"/>
              </a:solidFill>
              <a:latin typeface="+mn-lt"/>
              <a:ea typeface="+mn-ea"/>
              <a:cs typeface="+mn-cs"/>
            </a:rPr>
            <a:t> , "VP" &amp; "Accum. Vo. Placed" calcs will function correctly through, and beyond, REJECTED or Not Placed truck load row data.</a:t>
          </a:r>
        </a:p>
        <a:p>
          <a:endParaRPr lang="en-US" sz="1400" baseline="0">
            <a:solidFill>
              <a:schemeClr val="dk1"/>
            </a:solidFill>
            <a:latin typeface="+mn-lt"/>
            <a:ea typeface="+mn-ea"/>
            <a:cs typeface="+mn-cs"/>
          </a:endParaRPr>
        </a:p>
        <a:p>
          <a:r>
            <a:rPr lang="en-US" sz="1400">
              <a:solidFill>
                <a:schemeClr val="dk1"/>
              </a:solidFill>
              <a:latin typeface="+mn-lt"/>
              <a:ea typeface="+mn-ea"/>
              <a:cs typeface="+mn-cs"/>
            </a:rPr>
            <a:t>For REJECTED or Not Placed truck loads, placement volume inputs for "LPH", "VW"</a:t>
          </a:r>
          <a:r>
            <a:rPr lang="en-US" sz="1400" baseline="0">
              <a:solidFill>
                <a:schemeClr val="dk1"/>
              </a:solidFill>
              <a:latin typeface="+mn-lt"/>
              <a:ea typeface="+mn-ea"/>
              <a:cs typeface="+mn-cs"/>
            </a:rPr>
            <a:t> and</a:t>
          </a:r>
          <a:r>
            <a:rPr lang="en-US" sz="1400">
              <a:solidFill>
                <a:schemeClr val="dk1"/>
              </a:solidFill>
              <a:latin typeface="+mn-lt"/>
              <a:ea typeface="+mn-ea"/>
              <a:cs typeface="+mn-cs"/>
            </a:rPr>
            <a:t> "VL" will NOT apply,</a:t>
          </a:r>
          <a:r>
            <a:rPr lang="en-US" sz="1400" baseline="0">
              <a:solidFill>
                <a:schemeClr val="dk1"/>
              </a:solidFill>
              <a:latin typeface="+mn-lt"/>
              <a:ea typeface="+mn-ea"/>
              <a:cs typeface="+mn-cs"/>
            </a:rPr>
            <a:t> and therefore, the inspector should leave these cells blank (input of 0.00 cy will work OK, but input of 0.00 is not necessary).</a:t>
          </a:r>
        </a:p>
        <a:p>
          <a:endParaRPr lang="en-US" sz="1400" baseline="0">
            <a:solidFill>
              <a:schemeClr val="dk1"/>
            </a:solidFill>
            <a:latin typeface="+mn-lt"/>
            <a:ea typeface="+mn-ea"/>
            <a:cs typeface="+mn-cs"/>
          </a:endParaRPr>
        </a:p>
        <a:p>
          <a:r>
            <a:rPr lang="en-US" sz="1400" baseline="0">
              <a:solidFill>
                <a:schemeClr val="dk1"/>
              </a:solidFill>
              <a:latin typeface="+mn-lt"/>
              <a:ea typeface="+mn-ea"/>
              <a:cs typeface="+mn-cs"/>
            </a:rPr>
            <a:t>It is especially important that LPH</a:t>
          </a:r>
          <a:r>
            <a:rPr lang="en-US" sz="1400" baseline="-25000">
              <a:solidFill>
                <a:schemeClr val="dk1"/>
              </a:solidFill>
              <a:latin typeface="+mn-lt"/>
              <a:ea typeface="+mn-ea"/>
              <a:cs typeface="+mn-cs"/>
            </a:rPr>
            <a:t>After  </a:t>
          </a:r>
          <a:r>
            <a:rPr lang="en-US" sz="1400" baseline="0">
              <a:solidFill>
                <a:schemeClr val="dk1"/>
              </a:solidFill>
              <a:latin typeface="+mn-lt"/>
              <a:ea typeface="+mn-ea"/>
              <a:cs typeface="+mn-cs"/>
            </a:rPr>
            <a:t>be left blank , or = 0.00, when "REJECTED" or "Not Placed" is applied to that truck load (click to select/apply on column cells "Lxx").  Otherwise the sheet calcs will include the input LPH</a:t>
          </a:r>
          <a:r>
            <a:rPr lang="en-US" sz="1400" baseline="-25000">
              <a:solidFill>
                <a:schemeClr val="dk1"/>
              </a:solidFill>
              <a:latin typeface="+mn-lt"/>
              <a:ea typeface="+mn-ea"/>
              <a:cs typeface="+mn-cs"/>
            </a:rPr>
            <a:t>After</a:t>
          </a:r>
          <a:r>
            <a:rPr lang="en-US" sz="1400" baseline="0">
              <a:solidFill>
                <a:schemeClr val="dk1"/>
              </a:solidFill>
              <a:latin typeface="+mn-lt"/>
              <a:ea typeface="+mn-ea"/>
              <a:cs typeface="+mn-cs"/>
            </a:rPr>
            <a:t>  in the calcs -  as a result, the affected sheet VW and placement VW totals will then include the incorrect data and increased VW totals. </a:t>
          </a:r>
        </a:p>
        <a:p>
          <a:endParaRPr lang="en-US" sz="1400" baseline="0">
            <a:solidFill>
              <a:schemeClr val="dk1"/>
            </a:solidFill>
            <a:latin typeface="+mn-lt"/>
            <a:ea typeface="+mn-ea"/>
            <a:cs typeface="+mn-cs"/>
          </a:endParaRPr>
        </a:p>
        <a:p>
          <a:r>
            <a:rPr lang="en-US" sz="1400">
              <a:solidFill>
                <a:schemeClr val="dk1"/>
              </a:solidFill>
              <a:latin typeface="+mn-lt"/>
              <a:ea typeface="+mn-ea"/>
              <a:cs typeface="+mn-cs"/>
            </a:rPr>
            <a:t>If necessary, for the record, consider i</a:t>
          </a:r>
          <a:r>
            <a:rPr lang="en-US" sz="1400" baseline="0">
              <a:solidFill>
                <a:schemeClr val="dk1"/>
              </a:solidFill>
              <a:latin typeface="+mn-lt"/>
              <a:ea typeface="+mn-ea"/>
              <a:cs typeface="+mn-cs"/>
            </a:rPr>
            <a:t>nclude </a:t>
          </a:r>
          <a:r>
            <a:rPr lang="en-US" sz="1400">
              <a:solidFill>
                <a:schemeClr val="dk1"/>
              </a:solidFill>
              <a:latin typeface="+mn-lt"/>
              <a:ea typeface="+mn-ea"/>
              <a:cs typeface="+mn-cs"/>
            </a:rPr>
            <a:t>details of</a:t>
          </a:r>
          <a:r>
            <a:rPr lang="en-US" sz="1400" baseline="0">
              <a:solidFill>
                <a:schemeClr val="dk1"/>
              </a:solidFill>
              <a:latin typeface="+mn-lt"/>
              <a:ea typeface="+mn-ea"/>
              <a:cs typeface="+mn-cs"/>
            </a:rPr>
            <a:t> the reason for the truck load to be R</a:t>
          </a:r>
          <a:r>
            <a:rPr lang="en-US" sz="1400">
              <a:solidFill>
                <a:schemeClr val="dk1"/>
              </a:solidFill>
              <a:latin typeface="+mn-lt"/>
              <a:ea typeface="+mn-ea"/>
              <a:cs typeface="+mn-cs"/>
            </a:rPr>
            <a:t>ejected or Not Placed within the </a:t>
          </a:r>
          <a:r>
            <a:rPr lang="en-US" sz="1400" baseline="0">
              <a:solidFill>
                <a:schemeClr val="dk1"/>
              </a:solidFill>
              <a:latin typeface="+mn-lt"/>
              <a:ea typeface="+mn-ea"/>
              <a:cs typeface="+mn-cs"/>
            </a:rPr>
            <a:t>applicable Notes area provided (cells </a:t>
          </a:r>
          <a:r>
            <a:rPr lang="en-US" sz="1400">
              <a:solidFill>
                <a:schemeClr val="dk1"/>
              </a:solidFill>
              <a:latin typeface="+mn-lt"/>
              <a:ea typeface="+mn-ea"/>
              <a:cs typeface="+mn-cs"/>
            </a:rPr>
            <a:t>BTxx).</a:t>
          </a:r>
        </a:p>
        <a:p>
          <a:endParaRPr lang="en-US" sz="1400">
            <a:solidFill>
              <a:schemeClr val="dk1"/>
            </a:solidFill>
            <a:latin typeface="+mn-lt"/>
            <a:ea typeface="+mn-ea"/>
            <a:cs typeface="+mn-cs"/>
          </a:endParaRPr>
        </a:p>
        <a:p>
          <a:r>
            <a:rPr lang="en-US" sz="1400" baseline="0">
              <a:solidFill>
                <a:schemeClr val="dk1"/>
              </a:solidFill>
              <a:latin typeface="+mn-lt"/>
              <a:ea typeface="+mn-ea"/>
              <a:cs typeface="+mn-cs"/>
            </a:rPr>
            <a:t>If a truck load is </a:t>
          </a:r>
          <a:r>
            <a:rPr lang="en-US" sz="1400" u="sng" baseline="0">
              <a:solidFill>
                <a:schemeClr val="dk1"/>
              </a:solidFill>
              <a:latin typeface="+mn-lt"/>
              <a:ea typeface="+mn-ea"/>
              <a:cs typeface="+mn-cs"/>
            </a:rPr>
            <a:t>NOT</a:t>
          </a:r>
          <a:r>
            <a:rPr lang="en-US" sz="1400" baseline="0">
              <a:solidFill>
                <a:schemeClr val="dk1"/>
              </a:solidFill>
              <a:latin typeface="+mn-lt"/>
              <a:ea typeface="+mn-ea"/>
              <a:cs typeface="+mn-cs"/>
            </a:rPr>
            <a:t>  "REJECTED" or "Not Placed", just input the Start Time (cells Lxx), and proceed.  </a:t>
          </a:r>
          <a:endParaRPr lang="en-US" sz="1400"/>
        </a:p>
      </xdr:txBody>
    </xdr:sp>
    <xdr:clientData/>
  </xdr:twoCellAnchor>
  <xdr:twoCellAnchor>
    <xdr:from>
      <xdr:col>0</xdr:col>
      <xdr:colOff>203200</xdr:colOff>
      <xdr:row>115</xdr:row>
      <xdr:rowOff>0</xdr:rowOff>
    </xdr:from>
    <xdr:to>
      <xdr:col>62</xdr:col>
      <xdr:colOff>0</xdr:colOff>
      <xdr:row>131</xdr:row>
      <xdr:rowOff>177800</xdr:rowOff>
    </xdr:to>
    <xdr:sp macro="" textlink="">
      <xdr:nvSpPr>
        <xdr:cNvPr id="9" name="TextBox 8">
          <a:extLst>
            <a:ext uri="{FF2B5EF4-FFF2-40B4-BE49-F238E27FC236}">
              <a16:creationId xmlns:a16="http://schemas.microsoft.com/office/drawing/2014/main" id="{00000000-0008-0000-0800-000009000000}"/>
            </a:ext>
          </a:extLst>
        </xdr:cNvPr>
        <xdr:cNvSpPr txBox="1"/>
      </xdr:nvSpPr>
      <xdr:spPr>
        <a:xfrm>
          <a:off x="203200" y="13220700"/>
          <a:ext cx="10858500" cy="3225800"/>
        </a:xfrm>
        <a:prstGeom prst="rect">
          <a:avLst/>
        </a:prstGeom>
        <a:solidFill>
          <a:srgbClr val="FFFFF3"/>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600" u="sng"/>
            <a:t>UNITS  [</a:t>
          </a:r>
          <a:r>
            <a:rPr lang="en-US" sz="1600" u="sng" baseline="0"/>
            <a:t> </a:t>
          </a:r>
          <a:r>
            <a:rPr lang="en-US" sz="1600" u="sng"/>
            <a:t>sheet includes drop-downs options, (ft) or (in), in 4 places ]</a:t>
          </a:r>
          <a:r>
            <a:rPr lang="en-US" sz="1600" u="none"/>
            <a:t>:</a:t>
          </a:r>
        </a:p>
        <a:p>
          <a:endParaRPr lang="en-US" sz="1600" u="none" baseline="0"/>
        </a:p>
        <a:p>
          <a:r>
            <a:rPr lang="en-US" sz="1400" u="none"/>
            <a:t>Units for Shaft ID (cell Q25), Surface Form ID (cell CA25) , Surface Form Length (cell CA28)</a:t>
          </a:r>
          <a:r>
            <a:rPr lang="en-US" sz="1400" u="none" baseline="0"/>
            <a:t> &amp; Casing ID (K98) </a:t>
          </a:r>
          <a:r>
            <a:rPr lang="en-US" sz="1400" u="none"/>
            <a:t>are "drop-down" list inputs.  The inspector, or other user, can opt to use </a:t>
          </a:r>
          <a:r>
            <a:rPr lang="en-US" sz="1400" u="none" baseline="0"/>
            <a:t>either (ft) or (in).  </a:t>
          </a:r>
          <a:r>
            <a:rPr lang="en-US" sz="1400" u="none"/>
            <a:t>To apply the chosen</a:t>
          </a:r>
          <a:r>
            <a:rPr lang="en-US" sz="1400" u="none" baseline="0"/>
            <a:t> units</a:t>
          </a:r>
          <a:r>
            <a:rPr lang="en-US" sz="1400" u="none"/>
            <a:t>, click on the units cell, and select either  "*(ft)" or "*(in)" from the list.  Note:  the "*" is included to visually identify cells that include drop-down list function, and remind the user that these particular 4 units cells </a:t>
          </a:r>
          <a:r>
            <a:rPr lang="en-US" sz="1400" u="none" baseline="0"/>
            <a:t>should be </a:t>
          </a:r>
          <a:r>
            <a:rPr lang="en-US" sz="1400" u="none"/>
            <a:t>input using the drop-down list].  The exact application of these unit titles is important due to their interaction with sheet calcs.</a:t>
          </a:r>
        </a:p>
        <a:p>
          <a:r>
            <a:rPr lang="en-US" sz="1400" u="none"/>
            <a:t> </a:t>
          </a:r>
        </a:p>
        <a:p>
          <a:r>
            <a:rPr lang="en-US" sz="1400" u="none"/>
            <a:t>If  incorrect units are applied (anything other than </a:t>
          </a:r>
          <a:r>
            <a:rPr lang="en-US" sz="1400">
              <a:solidFill>
                <a:schemeClr val="dk1"/>
              </a:solidFill>
              <a:latin typeface="+mn-lt"/>
              <a:ea typeface="+mn-ea"/>
              <a:cs typeface="+mn-cs"/>
            </a:rPr>
            <a:t>"*(ft)" or "*(in)"</a:t>
          </a:r>
          <a:r>
            <a:rPr lang="en-US" sz="1400" u="none"/>
            <a:t>, a sheet alert will appear to stop &amp; remind the user.  If a unit cell</a:t>
          </a:r>
          <a:r>
            <a:rPr lang="en-US" sz="1400" u="none" baseline="0"/>
            <a:t> is</a:t>
          </a:r>
          <a:r>
            <a:rPr lang="en-US" sz="1400" u="none"/>
            <a:t> left blank (ex. accidentally deleted), the cell is highlighted with red box, and a note will appear at the top of</a:t>
          </a:r>
          <a:r>
            <a:rPr lang="en-US" sz="1400" u="none" baseline="0"/>
            <a:t> the sheet to </a:t>
          </a:r>
          <a:r>
            <a:rPr lang="en-US" sz="1400" u="none"/>
            <a:t>remind</a:t>
          </a:r>
          <a:r>
            <a:rPr lang="en-US" sz="1400" u="none" baseline="0"/>
            <a:t> the inspector, or other user, to apply the units.</a:t>
          </a:r>
        </a:p>
        <a:p>
          <a:r>
            <a:rPr lang="en-US" sz="1400" u="none" baseline="0"/>
            <a:t>The internal sheet calcs use (ft).  Therefore, when the "*(in)" units labels are applied, and inch data is input, a conversion to (ft) is automatically performed due to the calc being flagged by the units label "*(in)". </a:t>
          </a:r>
          <a:endParaRPr lang="en-US" sz="1400" u="none"/>
        </a:p>
      </xdr:txBody>
    </xdr:sp>
    <xdr:clientData/>
  </xdr:twoCellAnchor>
  <xdr:twoCellAnchor>
    <xdr:from>
      <xdr:col>0</xdr:col>
      <xdr:colOff>203200</xdr:colOff>
      <xdr:row>295</xdr:row>
      <xdr:rowOff>0</xdr:rowOff>
    </xdr:from>
    <xdr:to>
      <xdr:col>62</xdr:col>
      <xdr:colOff>0</xdr:colOff>
      <xdr:row>359</xdr:row>
      <xdr:rowOff>12700</xdr:rowOff>
    </xdr:to>
    <xdr:sp macro="" textlink="">
      <xdr:nvSpPr>
        <xdr:cNvPr id="6" name="TextBox 5">
          <a:extLst>
            <a:ext uri="{FF2B5EF4-FFF2-40B4-BE49-F238E27FC236}">
              <a16:creationId xmlns:a16="http://schemas.microsoft.com/office/drawing/2014/main" id="{00000000-0008-0000-0800-000006000000}"/>
            </a:ext>
          </a:extLst>
        </xdr:cNvPr>
        <xdr:cNvSpPr txBox="1"/>
      </xdr:nvSpPr>
      <xdr:spPr>
        <a:xfrm>
          <a:off x="203200" y="47536100"/>
          <a:ext cx="10858500" cy="12204700"/>
        </a:xfrm>
        <a:prstGeom prst="rect">
          <a:avLst/>
        </a:prstGeom>
        <a:solidFill>
          <a:srgbClr val="FFFFF3"/>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800" b="1" i="0" u="sng" strike="noStrike">
              <a:solidFill>
                <a:schemeClr val="dk1"/>
              </a:solidFill>
              <a:latin typeface="+mn-lt"/>
              <a:ea typeface="+mn-ea"/>
              <a:cs typeface="+mn-cs"/>
            </a:rPr>
            <a:t>Field Concr. Curve </a:t>
          </a:r>
          <a:r>
            <a:rPr lang="en-US" sz="1800" b="1" i="0" u="none" strike="noStrike">
              <a:solidFill>
                <a:schemeClr val="dk1"/>
              </a:solidFill>
              <a:latin typeface="+mn-lt"/>
              <a:ea typeface="+mn-ea"/>
              <a:cs typeface="+mn-cs"/>
            </a:rPr>
            <a:t> &amp;  </a:t>
          </a:r>
          <a:r>
            <a:rPr lang="en-US" sz="1800" b="1" i="0" u="sng" strike="noStrike">
              <a:solidFill>
                <a:schemeClr val="dk1"/>
              </a:solidFill>
              <a:latin typeface="+mn-lt"/>
              <a:ea typeface="+mn-ea"/>
              <a:cs typeface="+mn-cs"/>
            </a:rPr>
            <a:t>Excel</a:t>
          </a:r>
          <a:r>
            <a:rPr lang="en-US" sz="1800" b="1" i="0" u="sng" strike="noStrike" baseline="0">
              <a:solidFill>
                <a:schemeClr val="dk1"/>
              </a:solidFill>
              <a:latin typeface="+mn-lt"/>
              <a:ea typeface="+mn-ea"/>
              <a:cs typeface="+mn-cs"/>
            </a:rPr>
            <a:t> Concr. Curve</a:t>
          </a:r>
          <a:r>
            <a:rPr lang="en-US" sz="1800" b="1" i="0" u="none" strike="noStrike">
              <a:solidFill>
                <a:schemeClr val="dk1"/>
              </a:solidFill>
              <a:latin typeface="+mn-lt"/>
              <a:ea typeface="+mn-ea"/>
              <a:cs typeface="+mn-cs"/>
            </a:rPr>
            <a:t>:</a:t>
          </a:r>
          <a:r>
            <a:rPr lang="en-US" sz="1800" b="1" i="0" u="none" strike="noStrike" baseline="0">
              <a:solidFill>
                <a:schemeClr val="dk1"/>
              </a:solidFill>
              <a:latin typeface="+mn-lt"/>
              <a:ea typeface="+mn-ea"/>
              <a:cs typeface="+mn-cs"/>
            </a:rPr>
            <a:t>  </a:t>
          </a:r>
          <a:r>
            <a:rPr lang="en-US" sz="1800" b="0" i="0" u="none" strike="noStrike" baseline="0">
              <a:solidFill>
                <a:schemeClr val="dk1"/>
              </a:solidFill>
              <a:latin typeface="+mn-lt"/>
              <a:ea typeface="+mn-ea"/>
              <a:cs typeface="+mn-cs"/>
            </a:rPr>
            <a:t>(4th &amp; 5th sheet tabs) </a:t>
          </a:r>
          <a:endParaRPr lang="en-US" sz="1800" b="0" i="0" u="none" strike="noStrike">
            <a:solidFill>
              <a:schemeClr val="dk1"/>
            </a:solidFill>
            <a:latin typeface="+mn-lt"/>
            <a:ea typeface="+mn-ea"/>
            <a:cs typeface="+mn-cs"/>
          </a:endParaRPr>
        </a:p>
        <a:p>
          <a:endParaRPr lang="en-US" sz="1600" b="0" i="0" u="sng" strike="noStrike">
            <a:solidFill>
              <a:schemeClr val="dk1"/>
            </a:solidFill>
            <a:latin typeface="+mn-lt"/>
            <a:ea typeface="+mn-ea"/>
            <a:cs typeface="+mn-cs"/>
          </a:endParaRPr>
        </a:p>
        <a:p>
          <a:r>
            <a:rPr lang="en-US" sz="1600" b="1" i="0" u="sng" strike="noStrike">
              <a:solidFill>
                <a:schemeClr val="dk1"/>
              </a:solidFill>
              <a:latin typeface="+mn-lt"/>
              <a:ea typeface="+mn-ea"/>
              <a:cs typeface="+mn-cs"/>
            </a:rPr>
            <a:t>Field Concr.</a:t>
          </a:r>
          <a:r>
            <a:rPr lang="en-US" sz="1600" b="1" i="0" u="sng" strike="noStrike" baseline="0">
              <a:solidFill>
                <a:schemeClr val="dk1"/>
              </a:solidFill>
              <a:latin typeface="+mn-lt"/>
              <a:ea typeface="+mn-ea"/>
              <a:cs typeface="+mn-cs"/>
            </a:rPr>
            <a:t> Curve:</a:t>
          </a:r>
          <a:endParaRPr lang="en-US" sz="1600" b="1" baseline="0">
            <a:solidFill>
              <a:schemeClr val="dk1"/>
            </a:solidFill>
            <a:latin typeface="+mn-lt"/>
            <a:ea typeface="+mn-ea"/>
            <a:cs typeface="+mn-cs"/>
          </a:endParaRPr>
        </a:p>
        <a:p>
          <a:r>
            <a:rPr lang="en-US" sz="1400" baseline="0">
              <a:solidFill>
                <a:schemeClr val="dk1"/>
              </a:solidFill>
              <a:latin typeface="+mn-lt"/>
              <a:ea typeface="+mn-ea"/>
              <a:cs typeface="+mn-cs"/>
            </a:rPr>
            <a:t>The Field Concr. Curve sheet (5th tab-worksheet on the 70001089 form Workbook) has been developed to </a:t>
          </a:r>
          <a:r>
            <a:rPr lang="en-US" sz="1400" u="none" baseline="0">
              <a:solidFill>
                <a:schemeClr val="dk1"/>
              </a:solidFill>
              <a:latin typeface="+mn-lt"/>
              <a:ea typeface="+mn-ea"/>
              <a:cs typeface="+mn-cs"/>
            </a:rPr>
            <a:t>assist the inspector </a:t>
          </a:r>
          <a:r>
            <a:rPr lang="en-US" sz="1400" baseline="0">
              <a:solidFill>
                <a:schemeClr val="dk1"/>
              </a:solidFill>
              <a:latin typeface="+mn-lt"/>
              <a:ea typeface="+mn-ea"/>
              <a:cs typeface="+mn-cs"/>
            </a:rPr>
            <a:t>in preparing printed Field Concreting Curve sheets for their use.  Plotting points, and drawing the Theor. &amp; Actual curves, must still be done </a:t>
          </a:r>
          <a:r>
            <a:rPr lang="en-US" sz="1400" b="1" u="sng" baseline="0">
              <a:solidFill>
                <a:schemeClr val="dk1"/>
              </a:solidFill>
              <a:latin typeface="+mn-lt"/>
              <a:ea typeface="+mn-ea"/>
              <a:cs typeface="+mn-cs"/>
            </a:rPr>
            <a:t>by hand</a:t>
          </a:r>
          <a:r>
            <a:rPr lang="en-US" sz="1400" b="1" baseline="0">
              <a:solidFill>
                <a:schemeClr val="dk1"/>
              </a:solidFill>
              <a:latin typeface="+mn-lt"/>
              <a:ea typeface="+mn-ea"/>
              <a:cs typeface="+mn-cs"/>
            </a:rPr>
            <a:t> </a:t>
          </a:r>
          <a:r>
            <a:rPr lang="en-US" sz="1400" baseline="0">
              <a:solidFill>
                <a:schemeClr val="dk1"/>
              </a:solidFill>
              <a:latin typeface="+mn-lt"/>
              <a:ea typeface="+mn-ea"/>
              <a:cs typeface="+mn-cs"/>
            </a:rPr>
            <a:t> , either in the field, or back at the office.  The sheet provides a tool for the inspector to use to prepare a Field Concr. Curve log sheets, by drop-down list selection of the maximum X and Y axis values (sheet cells AX88 &amp; BE88, locacted at the bottom right side of sheet) to best fit the magnitude of the project's anticipated drilled shaft placement(s) (both X cy, and Y ft).  The sheet then calculates and apples the X and Y-axis unit labels along each X (Volume, cy) &amp; Y (Length, ft) axis.  If the Bottom EL is known, and is entered into cell BB9, the corresponding Elevation Y-2 axis unit labels are also applied.  If the Bottom EL is not yet known (usually the case), leave the Bottom EL, cell BB9, blank -  the Elevation Y-2 axis could be determined and hand written onto the printed sheet in the field if necessary.  If Pg. 1 data has been input, much of the header is automatically filled in.  The light grey shaded header items can be optionally applied from Pg. 1 inputs by clicking on the cell, then select and apply the Pg. 1 data from the drop-down list (the drop-down lists are linked to Pg. 1 log input data cells), or manually input.  Excel manual input into, or deleting data in cells containing the drop-downs function, does not impact or compromize the built-in drop-downs.</a:t>
          </a:r>
        </a:p>
        <a:p>
          <a:endParaRPr lang="en-US" sz="1400"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600" b="1" i="0" u="sng">
              <a:solidFill>
                <a:schemeClr val="dk1"/>
              </a:solidFill>
              <a:effectLst/>
              <a:latin typeface="+mn-lt"/>
              <a:ea typeface="+mn-ea"/>
              <a:cs typeface="+mn-cs"/>
            </a:rPr>
            <a:t>Excel Concr.</a:t>
          </a:r>
          <a:r>
            <a:rPr lang="en-US" sz="1600" b="1" i="0" u="sng" baseline="0">
              <a:solidFill>
                <a:schemeClr val="dk1"/>
              </a:solidFill>
              <a:effectLst/>
              <a:latin typeface="+mn-lt"/>
              <a:ea typeface="+mn-ea"/>
              <a:cs typeface="+mn-cs"/>
            </a:rPr>
            <a:t> Curve:</a:t>
          </a:r>
        </a:p>
        <a:p>
          <a:pPr marL="0" marR="0" indent="0" defTabSz="914400" eaLnBrk="1" fontAlgn="auto" latinLnBrk="0" hangingPunct="1">
            <a:lnSpc>
              <a:spcPct val="100000"/>
            </a:lnSpc>
            <a:spcBef>
              <a:spcPts val="0"/>
            </a:spcBef>
            <a:spcAft>
              <a:spcPts val="0"/>
            </a:spcAft>
            <a:buClrTx/>
            <a:buSzTx/>
            <a:buFontTx/>
            <a:buNone/>
            <a:tabLst/>
            <a:defRPr/>
          </a:pPr>
          <a:r>
            <a:rPr lang="en-US" sz="1400" b="0" i="0" u="none" baseline="0">
              <a:solidFill>
                <a:schemeClr val="dk1"/>
              </a:solidFill>
              <a:effectLst/>
              <a:latin typeface="+mn-lt"/>
              <a:ea typeface="+mn-ea"/>
              <a:cs typeface="+mn-cs"/>
            </a:rPr>
            <a:t>When the applicable log placement data (Pg. 1, 2 &amp; 3, as needed -  most shafts will need only Pg. 1 - for up to 10 truck loads) is input correctly, the "Excel Concr. Curve" sheet will automatically generate the Theoretical &amp; Acual Curves for the drilled shaft placement.  The Theor. Curve is automatically revised according the the shaft data input that influences the shaft's theoretical geometry:  ex. no casing input (uncased shaft), Casing 1 only (</a:t>
          </a:r>
          <a:r>
            <a:rPr lang="en-US" sz="1400" b="0" i="0" u="sng" baseline="0">
              <a:solidFill>
                <a:schemeClr val="dk1"/>
              </a:solidFill>
              <a:effectLst/>
              <a:latin typeface="+mn-lt"/>
              <a:ea typeface="+mn-ea"/>
              <a:cs typeface="+mn-cs"/>
            </a:rPr>
            <a:t>inner</a:t>
          </a:r>
          <a:r>
            <a:rPr lang="en-US" sz="1400" b="0" i="0" u="none" baseline="0">
              <a:solidFill>
                <a:schemeClr val="dk1"/>
              </a:solidFill>
              <a:effectLst/>
              <a:latin typeface="+mn-lt"/>
              <a:ea typeface="+mn-ea"/>
              <a:cs typeface="+mn-cs"/>
            </a:rPr>
            <a:t> casing only), or both Casing 1 (inner) &amp; Casing 2 (outer casing) are used.  For the 2-Casing scenario, the assumption is that Casing 1 is removed during the pour, for example:  leaving uncased section at bottom end, the deeper Casing 1 profile below Casing 2, with Casing 2 profile to top of Casing 2 -  also, if the top of Casing 2 is below REF, the sheet applies a segment at uncased diameter (uncased dia. is usually approx = B. Ring dia.).   The intent is for the Theoretical &amp; Actual Curves to automaticall be plotted up to to REF elevation once the shaft input data and placement data is input.  If the form is provided to you by the FDOT CO with the Excel Concr. Curve worksheet protected, with </a:t>
          </a:r>
          <a:r>
            <a:rPr lang="en-US" sz="1400" b="0" i="0" u="sng" baseline="0">
              <a:solidFill>
                <a:schemeClr val="dk1"/>
              </a:solidFill>
              <a:effectLst/>
              <a:latin typeface="+mn-lt"/>
              <a:ea typeface="+mn-ea"/>
              <a:cs typeface="+mn-cs"/>
            </a:rPr>
            <a:t>"allow user to Edit objects"</a:t>
          </a:r>
          <a:r>
            <a:rPr lang="en-US" sz="1400" b="0" i="0" u="none" baseline="0">
              <a:solidFill>
                <a:schemeClr val="dk1"/>
              </a:solidFill>
              <a:effectLst/>
              <a:latin typeface="+mn-lt"/>
              <a:ea typeface="+mn-ea"/>
              <a:cs typeface="+mn-cs"/>
            </a:rPr>
            <a:t> checked, moving the cursor over the Theor. or Actual Curve line points will display some associated (X,Y) data for the user. </a:t>
          </a:r>
        </a:p>
        <a:p>
          <a:pPr marL="0" marR="0" indent="0" defTabSz="914400" eaLnBrk="1" fontAlgn="auto" latinLnBrk="0" hangingPunct="1">
            <a:lnSpc>
              <a:spcPct val="100000"/>
            </a:lnSpc>
            <a:spcBef>
              <a:spcPts val="0"/>
            </a:spcBef>
            <a:spcAft>
              <a:spcPts val="0"/>
            </a:spcAft>
            <a:buClrTx/>
            <a:buSzTx/>
            <a:buFontTx/>
            <a:buNone/>
            <a:tabLst/>
            <a:defRPr/>
          </a:pPr>
          <a:endParaRPr lang="en-US" sz="1400" b="0" i="0" u="none"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400" b="1" i="0" u="none" baseline="0">
              <a:solidFill>
                <a:schemeClr val="dk1"/>
              </a:solidFill>
              <a:effectLst/>
              <a:latin typeface="+mn-lt"/>
              <a:ea typeface="+mn-ea"/>
              <a:cs typeface="+mn-cs"/>
            </a:rPr>
            <a:t>Axis - Length or Elevation:</a:t>
          </a:r>
        </a:p>
        <a:p>
          <a:pPr marL="0" marR="0" indent="0" defTabSz="914400" eaLnBrk="1" fontAlgn="auto" latinLnBrk="0" hangingPunct="1">
            <a:lnSpc>
              <a:spcPct val="100000"/>
            </a:lnSpc>
            <a:spcBef>
              <a:spcPts val="0"/>
            </a:spcBef>
            <a:spcAft>
              <a:spcPts val="0"/>
            </a:spcAft>
            <a:buClrTx/>
            <a:buSzTx/>
            <a:buFontTx/>
            <a:buNone/>
            <a:tabLst/>
            <a:defRPr/>
          </a:pPr>
          <a:r>
            <a:rPr lang="en-US" sz="1400" b="0" i="0" u="none" baseline="0">
              <a:solidFill>
                <a:schemeClr val="dk1"/>
              </a:solidFill>
              <a:effectLst/>
              <a:latin typeface="+mn-lt"/>
              <a:ea typeface="+mn-ea"/>
              <a:cs typeface="+mn-cs"/>
            </a:rPr>
            <a:t>On the Excel Concr. Curve, the cell A07 drop-down list allows the user to select the Y-axis to be either "Length" (0.00 ft at bottom) or "Elevation" (Bottom EL at bottom) -  the curves and Y-axis Title are automatically adjusted.  This allows easy conversion back-and-forth to either Y-axis format for your review and printing.</a:t>
          </a:r>
        </a:p>
        <a:p>
          <a:pPr marL="0" marR="0" indent="0" defTabSz="914400" eaLnBrk="1" fontAlgn="auto" latinLnBrk="0" hangingPunct="1">
            <a:lnSpc>
              <a:spcPct val="100000"/>
            </a:lnSpc>
            <a:spcBef>
              <a:spcPts val="0"/>
            </a:spcBef>
            <a:spcAft>
              <a:spcPts val="0"/>
            </a:spcAft>
            <a:buClrTx/>
            <a:buSzTx/>
            <a:buFontTx/>
            <a:buNone/>
            <a:tabLst/>
            <a:defRPr/>
          </a:pPr>
          <a:endParaRPr lang="en-US" sz="1400" b="0" i="0" u="none"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400" b="1" i="0" u="none" baseline="0">
              <a:solidFill>
                <a:schemeClr val="dk1"/>
              </a:solidFill>
              <a:effectLst/>
              <a:latin typeface="+mn-lt"/>
              <a:ea typeface="+mn-ea"/>
              <a:cs typeface="+mn-cs"/>
            </a:rPr>
            <a:t>Back-calculated Lift Dia.:</a:t>
          </a:r>
        </a:p>
        <a:p>
          <a:pPr marL="0" marR="0" indent="0" defTabSz="914400" eaLnBrk="1" fontAlgn="auto" latinLnBrk="0" hangingPunct="1">
            <a:lnSpc>
              <a:spcPct val="100000"/>
            </a:lnSpc>
            <a:spcBef>
              <a:spcPts val="0"/>
            </a:spcBef>
            <a:spcAft>
              <a:spcPts val="0"/>
            </a:spcAft>
            <a:buClrTx/>
            <a:buSzTx/>
            <a:buFontTx/>
            <a:buNone/>
            <a:tabLst/>
            <a:defRPr/>
          </a:pPr>
          <a:r>
            <a:rPr lang="en-US" sz="1400" b="0" i="0" u="none" baseline="0">
              <a:solidFill>
                <a:schemeClr val="dk1"/>
              </a:solidFill>
              <a:effectLst/>
              <a:latin typeface="+mn-lt"/>
              <a:ea typeface="+mn-ea"/>
              <a:cs typeface="+mn-cs"/>
            </a:rPr>
            <a:t>Each truck load placed will produce a rise in concrete level from the beginning of that truck load placement, to the end.  The concrete rise, and the accumulated concrete volume increase, is commonly referred to as a "Lift".  Each Lift has a Volume (cy) and Length (ft).  The incremental Lift data, X (cy) &amp; Y (ft), is used on the Excel Concr. Curve sheet to back-calculate the average Dia. of each placed Lift (section of the shaft) shown between plotted points along the Actual Curve.  The Excel Concr. Curve sheet performs this average Dia. calc for all Lifts.  In addition, the Excel Concr. Curve sheet calculates for each Lift the applicable corresponding Theoretical Dia. which would apply for review comparison, depending upon shaft geometry , as determined by the input data (uncased, Csg 1, Csg 2 &amp; above Csg 2 to REF).  If a back-calculated avg Lift Dia. &lt; corresponding Theor. Dia. it is compared to, the Lift No. &amp; Dia. will be applied adjacent to the top point on that Lift segment in red font.  This will alert the inspector, or other sheet user, to review the Lifts that are flagged.  All back-calculated average Dia.'s are included in the table to right of the Excel Concr. Curve sheet (sheet column BMxx).</a:t>
          </a:r>
        </a:p>
        <a:p>
          <a:pPr marL="0" marR="0" indent="0" defTabSz="914400" eaLnBrk="1" fontAlgn="auto" latinLnBrk="0" hangingPunct="1">
            <a:lnSpc>
              <a:spcPct val="100000"/>
            </a:lnSpc>
            <a:spcBef>
              <a:spcPts val="0"/>
            </a:spcBef>
            <a:spcAft>
              <a:spcPts val="0"/>
            </a:spcAft>
            <a:buClrTx/>
            <a:buSzTx/>
            <a:buFontTx/>
            <a:buNone/>
            <a:tabLst/>
            <a:defRPr/>
          </a:pPr>
          <a:endParaRPr lang="en-US" sz="1400" b="0" i="0" u="none"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400" b="1" i="0" u="none" baseline="0">
              <a:solidFill>
                <a:schemeClr val="dk1"/>
              </a:solidFill>
              <a:effectLst/>
              <a:latin typeface="+mn-lt"/>
              <a:ea typeface="+mn-ea"/>
              <a:cs typeface="+mn-cs"/>
            </a:rPr>
            <a:t>Estimated Steel Volume (Rebar Cage) (cy):</a:t>
          </a:r>
        </a:p>
        <a:p>
          <a:pPr marL="0" marR="0" indent="0" defTabSz="914400" eaLnBrk="1" fontAlgn="auto" latinLnBrk="0" hangingPunct="1">
            <a:lnSpc>
              <a:spcPct val="100000"/>
            </a:lnSpc>
            <a:spcBef>
              <a:spcPts val="0"/>
            </a:spcBef>
            <a:spcAft>
              <a:spcPts val="0"/>
            </a:spcAft>
            <a:buClrTx/>
            <a:buSzTx/>
            <a:buFontTx/>
            <a:buNone/>
            <a:tabLst/>
            <a:defRPr/>
          </a:pPr>
          <a:r>
            <a:rPr lang="en-US" sz="1400" b="0" i="0" u="none" baseline="0">
              <a:solidFill>
                <a:schemeClr val="dk1"/>
              </a:solidFill>
              <a:effectLst/>
              <a:latin typeface="+mn-lt"/>
              <a:ea typeface="+mn-ea"/>
              <a:cs typeface="+mn-cs"/>
            </a:rPr>
            <a:t>On the Excel Concr. Curve sheet, cell AO7, the inspector, or other user, can input the Estimated Total Steel Volume, if the estimated volume is known or calculated.  The sheet will automatically revise the Theor. Curve (relatively small vol. reduction - the curve will shift slightly to the left once the Est. Steel Vol. is entered).  This occurs because the steel contributes, in a small way, to filling the Theor. volume of the shaft -  so, less concrete would then be required to fill the Theor. volume.  In addition, while the Actual Volumes are left as is, the Lift volumes within the sheet calc area, used for the back-calculated Lift Dia's, are increased slightly due to the Est. Steel Vol. being distribulted and added to each Actual Lift (proportionate to  the individual Lift segment heights (ft).   The Est. Steel Vol. adjustments are best applied when there are marginal Lift volumes or small Lift volume deficits.  If the a large OP, and Lift slopes &amp; back-calculated Dia.'s are OK, applying the Est. Steel Vol. is unnecessary.  If cell AO7 is left blank, or = 0 cy, no Est. Steel adjustment is made to the Theoretical Curve or the volumes used for the back-calculated average Lift Dia.'s.</a:t>
          </a:r>
        </a:p>
        <a:p>
          <a:pPr marL="0" marR="0" indent="0" defTabSz="914400" eaLnBrk="1" fontAlgn="auto" latinLnBrk="0" hangingPunct="1">
            <a:lnSpc>
              <a:spcPct val="100000"/>
            </a:lnSpc>
            <a:spcBef>
              <a:spcPts val="0"/>
            </a:spcBef>
            <a:spcAft>
              <a:spcPts val="0"/>
            </a:spcAft>
            <a:buClrTx/>
            <a:buSzTx/>
            <a:buFontTx/>
            <a:buNone/>
            <a:tabLst/>
            <a:defRPr/>
          </a:pPr>
          <a:endParaRPr lang="en-US" sz="1400" b="0" i="0" u="none"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400" b="0" i="0" u="none" baseline="0">
              <a:solidFill>
                <a:schemeClr val="dk1"/>
              </a:solidFill>
              <a:effectLst/>
              <a:latin typeface="+mn-lt"/>
              <a:ea typeface="+mn-ea"/>
              <a:cs typeface="+mn-cs"/>
            </a:rPr>
            <a:t>    </a:t>
          </a:r>
          <a:endParaRPr lang="en-US" sz="1400" u="none">
            <a:effectLst/>
          </a:endParaRPr>
        </a:p>
        <a:p>
          <a:r>
            <a:rPr lang="en-US" sz="1400" baseline="0">
              <a:solidFill>
                <a:schemeClr val="dk1"/>
              </a:solidFill>
              <a:latin typeface="+mn-lt"/>
              <a:ea typeface="+mn-ea"/>
              <a:cs typeface="+mn-cs"/>
            </a:rPr>
            <a:t> </a:t>
          </a:r>
          <a:endParaRPr lang="en-US" sz="1400"/>
        </a:p>
      </xdr:txBody>
    </xdr:sp>
    <xdr:clientData/>
  </xdr:twoCellAnchor>
  <xdr:twoCellAnchor>
    <xdr:from>
      <xdr:col>66</xdr:col>
      <xdr:colOff>10886</xdr:colOff>
      <xdr:row>133</xdr:row>
      <xdr:rowOff>185056</xdr:rowOff>
    </xdr:from>
    <xdr:to>
      <xdr:col>101</xdr:col>
      <xdr:colOff>1815</xdr:colOff>
      <xdr:row>316</xdr:row>
      <xdr:rowOff>43541</xdr:rowOff>
    </xdr:to>
    <xdr:sp macro="" textlink="">
      <xdr:nvSpPr>
        <xdr:cNvPr id="7" name="TextBox 6">
          <a:extLst>
            <a:ext uri="{FF2B5EF4-FFF2-40B4-BE49-F238E27FC236}">
              <a16:creationId xmlns:a16="http://schemas.microsoft.com/office/drawing/2014/main" id="{00000000-0008-0000-0800-000007000000}"/>
            </a:ext>
          </a:extLst>
        </xdr:cNvPr>
        <xdr:cNvSpPr txBox="1"/>
      </xdr:nvSpPr>
      <xdr:spPr>
        <a:xfrm>
          <a:off x="11560629" y="17569542"/>
          <a:ext cx="6250215" cy="34605685"/>
        </a:xfrm>
        <a:prstGeom prst="rect">
          <a:avLst/>
        </a:prstGeom>
        <a:solidFill>
          <a:srgbClr val="FFD9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800" u="sng"/>
            <a:t>Sheet</a:t>
          </a:r>
          <a:r>
            <a:rPr lang="en-US" sz="1800" u="sng" baseline="0"/>
            <a:t> Revision Notes &amp; Ideas</a:t>
          </a:r>
          <a:r>
            <a:rPr lang="en-US" sz="1800" u="none" baseline="0"/>
            <a:t>:</a:t>
          </a:r>
        </a:p>
        <a:p>
          <a:r>
            <a:rPr lang="en-US" sz="1400" u="none" baseline="0"/>
            <a:t>Started with Excel rev. 6/18/13 prior to revising as noted below:</a:t>
          </a:r>
        </a:p>
        <a:p>
          <a:endParaRPr lang="en-US" sz="1400" u="none" baseline="0"/>
        </a:p>
        <a:p>
          <a:r>
            <a:rPr lang="en-US" sz="1400" u="none" baseline="0">
              <a:solidFill>
                <a:srgbClr val="FF0000"/>
              </a:solidFill>
            </a:rPr>
            <a:t>Check 70001105 to verify tremie/pump pipe adjustment function.</a:t>
          </a:r>
        </a:p>
        <a:p>
          <a:endParaRPr lang="en-US" sz="1400" u="none" baseline="0">
            <a:solidFill>
              <a:srgbClr val="FF0000"/>
            </a:solidFill>
          </a:endParaRPr>
        </a:p>
        <a:p>
          <a:r>
            <a:rPr lang="en-US" sz="1400" u="none" baseline="0">
              <a:solidFill>
                <a:srgbClr val="FF0000"/>
              </a:solidFill>
            </a:rPr>
            <a:t>Consider Notes &amp; Info. adjustment after all revisions are made.</a:t>
          </a:r>
        </a:p>
        <a:p>
          <a:endParaRPr lang="en-US" sz="1400" u="none" baseline="0">
            <a:solidFill>
              <a:srgbClr val="FF0000"/>
            </a:solidFill>
          </a:endParaRPr>
        </a:p>
        <a:p>
          <a:r>
            <a:rPr lang="en-US" sz="1400" u="none" baseline="0">
              <a:solidFill>
                <a:srgbClr val="FF0000"/>
              </a:solidFill>
            </a:rPr>
            <a:t>Protect all 5 sheets when done.</a:t>
          </a:r>
        </a:p>
        <a:p>
          <a:endParaRPr lang="en-US" sz="1400" u="none" baseline="0">
            <a:solidFill>
              <a:srgbClr val="FF0000"/>
            </a:solidFill>
          </a:endParaRPr>
        </a:p>
        <a:p>
          <a:r>
            <a:rPr lang="en-US" sz="1400" u="none" baseline="0">
              <a:solidFill>
                <a:srgbClr val="FF0000"/>
              </a:solidFill>
            </a:rPr>
            <a:t>NOTE:   As of rev 8-14-13.  If it is desirable to have the last concrete lift terminate at  final shaft TOP, rather than REF, adjusting the last lift concrete tag by the difference between TOP &amp; REF elevations:  "+" if TOP is below REF </a:t>
          </a:r>
          <a:r>
            <a:rPr lang="en-US" sz="1100" baseline="0">
              <a:solidFill>
                <a:schemeClr val="dk1"/>
              </a:solidFill>
              <a:latin typeface="+mn-lt"/>
              <a:ea typeface="+mn-ea"/>
              <a:cs typeface="+mn-cs"/>
            </a:rPr>
            <a:t>+(REF  - TOP) </a:t>
          </a:r>
          <a:r>
            <a:rPr lang="en-US" sz="1400" u="none" baseline="0">
              <a:solidFill>
                <a:srgbClr val="FF0000"/>
              </a:solidFill>
            </a:rPr>
            <a:t>, and "-" if TOP is above REF  </a:t>
          </a:r>
          <a:r>
            <a:rPr lang="en-US" sz="1400" u="none" baseline="0">
              <a:solidFill>
                <a:sysClr val="windowText" lastClr="000000"/>
              </a:solidFill>
            </a:rPr>
            <a:t>-</a:t>
          </a:r>
          <a:r>
            <a:rPr lang="en-US" sz="1100" baseline="0">
              <a:solidFill>
                <a:schemeClr val="dk1"/>
              </a:solidFill>
              <a:latin typeface="+mn-lt"/>
              <a:ea typeface="+mn-ea"/>
              <a:cs typeface="+mn-cs"/>
            </a:rPr>
            <a:t>(TOP - REF) </a:t>
          </a:r>
          <a:r>
            <a:rPr lang="en-US" sz="1400" u="none" baseline="0">
              <a:solidFill>
                <a:srgbClr val="FF0000"/>
              </a:solidFill>
              <a:latin typeface="+mn-lt"/>
              <a:ea typeface="+mn-ea"/>
              <a:cs typeface="+mn-cs"/>
            </a:rPr>
            <a:t>.  If REF = TOP, no adjustment is needed.</a:t>
          </a:r>
          <a:endParaRPr lang="en-US" sz="1400" u="none" baseline="0">
            <a:solidFill>
              <a:srgbClr val="FF0000"/>
            </a:solidFill>
          </a:endParaRPr>
        </a:p>
        <a:p>
          <a:r>
            <a:rPr lang="en-US" sz="1800" u="none" baseline="0"/>
            <a:t> </a:t>
          </a:r>
        </a:p>
        <a:p>
          <a:r>
            <a:rPr lang="en-US" sz="1800" b="1" u="none" baseline="0"/>
            <a:t>Page 1 tab - trucks 1-10:</a:t>
          </a:r>
        </a:p>
        <a:p>
          <a:endParaRPr lang="en-US" sz="1800" u="none" baseline="0"/>
        </a:p>
        <a:p>
          <a:r>
            <a:rPr lang="en-US" sz="1400" u="none" baseline="0"/>
            <a:t>-  In the area of the current cell S31, "Rebar Cage Top Elev. (ft):" the header was partially hidden due to wrap text.  The expanded cell S31 now provides enough room so that this header text won't wrap.  8/13/13</a:t>
          </a:r>
        </a:p>
        <a:p>
          <a:endParaRPr lang="en-US" sz="1400" u="none" baseline="0"/>
        </a:p>
        <a:p>
          <a:r>
            <a:rPr lang="en-US" sz="1400" u="none" baseline="0"/>
            <a:t>-  Cell BB94, VW</a:t>
          </a:r>
          <a:r>
            <a:rPr lang="en-US" sz="1400" u="none" baseline="-25000"/>
            <a:t>T</a:t>
          </a:r>
          <a:r>
            <a:rPr lang="en-US" sz="1400" u="none" baseline="0"/>
            <a:t> revised to 2 dec places.  8/13/13</a:t>
          </a:r>
        </a:p>
        <a:p>
          <a:endParaRPr lang="en-US" sz="1400" u="none" baseline="0"/>
        </a:p>
        <a:p>
          <a:r>
            <a:rPr lang="en-US" sz="1400" u="none" baseline="0"/>
            <a:t>-  Cells CB 100 &amp; CB103 expanded.  CB103 was blue font, now black font to reflect cell includes equation, rather than being an input.  8/13/13</a:t>
          </a:r>
        </a:p>
        <a:p>
          <a:endParaRPr lang="en-US" sz="1400" u="none" baseline="0"/>
        </a:p>
        <a:p>
          <a:r>
            <a:rPr lang="en-US" sz="1400" u="none" baseline="0"/>
            <a:t>-  Casing 1 &amp; 2 Installation &amp; Removal Times (8 places) could not always show time input.  If time too large, "####### "only would be visible on-screen.  All 8 blocks are now 1-cell wider, and font reduced from 16 to 15 to make sure time input is visible on-screen.   8/13/13</a:t>
          </a:r>
        </a:p>
        <a:p>
          <a:endParaRPr lang="en-US" sz="1400" u="none" baseline="0"/>
        </a:p>
        <a:p>
          <a:r>
            <a:rPr lang="en-US" sz="1400" u="none" baseline="0"/>
            <a:t>-  Added Csg 1  Csg 2 alert (cell B109) to make sure that Csg 1 is input as the INNER casing, and Casing 2 is input as the OUTER casing (Csg 1 ID &lt; Csg 2 ID, when 2 casings are input).    10-3-13 </a:t>
          </a:r>
        </a:p>
        <a:p>
          <a:endParaRPr lang="en-US" sz="1400" u="none" baseline="0"/>
        </a:p>
        <a:p>
          <a:endParaRPr lang="en-US" sz="1400" u="none" baseline="0"/>
        </a:p>
        <a:p>
          <a:endParaRPr lang="en-US" sz="1800" u="none" baseline="0"/>
        </a:p>
        <a:p>
          <a:r>
            <a:rPr lang="en-US" sz="1800" b="1" u="none" baseline="0"/>
            <a:t>Page 2 tab - trucks 11-25:</a:t>
          </a:r>
          <a:endParaRPr lang="en-US" sz="1400" b="1" u="none" baseline="0"/>
        </a:p>
        <a:p>
          <a:endParaRPr lang="en-US" sz="1400" b="1" u="none" baseline="0"/>
        </a:p>
        <a:p>
          <a:r>
            <a:rPr lang="en-US" sz="1400" b="0" u="none" baseline="0"/>
            <a:t>-  For the cells that include the Drop-down selection of Pg. 1 tab header area data, if the data on the current sheet does not match the corresponding Pg. 1 data, the font in that cell will be green, and a Note will appear to right of sheet indicating the sheet value &amp; Pg. 1 value do not match.  These values don't have to match always.  The reminder is needed because when the Pg. 1 data is revised, and previous data is already applied to the other 4 tab sheets, it would then be necessary to re-apply the new value either via manual input, or by the easier method -  use the cell drop-down.  When data matches Pg. 1 data, or is corrected to match Pg. 1, the font will be blue.  8/13/13    </a:t>
          </a:r>
        </a:p>
        <a:p>
          <a:endParaRPr lang="en-US" sz="1400" u="none" baseline="0"/>
        </a:p>
        <a:p>
          <a:endParaRPr lang="en-US" sz="1400" u="none" baseline="0"/>
        </a:p>
        <a:p>
          <a:endParaRPr lang="en-US" sz="1800" u="none" baseline="0"/>
        </a:p>
        <a:p>
          <a:r>
            <a:rPr lang="en-US" sz="1800" b="1" u="none" baseline="0"/>
            <a:t>Page 3 tab - trucks 26-40:</a:t>
          </a:r>
        </a:p>
        <a:p>
          <a:endParaRPr lang="en-US" sz="1400" b="1" u="none" baseline="0"/>
        </a:p>
        <a:p>
          <a:r>
            <a:rPr lang="en-US" sz="1400" b="0" u="none" baseline="0"/>
            <a:t>-  See 1st comment on the Page 2 tab section above.  8/13/13</a:t>
          </a:r>
        </a:p>
        <a:p>
          <a:endParaRPr lang="en-US" sz="1400" u="none" baseline="0"/>
        </a:p>
        <a:p>
          <a:endParaRPr lang="en-US" sz="1400" u="none" baseline="0"/>
        </a:p>
        <a:p>
          <a:endParaRPr lang="en-US" sz="1800" u="none" baseline="0"/>
        </a:p>
        <a:p>
          <a:r>
            <a:rPr lang="en-US" sz="1800" b="1" u="none" baseline="0"/>
            <a:t>Field Concr. Curve tab:</a:t>
          </a:r>
        </a:p>
        <a:p>
          <a:endParaRPr lang="en-US" sz="1400" u="none" baseline="0"/>
        </a:p>
        <a:p>
          <a:pPr marL="0" marR="0" indent="0" defTabSz="914400" eaLnBrk="1" fontAlgn="auto" latinLnBrk="0" hangingPunct="1">
            <a:lnSpc>
              <a:spcPct val="100000"/>
            </a:lnSpc>
            <a:spcBef>
              <a:spcPts val="0"/>
            </a:spcBef>
            <a:spcAft>
              <a:spcPts val="0"/>
            </a:spcAft>
            <a:buClrTx/>
            <a:buSzTx/>
            <a:buFontTx/>
            <a:buNone/>
            <a:tabLst/>
            <a:defRPr/>
          </a:pPr>
          <a:r>
            <a:rPr lang="en-US" sz="1400" b="0" baseline="0">
              <a:solidFill>
                <a:schemeClr val="dk1"/>
              </a:solidFill>
              <a:latin typeface="+mn-lt"/>
              <a:ea typeface="+mn-ea"/>
              <a:cs typeface="+mn-cs"/>
            </a:rPr>
            <a:t>-  See 1st comment on the Page 2 tab section above.  8/13/13</a:t>
          </a:r>
          <a:endParaRPr lang="en-US" sz="1400"/>
        </a:p>
        <a:p>
          <a:endParaRPr lang="en-US" sz="1400" u="none" baseline="0"/>
        </a:p>
        <a:p>
          <a:endParaRPr lang="en-US" sz="1800" u="none" baseline="0"/>
        </a:p>
        <a:p>
          <a:r>
            <a:rPr lang="en-US" sz="1800" b="1" u="none" baseline="0"/>
            <a:t>Excel Concr. Curve tab:</a:t>
          </a:r>
        </a:p>
        <a:p>
          <a:endParaRPr lang="en-US" sz="1800" b="1" u="none" baseline="0"/>
        </a:p>
        <a:p>
          <a:r>
            <a:rPr lang="en-US" sz="1400" b="0" u="none" baseline="0">
              <a:solidFill>
                <a:srgbClr val="FF0000"/>
              </a:solidFill>
            </a:rPr>
            <a:t>-  Consider whether or not including tremie/pump pipe adjustment is necessary.</a:t>
          </a:r>
        </a:p>
        <a:p>
          <a:endParaRPr lang="en-US" sz="1400" b="0" u="none" baseline="0">
            <a:solidFill>
              <a:srgbClr val="FF0000"/>
            </a:solidFill>
          </a:endParaRPr>
        </a:p>
        <a:p>
          <a:r>
            <a:rPr lang="en-US" sz="1400" b="0" u="none" baseline="0">
              <a:solidFill>
                <a:srgbClr val="FF0000"/>
              </a:solidFill>
            </a:rPr>
            <a:t>-  Consider whether or not to adjust Excel to allow the sheet to automatically plot to shaft TOP, rather than REF.  TOP may be &lt;, = or &gt; REF.  Adjustment for both Theoretical &amp; Acual Curves would be required.</a:t>
          </a:r>
        </a:p>
        <a:p>
          <a:endParaRPr lang="en-US" sz="1800" b="0" u="none" baseline="0"/>
        </a:p>
        <a:p>
          <a:pPr marL="0" marR="0" indent="0" defTabSz="914400" eaLnBrk="1" fontAlgn="auto" latinLnBrk="0" hangingPunct="1">
            <a:lnSpc>
              <a:spcPct val="100000"/>
            </a:lnSpc>
            <a:spcBef>
              <a:spcPts val="0"/>
            </a:spcBef>
            <a:spcAft>
              <a:spcPts val="0"/>
            </a:spcAft>
            <a:buClrTx/>
            <a:buSzTx/>
            <a:buFontTx/>
            <a:buNone/>
            <a:tabLst/>
            <a:defRPr/>
          </a:pPr>
          <a:r>
            <a:rPr lang="en-US" sz="1400" b="0" baseline="0">
              <a:solidFill>
                <a:schemeClr val="dk1"/>
              </a:solidFill>
              <a:latin typeface="+mn-lt"/>
              <a:ea typeface="+mn-ea"/>
              <a:cs typeface="+mn-cs"/>
            </a:rPr>
            <a:t>-  See 1st comment on the Page 2 tab section above.  8/13/13</a:t>
          </a:r>
          <a:endParaRPr lang="en-US" sz="1400"/>
        </a:p>
        <a:p>
          <a:endParaRPr lang="en-US" sz="1800" b="1" u="none" baseline="0"/>
        </a:p>
        <a:p>
          <a:endParaRPr lang="en-US" sz="1400" u="none" baseline="0"/>
        </a:p>
        <a:p>
          <a:r>
            <a:rPr lang="en-US" sz="1400" u="none" baseline="0"/>
            <a:t>-  Y-axis label corrected to default to "LENGTH  (ft)  (bottom-up)" when cell AB7 is left blank.  8/13/13</a:t>
          </a:r>
        </a:p>
        <a:p>
          <a:endParaRPr lang="en-US" sz="1400" u="none" baseline="0"/>
        </a:p>
        <a:p>
          <a:r>
            <a:rPr lang="en-US" sz="1400" u="none" baseline="0"/>
            <a:t>-  Tables adjusted to highlight calculated lift diameters &lt; shaft dia. (red font).  If lift calc. lift dia. is &lt; Theor. dia. (column CCxx, cels CC16-CC55) , the font is green.  8/13/13</a:t>
          </a:r>
        </a:p>
        <a:p>
          <a:endParaRPr lang="en-US" sz="1400" u="none" baseline="0"/>
        </a:p>
        <a:p>
          <a:r>
            <a:rPr lang="en-US" sz="1400" u="none" baseline="0"/>
            <a:t>-  Added ID (ft) to Theor. Curve Legend labels ( Uncased, Casing 1, Casing 2 and Uncased above Casing to REF.   10-8-13</a:t>
          </a:r>
        </a:p>
        <a:p>
          <a:endParaRPr lang="en-US" sz="1400" u="none" baseline="0"/>
        </a:p>
        <a:p>
          <a:endParaRPr lang="en-US" sz="1800" u="none" baseline="0"/>
        </a:p>
        <a:p>
          <a:endParaRPr lang="en-US" sz="1200" u="none"/>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xdr:col>
      <xdr:colOff>40818</xdr:colOff>
      <xdr:row>10</xdr:row>
      <xdr:rowOff>72307</xdr:rowOff>
    </xdr:from>
    <xdr:to>
      <xdr:col>60</xdr:col>
      <xdr:colOff>93859</xdr:colOff>
      <xdr:row>84</xdr:row>
      <xdr:rowOff>85661</xdr:rowOff>
    </xdr:to>
    <xdr:graphicFrame macro="">
      <xdr:nvGraphicFramePr>
        <xdr:cNvPr id="4" name="Chart 5">
          <a:extLst>
            <a:ext uri="{FF2B5EF4-FFF2-40B4-BE49-F238E27FC236}">
              <a16:creationId xmlns:a16="http://schemas.microsoft.com/office/drawing/2014/main" id="{00000000-0008-0000-0B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104</xdr:col>
      <xdr:colOff>9526</xdr:colOff>
      <xdr:row>51</xdr:row>
      <xdr:rowOff>0</xdr:rowOff>
    </xdr:from>
    <xdr:to>
      <xdr:col>122</xdr:col>
      <xdr:colOff>19050</xdr:colOff>
      <xdr:row>88</xdr:row>
      <xdr:rowOff>9525</xdr:rowOff>
    </xdr:to>
    <xdr:graphicFrame macro="">
      <xdr:nvGraphicFramePr>
        <xdr:cNvPr id="6" name="Chart 5">
          <a:extLst>
            <a:ext uri="{FF2B5EF4-FFF2-40B4-BE49-F238E27FC236}">
              <a16:creationId xmlns:a16="http://schemas.microsoft.com/office/drawing/2014/main" id="{00000000-0008-0000-0B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3.xml><?xml version="1.0" encoding="utf-8"?>
<c:userShapes xmlns:c="http://schemas.openxmlformats.org/drawingml/2006/chart">
  <cdr:relSizeAnchor xmlns:cdr="http://schemas.openxmlformats.org/drawingml/2006/chartDrawing">
    <cdr:from>
      <cdr:x>0.00478</cdr:x>
      <cdr:y>0</cdr:y>
    </cdr:from>
    <cdr:to>
      <cdr:x>0.0092</cdr:x>
      <cdr:y>0.00746</cdr:y>
    </cdr:to>
    <cdr:pic>
      <cdr:nvPicPr>
        <cdr:cNvPr id="3" name="chart">
          <a:extLst xmlns:a="http://schemas.openxmlformats.org/drawingml/2006/main">
            <a:ext uri="{FF2B5EF4-FFF2-40B4-BE49-F238E27FC236}">
              <a16:creationId xmlns:a16="http://schemas.microsoft.com/office/drawing/2014/main" id="{76E2A632-8497-483D-9116-7D4C90093A77}"/>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28575" y="0"/>
          <a:ext cx="26397" cy="31052"/>
        </a:xfrm>
        <a:prstGeom xmlns:a="http://schemas.openxmlformats.org/drawingml/2006/main" prst="rect">
          <a:avLst/>
        </a:prstGeom>
      </cdr:spPr>
    </cdr:pic>
  </cdr:relSizeAnchor>
  <cdr:relSizeAnchor xmlns:cdr="http://schemas.openxmlformats.org/drawingml/2006/chartDrawing">
    <cdr:from>
      <cdr:x>0</cdr:x>
      <cdr:y>0</cdr:y>
    </cdr:from>
    <cdr:to>
      <cdr:x>0.00442</cdr:x>
      <cdr:y>0.00746</cdr:y>
    </cdr:to>
    <cdr:pic>
      <cdr:nvPicPr>
        <cdr:cNvPr id="2" name="chart">
          <a:extLst xmlns:a="http://schemas.openxmlformats.org/drawingml/2006/main">
            <a:ext uri="{FF2B5EF4-FFF2-40B4-BE49-F238E27FC236}">
              <a16:creationId xmlns:a16="http://schemas.microsoft.com/office/drawing/2014/main" id="{76EFE4A7-68E3-4691-A769-3A0F67FBAC72}"/>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userShapes>
</file>

<file path=xl/drawings/drawing14.xml><?xml version="1.0" encoding="utf-8"?>
<c:userShapes xmlns:c="http://schemas.openxmlformats.org/drawingml/2006/chart">
  <cdr:relSizeAnchor xmlns:cdr="http://schemas.openxmlformats.org/drawingml/2006/chartDrawing">
    <cdr:from>
      <cdr:x>0.00478</cdr:x>
      <cdr:y>0</cdr:y>
    </cdr:from>
    <cdr:to>
      <cdr:x>0.0092</cdr:x>
      <cdr:y>0.00746</cdr:y>
    </cdr:to>
    <cdr:pic>
      <cdr:nvPicPr>
        <cdr:cNvPr id="3" name="chart">
          <a:extLst xmlns:a="http://schemas.openxmlformats.org/drawingml/2006/main">
            <a:ext uri="{FF2B5EF4-FFF2-40B4-BE49-F238E27FC236}">
              <a16:creationId xmlns:a16="http://schemas.microsoft.com/office/drawing/2014/main" id="{67D6AC5C-9662-4896-8D3E-CCC938CC7E7B}"/>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28575" y="0"/>
          <a:ext cx="26397" cy="31052"/>
        </a:xfrm>
        <a:prstGeom xmlns:a="http://schemas.openxmlformats.org/drawingml/2006/main" prst="rect">
          <a:avLst/>
        </a:prstGeom>
      </cdr:spPr>
    </cdr:pic>
  </cdr:relSizeAnchor>
  <cdr:relSizeAnchor xmlns:cdr="http://schemas.openxmlformats.org/drawingml/2006/chartDrawing">
    <cdr:from>
      <cdr:x>0</cdr:x>
      <cdr:y>0</cdr:y>
    </cdr:from>
    <cdr:to>
      <cdr:x>0.00442</cdr:x>
      <cdr:y>0.00746</cdr:y>
    </cdr:to>
    <cdr:pic>
      <cdr:nvPicPr>
        <cdr:cNvPr id="2" name="chart">
          <a:extLst xmlns:a="http://schemas.openxmlformats.org/drawingml/2006/main">
            <a:ext uri="{FF2B5EF4-FFF2-40B4-BE49-F238E27FC236}">
              <a16:creationId xmlns:a16="http://schemas.microsoft.com/office/drawing/2014/main" id="{6412C776-EDA9-4BBE-BD78-80F103E40812}"/>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userShapes>
</file>

<file path=xl/drawings/drawing15.xml><?xml version="1.0" encoding="utf-8"?>
<xdr:wsDr xmlns:xdr="http://schemas.openxmlformats.org/drawingml/2006/spreadsheetDrawing" xmlns:a="http://schemas.openxmlformats.org/drawingml/2006/main">
  <xdr:twoCellAnchor>
    <xdr:from>
      <xdr:col>13</xdr:col>
      <xdr:colOff>50067</xdr:colOff>
      <xdr:row>25</xdr:row>
      <xdr:rowOff>162412</xdr:rowOff>
    </xdr:from>
    <xdr:to>
      <xdr:col>17</xdr:col>
      <xdr:colOff>67125</xdr:colOff>
      <xdr:row>40</xdr:row>
      <xdr:rowOff>146539</xdr:rowOff>
    </xdr:to>
    <xdr:pic>
      <xdr:nvPicPr>
        <xdr:cNvPr id="2" name="Picture 1" descr="70001091image">
          <a:extLst>
            <a:ext uri="{FF2B5EF4-FFF2-40B4-BE49-F238E27FC236}">
              <a16:creationId xmlns:a16="http://schemas.microsoft.com/office/drawing/2014/main" id="{00000000-0008-0000-0D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052847" y="8399632"/>
          <a:ext cx="2607858" cy="5363847"/>
        </a:xfrm>
        <a:prstGeom prst="rect">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a:noFill/>
        </a:ln>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39</xdr:col>
      <xdr:colOff>499382</xdr:colOff>
      <xdr:row>10</xdr:row>
      <xdr:rowOff>54428</xdr:rowOff>
    </xdr:from>
    <xdr:to>
      <xdr:col>44</xdr:col>
      <xdr:colOff>373652</xdr:colOff>
      <xdr:row>27</xdr:row>
      <xdr:rowOff>118060</xdr:rowOff>
    </xdr:to>
    <xdr:pic>
      <xdr:nvPicPr>
        <xdr:cNvPr id="2" name="Picture 1">
          <a:extLst>
            <a:ext uri="{FF2B5EF4-FFF2-40B4-BE49-F238E27FC236}">
              <a16:creationId xmlns:a16="http://schemas.microsoft.com/office/drawing/2014/main" id="{A771C95C-1888-422F-8622-2184C4BDA0C0}"/>
            </a:ext>
          </a:extLst>
        </xdr:cNvPr>
        <xdr:cNvPicPr>
          <a:picLocks noChangeAspect="1"/>
        </xdr:cNvPicPr>
      </xdr:nvPicPr>
      <xdr:blipFill>
        <a:blip xmlns:r="http://schemas.openxmlformats.org/officeDocument/2006/relationships" r:embed="rId1"/>
        <a:stretch>
          <a:fillRect/>
        </a:stretch>
      </xdr:blipFill>
      <xdr:spPr>
        <a:xfrm>
          <a:off x="11776982" y="2547257"/>
          <a:ext cx="3037114" cy="6333803"/>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xdr:from>
      <xdr:col>1</xdr:col>
      <xdr:colOff>0</xdr:colOff>
      <xdr:row>10</xdr:row>
      <xdr:rowOff>9525</xdr:rowOff>
    </xdr:from>
    <xdr:to>
      <xdr:col>2</xdr:col>
      <xdr:colOff>228600</xdr:colOff>
      <xdr:row>15</xdr:row>
      <xdr:rowOff>152400</xdr:rowOff>
    </xdr:to>
    <xdr:sp macro="" textlink="">
      <xdr:nvSpPr>
        <xdr:cNvPr id="2" name="Rectangle 1">
          <a:extLst>
            <a:ext uri="{FF2B5EF4-FFF2-40B4-BE49-F238E27FC236}">
              <a16:creationId xmlns:a16="http://schemas.microsoft.com/office/drawing/2014/main" id="{572DC1D7-D6C6-483A-8D2B-37D54D20003E}"/>
            </a:ext>
          </a:extLst>
        </xdr:cNvPr>
        <xdr:cNvSpPr/>
      </xdr:nvSpPr>
      <xdr:spPr>
        <a:xfrm>
          <a:off x="617220" y="1564005"/>
          <a:ext cx="807720" cy="1095375"/>
        </a:xfrm>
        <a:prstGeom prst="rect">
          <a:avLst/>
        </a:prstGeom>
        <a:gradFill flip="none" rotWithShape="1">
          <a:gsLst>
            <a:gs pos="0">
              <a:schemeClr val="accent1">
                <a:lumMod val="5000"/>
                <a:lumOff val="95000"/>
              </a:schemeClr>
            </a:gs>
            <a:gs pos="19000">
              <a:schemeClr val="bg1"/>
            </a:gs>
            <a:gs pos="57000">
              <a:schemeClr val="bg2">
                <a:lumMod val="75000"/>
              </a:schemeClr>
            </a:gs>
            <a:gs pos="77000">
              <a:schemeClr val="bg2">
                <a:lumMod val="75000"/>
              </a:schemeClr>
            </a:gs>
            <a:gs pos="99000">
              <a:schemeClr val="bg2">
                <a:lumMod val="75000"/>
              </a:schemeClr>
            </a:gs>
          </a:gsLst>
          <a:lin ang="2700000" scaled="1"/>
          <a:tileRect/>
        </a:gradFill>
        <a:ln>
          <a:solidFill>
            <a:schemeClr val="tx1"/>
          </a:solidFill>
        </a:ln>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14288</xdr:colOff>
      <xdr:row>40</xdr:row>
      <xdr:rowOff>4763</xdr:rowOff>
    </xdr:from>
    <xdr:to>
      <xdr:col>2</xdr:col>
      <xdr:colOff>204577</xdr:colOff>
      <xdr:row>48</xdr:row>
      <xdr:rowOff>152400</xdr:rowOff>
    </xdr:to>
    <xdr:sp macro="" textlink="">
      <xdr:nvSpPr>
        <xdr:cNvPr id="3" name="Rectangle 2">
          <a:extLst>
            <a:ext uri="{FF2B5EF4-FFF2-40B4-BE49-F238E27FC236}">
              <a16:creationId xmlns:a16="http://schemas.microsoft.com/office/drawing/2014/main" id="{7FD12F6F-AFDA-40F0-A810-8AD142881762}"/>
            </a:ext>
          </a:extLst>
        </xdr:cNvPr>
        <xdr:cNvSpPr/>
      </xdr:nvSpPr>
      <xdr:spPr>
        <a:xfrm>
          <a:off x="631508" y="7274243"/>
          <a:ext cx="769409" cy="1671637"/>
        </a:xfrm>
        <a:prstGeom prst="rect">
          <a:avLst/>
        </a:prstGeom>
        <a:blipFill>
          <a:blip xmlns:r="http://schemas.openxmlformats.org/officeDocument/2006/relationships" r:embed="rId1"/>
          <a:tile tx="0" ty="0" sx="100000" sy="100000" flip="none" algn="tl"/>
        </a:blip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53972</xdr:colOff>
      <xdr:row>10</xdr:row>
      <xdr:rowOff>123825</xdr:rowOff>
    </xdr:from>
    <xdr:to>
      <xdr:col>2</xdr:col>
      <xdr:colOff>158749</xdr:colOff>
      <xdr:row>15</xdr:row>
      <xdr:rowOff>57150</xdr:rowOff>
    </xdr:to>
    <xdr:sp macro="" textlink="">
      <xdr:nvSpPr>
        <xdr:cNvPr id="4" name="TextBox 3">
          <a:extLst>
            <a:ext uri="{FF2B5EF4-FFF2-40B4-BE49-F238E27FC236}">
              <a16:creationId xmlns:a16="http://schemas.microsoft.com/office/drawing/2014/main" id="{E43E9661-B62A-44E2-A0E8-82ABFD9F7C3B}"/>
            </a:ext>
          </a:extLst>
        </xdr:cNvPr>
        <xdr:cNvSpPr txBox="1"/>
      </xdr:nvSpPr>
      <xdr:spPr>
        <a:xfrm>
          <a:off x="671192" y="1678305"/>
          <a:ext cx="683897" cy="885825"/>
        </a:xfrm>
        <a:prstGeom prst="rect">
          <a:avLst/>
        </a:prstGeom>
        <a:solidFill>
          <a:schemeClr val="accent4">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900"/>
            <a:t>5th</a:t>
          </a:r>
          <a:r>
            <a:rPr lang="en-US" sz="900" baseline="0"/>
            <a:t> </a:t>
          </a:r>
          <a:r>
            <a:rPr lang="en-US" sz="900"/>
            <a:t>Casing,</a:t>
          </a:r>
        </a:p>
        <a:p>
          <a:pPr algn="ctr"/>
          <a:r>
            <a:rPr lang="en-US" sz="900"/>
            <a:t>HIghest or Sonotube</a:t>
          </a:r>
        </a:p>
      </xdr:txBody>
    </xdr:sp>
    <xdr:clientData/>
  </xdr:twoCellAnchor>
  <xdr:twoCellAnchor>
    <xdr:from>
      <xdr:col>1</xdr:col>
      <xdr:colOff>71438</xdr:colOff>
      <xdr:row>43</xdr:row>
      <xdr:rowOff>23814</xdr:rowOff>
    </xdr:from>
    <xdr:to>
      <xdr:col>2</xdr:col>
      <xdr:colOff>133350</xdr:colOff>
      <xdr:row>45</xdr:row>
      <xdr:rowOff>138114</xdr:rowOff>
    </xdr:to>
    <xdr:sp macro="" textlink="">
      <xdr:nvSpPr>
        <xdr:cNvPr id="5" name="TextBox 4">
          <a:extLst>
            <a:ext uri="{FF2B5EF4-FFF2-40B4-BE49-F238E27FC236}">
              <a16:creationId xmlns:a16="http://schemas.microsoft.com/office/drawing/2014/main" id="{DE76219F-8A35-47CA-B525-ABA5B99641F1}"/>
            </a:ext>
          </a:extLst>
        </xdr:cNvPr>
        <xdr:cNvSpPr txBox="1"/>
      </xdr:nvSpPr>
      <xdr:spPr>
        <a:xfrm>
          <a:off x="688658" y="7864794"/>
          <a:ext cx="641032" cy="495300"/>
        </a:xfrm>
        <a:prstGeom prst="rect">
          <a:avLst/>
        </a:prstGeom>
        <a:solidFill>
          <a:schemeClr val="accent4">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900"/>
            <a:t>Uncased Shaft</a:t>
          </a:r>
        </a:p>
      </xdr:txBody>
    </xdr:sp>
    <xdr:clientData/>
  </xdr:twoCellAnchor>
  <xdr:twoCellAnchor>
    <xdr:from>
      <xdr:col>1</xdr:col>
      <xdr:colOff>4762</xdr:colOff>
      <xdr:row>16</xdr:row>
      <xdr:rowOff>0</xdr:rowOff>
    </xdr:from>
    <xdr:to>
      <xdr:col>2</xdr:col>
      <xdr:colOff>233362</xdr:colOff>
      <xdr:row>21</xdr:row>
      <xdr:rowOff>142875</xdr:rowOff>
    </xdr:to>
    <xdr:sp macro="" textlink="">
      <xdr:nvSpPr>
        <xdr:cNvPr id="6" name="Rectangle 5">
          <a:extLst>
            <a:ext uri="{FF2B5EF4-FFF2-40B4-BE49-F238E27FC236}">
              <a16:creationId xmlns:a16="http://schemas.microsoft.com/office/drawing/2014/main" id="{FBB73257-1C22-4A04-AA01-4AA4884F5D03}"/>
            </a:ext>
          </a:extLst>
        </xdr:cNvPr>
        <xdr:cNvSpPr/>
      </xdr:nvSpPr>
      <xdr:spPr>
        <a:xfrm>
          <a:off x="621982" y="2697480"/>
          <a:ext cx="807720" cy="1095375"/>
        </a:xfrm>
        <a:prstGeom prst="rect">
          <a:avLst/>
        </a:prstGeom>
        <a:gradFill flip="none" rotWithShape="1">
          <a:gsLst>
            <a:gs pos="0">
              <a:schemeClr val="accent1">
                <a:lumMod val="5000"/>
                <a:lumOff val="95000"/>
              </a:schemeClr>
            </a:gs>
            <a:gs pos="19000">
              <a:schemeClr val="bg1"/>
            </a:gs>
            <a:gs pos="57000">
              <a:schemeClr val="bg2">
                <a:lumMod val="75000"/>
              </a:schemeClr>
            </a:gs>
            <a:gs pos="77000">
              <a:schemeClr val="bg2">
                <a:lumMod val="75000"/>
              </a:schemeClr>
            </a:gs>
            <a:gs pos="99000">
              <a:schemeClr val="bg2">
                <a:lumMod val="75000"/>
              </a:schemeClr>
            </a:gs>
          </a:gsLst>
          <a:lin ang="2700000" scaled="1"/>
          <a:tileRect/>
        </a:gradFill>
        <a:ln>
          <a:solidFill>
            <a:schemeClr val="tx1"/>
          </a:solidFill>
        </a:ln>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US" sz="1100">
            <a:solidFill>
              <a:schemeClr val="lt1"/>
            </a:solidFill>
            <a:latin typeface="+mn-lt"/>
            <a:ea typeface="+mn-ea"/>
            <a:cs typeface="+mn-cs"/>
          </a:endParaRPr>
        </a:p>
      </xdr:txBody>
    </xdr:sp>
    <xdr:clientData/>
  </xdr:twoCellAnchor>
  <xdr:twoCellAnchor>
    <xdr:from>
      <xdr:col>1</xdr:col>
      <xdr:colOff>147637</xdr:colOff>
      <xdr:row>17</xdr:row>
      <xdr:rowOff>123825</xdr:rowOff>
    </xdr:from>
    <xdr:to>
      <xdr:col>2</xdr:col>
      <xdr:colOff>90487</xdr:colOff>
      <xdr:row>19</xdr:row>
      <xdr:rowOff>161925</xdr:rowOff>
    </xdr:to>
    <xdr:sp macro="" textlink="">
      <xdr:nvSpPr>
        <xdr:cNvPr id="7" name="TextBox 6">
          <a:extLst>
            <a:ext uri="{FF2B5EF4-FFF2-40B4-BE49-F238E27FC236}">
              <a16:creationId xmlns:a16="http://schemas.microsoft.com/office/drawing/2014/main" id="{1D393969-C760-4652-8FF6-485249D1A394}"/>
            </a:ext>
          </a:extLst>
        </xdr:cNvPr>
        <xdr:cNvSpPr txBox="1"/>
      </xdr:nvSpPr>
      <xdr:spPr>
        <a:xfrm>
          <a:off x="764857" y="3011805"/>
          <a:ext cx="521970" cy="419100"/>
        </a:xfrm>
        <a:prstGeom prst="rect">
          <a:avLst/>
        </a:prstGeom>
        <a:solidFill>
          <a:schemeClr val="accent4">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900"/>
            <a:t>4th</a:t>
          </a:r>
          <a:r>
            <a:rPr lang="en-US" sz="900" baseline="0"/>
            <a:t> </a:t>
          </a:r>
          <a:r>
            <a:rPr lang="en-US" sz="900"/>
            <a:t>Casing</a:t>
          </a:r>
        </a:p>
      </xdr:txBody>
    </xdr:sp>
    <xdr:clientData/>
  </xdr:twoCellAnchor>
  <xdr:twoCellAnchor>
    <xdr:from>
      <xdr:col>1</xdr:col>
      <xdr:colOff>0</xdr:colOff>
      <xdr:row>22</xdr:row>
      <xdr:rowOff>0</xdr:rowOff>
    </xdr:from>
    <xdr:to>
      <xdr:col>2</xdr:col>
      <xdr:colOff>228600</xdr:colOff>
      <xdr:row>27</xdr:row>
      <xdr:rowOff>142875</xdr:rowOff>
    </xdr:to>
    <xdr:sp macro="" textlink="">
      <xdr:nvSpPr>
        <xdr:cNvPr id="8" name="Rectangle 7">
          <a:extLst>
            <a:ext uri="{FF2B5EF4-FFF2-40B4-BE49-F238E27FC236}">
              <a16:creationId xmlns:a16="http://schemas.microsoft.com/office/drawing/2014/main" id="{E28D4A62-004C-4A0D-A7D3-0EEB0A0EE956}"/>
            </a:ext>
          </a:extLst>
        </xdr:cNvPr>
        <xdr:cNvSpPr/>
      </xdr:nvSpPr>
      <xdr:spPr>
        <a:xfrm>
          <a:off x="627529" y="4078941"/>
          <a:ext cx="811306" cy="1048310"/>
        </a:xfrm>
        <a:prstGeom prst="rect">
          <a:avLst/>
        </a:prstGeom>
        <a:gradFill flip="none" rotWithShape="1">
          <a:gsLst>
            <a:gs pos="0">
              <a:schemeClr val="accent1">
                <a:lumMod val="5000"/>
                <a:lumOff val="95000"/>
              </a:schemeClr>
            </a:gs>
            <a:gs pos="19000">
              <a:schemeClr val="bg1"/>
            </a:gs>
            <a:gs pos="57000">
              <a:schemeClr val="bg2">
                <a:lumMod val="75000"/>
              </a:schemeClr>
            </a:gs>
            <a:gs pos="77000">
              <a:schemeClr val="bg2">
                <a:lumMod val="75000"/>
              </a:schemeClr>
            </a:gs>
            <a:gs pos="99000">
              <a:schemeClr val="bg2">
                <a:lumMod val="75000"/>
              </a:schemeClr>
            </a:gs>
          </a:gsLst>
          <a:lin ang="2700000" scaled="1"/>
          <a:tileRect/>
        </a:gradFill>
        <a:ln>
          <a:solidFill>
            <a:schemeClr val="tx1"/>
          </a:solidFill>
        </a:ln>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US" sz="1100">
            <a:solidFill>
              <a:schemeClr val="lt1"/>
            </a:solidFill>
            <a:latin typeface="+mn-lt"/>
            <a:ea typeface="+mn-ea"/>
            <a:cs typeface="+mn-cs"/>
          </a:endParaRPr>
        </a:p>
      </xdr:txBody>
    </xdr:sp>
    <xdr:clientData/>
  </xdr:twoCellAnchor>
  <xdr:twoCellAnchor>
    <xdr:from>
      <xdr:col>1</xdr:col>
      <xdr:colOff>142875</xdr:colOff>
      <xdr:row>23</xdr:row>
      <xdr:rowOff>123825</xdr:rowOff>
    </xdr:from>
    <xdr:to>
      <xdr:col>2</xdr:col>
      <xdr:colOff>85725</xdr:colOff>
      <xdr:row>25</xdr:row>
      <xdr:rowOff>161925</xdr:rowOff>
    </xdr:to>
    <xdr:sp macro="" textlink="">
      <xdr:nvSpPr>
        <xdr:cNvPr id="9" name="TextBox 8">
          <a:extLst>
            <a:ext uri="{FF2B5EF4-FFF2-40B4-BE49-F238E27FC236}">
              <a16:creationId xmlns:a16="http://schemas.microsoft.com/office/drawing/2014/main" id="{0D5D70E6-C702-4B8C-93F2-36EBB38ADF62}"/>
            </a:ext>
          </a:extLst>
        </xdr:cNvPr>
        <xdr:cNvSpPr txBox="1"/>
      </xdr:nvSpPr>
      <xdr:spPr>
        <a:xfrm>
          <a:off x="760095" y="4154805"/>
          <a:ext cx="521970" cy="419100"/>
        </a:xfrm>
        <a:prstGeom prst="rect">
          <a:avLst/>
        </a:prstGeom>
        <a:solidFill>
          <a:schemeClr val="accent4">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900" baseline="0"/>
            <a:t>3rd </a:t>
          </a:r>
          <a:r>
            <a:rPr lang="en-US" sz="900"/>
            <a:t>Casing</a:t>
          </a:r>
        </a:p>
      </xdr:txBody>
    </xdr:sp>
    <xdr:clientData/>
  </xdr:twoCellAnchor>
  <xdr:twoCellAnchor>
    <xdr:from>
      <xdr:col>1</xdr:col>
      <xdr:colOff>0</xdr:colOff>
      <xdr:row>28</xdr:row>
      <xdr:rowOff>0</xdr:rowOff>
    </xdr:from>
    <xdr:to>
      <xdr:col>2</xdr:col>
      <xdr:colOff>228600</xdr:colOff>
      <xdr:row>33</xdr:row>
      <xdr:rowOff>142875</xdr:rowOff>
    </xdr:to>
    <xdr:sp macro="" textlink="">
      <xdr:nvSpPr>
        <xdr:cNvPr id="10" name="Rectangle 9">
          <a:extLst>
            <a:ext uri="{FF2B5EF4-FFF2-40B4-BE49-F238E27FC236}">
              <a16:creationId xmlns:a16="http://schemas.microsoft.com/office/drawing/2014/main" id="{F70E8E28-019E-4681-A51F-85AE687001AD}"/>
            </a:ext>
          </a:extLst>
        </xdr:cNvPr>
        <xdr:cNvSpPr/>
      </xdr:nvSpPr>
      <xdr:spPr>
        <a:xfrm>
          <a:off x="617220" y="4983480"/>
          <a:ext cx="807720" cy="1095375"/>
        </a:xfrm>
        <a:prstGeom prst="rect">
          <a:avLst/>
        </a:prstGeom>
        <a:gradFill flip="none" rotWithShape="1">
          <a:gsLst>
            <a:gs pos="0">
              <a:schemeClr val="accent1">
                <a:lumMod val="5000"/>
                <a:lumOff val="95000"/>
              </a:schemeClr>
            </a:gs>
            <a:gs pos="19000">
              <a:schemeClr val="bg1"/>
            </a:gs>
            <a:gs pos="57000">
              <a:schemeClr val="bg2">
                <a:lumMod val="75000"/>
              </a:schemeClr>
            </a:gs>
            <a:gs pos="77000">
              <a:schemeClr val="bg2">
                <a:lumMod val="75000"/>
              </a:schemeClr>
            </a:gs>
            <a:gs pos="99000">
              <a:schemeClr val="bg2">
                <a:lumMod val="75000"/>
              </a:schemeClr>
            </a:gs>
          </a:gsLst>
          <a:lin ang="2700000" scaled="1"/>
          <a:tileRect/>
        </a:gradFill>
        <a:ln>
          <a:solidFill>
            <a:schemeClr val="tx1"/>
          </a:solidFill>
        </a:ln>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US" sz="1100">
            <a:solidFill>
              <a:schemeClr val="lt1"/>
            </a:solidFill>
            <a:latin typeface="+mn-lt"/>
            <a:ea typeface="+mn-ea"/>
            <a:cs typeface="+mn-cs"/>
          </a:endParaRPr>
        </a:p>
      </xdr:txBody>
    </xdr:sp>
    <xdr:clientData/>
  </xdr:twoCellAnchor>
  <xdr:twoCellAnchor>
    <xdr:from>
      <xdr:col>1</xdr:col>
      <xdr:colOff>142875</xdr:colOff>
      <xdr:row>29</xdr:row>
      <xdr:rowOff>123825</xdr:rowOff>
    </xdr:from>
    <xdr:to>
      <xdr:col>2</xdr:col>
      <xdr:colOff>85725</xdr:colOff>
      <xdr:row>31</xdr:row>
      <xdr:rowOff>161925</xdr:rowOff>
    </xdr:to>
    <xdr:sp macro="" textlink="">
      <xdr:nvSpPr>
        <xdr:cNvPr id="11" name="TextBox 10">
          <a:extLst>
            <a:ext uri="{FF2B5EF4-FFF2-40B4-BE49-F238E27FC236}">
              <a16:creationId xmlns:a16="http://schemas.microsoft.com/office/drawing/2014/main" id="{E175DEA7-27C3-4692-AE07-DA8C7863B6DC}"/>
            </a:ext>
          </a:extLst>
        </xdr:cNvPr>
        <xdr:cNvSpPr txBox="1"/>
      </xdr:nvSpPr>
      <xdr:spPr>
        <a:xfrm>
          <a:off x="760095" y="5297805"/>
          <a:ext cx="521970" cy="419100"/>
        </a:xfrm>
        <a:prstGeom prst="rect">
          <a:avLst/>
        </a:prstGeom>
        <a:solidFill>
          <a:schemeClr val="accent4">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900" baseline="0"/>
            <a:t>2nd </a:t>
          </a:r>
          <a:r>
            <a:rPr lang="en-US" sz="900"/>
            <a:t>Casing</a:t>
          </a:r>
        </a:p>
      </xdr:txBody>
    </xdr:sp>
    <xdr:clientData/>
  </xdr:twoCellAnchor>
  <xdr:twoCellAnchor>
    <xdr:from>
      <xdr:col>1</xdr:col>
      <xdr:colOff>0</xdr:colOff>
      <xdr:row>34</xdr:row>
      <xdr:rowOff>0</xdr:rowOff>
    </xdr:from>
    <xdr:to>
      <xdr:col>2</xdr:col>
      <xdr:colOff>228600</xdr:colOff>
      <xdr:row>39</xdr:row>
      <xdr:rowOff>142875</xdr:rowOff>
    </xdr:to>
    <xdr:sp macro="" textlink="">
      <xdr:nvSpPr>
        <xdr:cNvPr id="12" name="Rectangle 11">
          <a:extLst>
            <a:ext uri="{FF2B5EF4-FFF2-40B4-BE49-F238E27FC236}">
              <a16:creationId xmlns:a16="http://schemas.microsoft.com/office/drawing/2014/main" id="{E5643DD6-D37F-4721-A4A1-2F8E42139C67}"/>
            </a:ext>
          </a:extLst>
        </xdr:cNvPr>
        <xdr:cNvSpPr/>
      </xdr:nvSpPr>
      <xdr:spPr>
        <a:xfrm>
          <a:off x="617220" y="6126480"/>
          <a:ext cx="807720" cy="1095375"/>
        </a:xfrm>
        <a:prstGeom prst="rect">
          <a:avLst/>
        </a:prstGeom>
        <a:gradFill flip="none" rotWithShape="1">
          <a:gsLst>
            <a:gs pos="0">
              <a:schemeClr val="accent1">
                <a:lumMod val="5000"/>
                <a:lumOff val="95000"/>
              </a:schemeClr>
            </a:gs>
            <a:gs pos="19000">
              <a:schemeClr val="bg1"/>
            </a:gs>
            <a:gs pos="57000">
              <a:schemeClr val="bg2">
                <a:lumMod val="75000"/>
              </a:schemeClr>
            </a:gs>
            <a:gs pos="77000">
              <a:schemeClr val="bg2">
                <a:lumMod val="75000"/>
              </a:schemeClr>
            </a:gs>
            <a:gs pos="99000">
              <a:schemeClr val="bg2">
                <a:lumMod val="75000"/>
              </a:schemeClr>
            </a:gs>
          </a:gsLst>
          <a:lin ang="2700000" scaled="1"/>
          <a:tileRect/>
        </a:gradFill>
        <a:ln>
          <a:solidFill>
            <a:schemeClr val="tx1"/>
          </a:solidFill>
        </a:ln>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US" sz="1100">
            <a:solidFill>
              <a:schemeClr val="lt1"/>
            </a:solidFill>
            <a:latin typeface="+mn-lt"/>
            <a:ea typeface="+mn-ea"/>
            <a:cs typeface="+mn-cs"/>
          </a:endParaRPr>
        </a:p>
      </xdr:txBody>
    </xdr:sp>
    <xdr:clientData/>
  </xdr:twoCellAnchor>
  <xdr:twoCellAnchor>
    <xdr:from>
      <xdr:col>1</xdr:col>
      <xdr:colOff>129268</xdr:colOff>
      <xdr:row>35</xdr:row>
      <xdr:rowOff>151039</xdr:rowOff>
    </xdr:from>
    <xdr:to>
      <xdr:col>2</xdr:col>
      <xdr:colOff>95250</xdr:colOff>
      <xdr:row>37</xdr:row>
      <xdr:rowOff>189139</xdr:rowOff>
    </xdr:to>
    <xdr:sp macro="" textlink="">
      <xdr:nvSpPr>
        <xdr:cNvPr id="13" name="TextBox 12">
          <a:extLst>
            <a:ext uri="{FF2B5EF4-FFF2-40B4-BE49-F238E27FC236}">
              <a16:creationId xmlns:a16="http://schemas.microsoft.com/office/drawing/2014/main" id="{E19BAD2C-A488-4EFF-9BEE-34A93CEC4368}"/>
            </a:ext>
          </a:extLst>
        </xdr:cNvPr>
        <xdr:cNvSpPr txBox="1"/>
      </xdr:nvSpPr>
      <xdr:spPr>
        <a:xfrm>
          <a:off x="746488" y="6468019"/>
          <a:ext cx="545102" cy="419100"/>
        </a:xfrm>
        <a:prstGeom prst="rect">
          <a:avLst/>
        </a:prstGeom>
        <a:solidFill>
          <a:schemeClr val="accent4">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900">
              <a:solidFill>
                <a:schemeClr val="dk1"/>
              </a:solidFill>
              <a:latin typeface="+mn-lt"/>
              <a:ea typeface="+mn-ea"/>
              <a:cs typeface="+mn-cs"/>
            </a:rPr>
            <a:t>Lowest</a:t>
          </a:r>
          <a:r>
            <a:rPr lang="en-US" sz="900" baseline="0"/>
            <a:t> </a:t>
          </a:r>
          <a:r>
            <a:rPr lang="en-US" sz="900"/>
            <a:t>Casing</a:t>
          </a:r>
        </a:p>
      </xdr:txBody>
    </xdr:sp>
    <xdr:clientData/>
  </xdr:twoCellAnchor>
  <xdr:twoCellAnchor>
    <xdr:from>
      <xdr:col>6</xdr:col>
      <xdr:colOff>45721</xdr:colOff>
      <xdr:row>32</xdr:row>
      <xdr:rowOff>144780</xdr:rowOff>
    </xdr:from>
    <xdr:to>
      <xdr:col>10</xdr:col>
      <xdr:colOff>701040</xdr:colOff>
      <xdr:row>50</xdr:row>
      <xdr:rowOff>101638</xdr:rowOff>
    </xdr:to>
    <xdr:graphicFrame macro="">
      <xdr:nvGraphicFramePr>
        <xdr:cNvPr id="31" name="Chart 30">
          <a:extLst>
            <a:ext uri="{FF2B5EF4-FFF2-40B4-BE49-F238E27FC236}">
              <a16:creationId xmlns:a16="http://schemas.microsoft.com/office/drawing/2014/main" id="{FD5FD955-98A0-4F74-A384-FC746DC2774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25</xdr:col>
      <xdr:colOff>149677</xdr:colOff>
      <xdr:row>28</xdr:row>
      <xdr:rowOff>476245</xdr:rowOff>
    </xdr:from>
    <xdr:to>
      <xdr:col>25</xdr:col>
      <xdr:colOff>155120</xdr:colOff>
      <xdr:row>33</xdr:row>
      <xdr:rowOff>0</xdr:rowOff>
    </xdr:to>
    <xdr:cxnSp macro="">
      <xdr:nvCxnSpPr>
        <xdr:cNvPr id="2" name="Straight Connector 1">
          <a:extLst>
            <a:ext uri="{FF2B5EF4-FFF2-40B4-BE49-F238E27FC236}">
              <a16:creationId xmlns:a16="http://schemas.microsoft.com/office/drawing/2014/main" id="{00000000-0008-0000-0100-000002000000}"/>
            </a:ext>
          </a:extLst>
        </xdr:cNvPr>
        <xdr:cNvCxnSpPr/>
      </xdr:nvCxnSpPr>
      <xdr:spPr>
        <a:xfrm>
          <a:off x="17218477" y="5333995"/>
          <a:ext cx="5443" cy="762005"/>
        </a:xfrm>
        <a:prstGeom prst="line">
          <a:avLst/>
        </a:prstGeom>
        <a:ln w="44450">
          <a:solidFill>
            <a:srgbClr val="0000FF"/>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30</xdr:col>
      <xdr:colOff>291178</xdr:colOff>
      <xdr:row>28</xdr:row>
      <xdr:rowOff>421822</xdr:rowOff>
    </xdr:from>
    <xdr:to>
      <xdr:col>30</xdr:col>
      <xdr:colOff>299356</xdr:colOff>
      <xdr:row>33</xdr:row>
      <xdr:rowOff>0</xdr:rowOff>
    </xdr:to>
    <xdr:cxnSp macro="">
      <xdr:nvCxnSpPr>
        <xdr:cNvPr id="3" name="Straight Connector 2">
          <a:extLst>
            <a:ext uri="{FF2B5EF4-FFF2-40B4-BE49-F238E27FC236}">
              <a16:creationId xmlns:a16="http://schemas.microsoft.com/office/drawing/2014/main" id="{00000000-0008-0000-0100-000003000000}"/>
            </a:ext>
          </a:extLst>
        </xdr:cNvPr>
        <xdr:cNvCxnSpPr/>
      </xdr:nvCxnSpPr>
      <xdr:spPr>
        <a:xfrm flipH="1">
          <a:off x="20407978" y="5336722"/>
          <a:ext cx="8178" cy="759278"/>
        </a:xfrm>
        <a:prstGeom prst="line">
          <a:avLst/>
        </a:prstGeom>
        <a:ln w="44450">
          <a:solidFill>
            <a:srgbClr val="0000FF"/>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25</xdr:col>
      <xdr:colOff>381001</xdr:colOff>
      <xdr:row>28</xdr:row>
      <xdr:rowOff>40826</xdr:rowOff>
    </xdr:from>
    <xdr:to>
      <xdr:col>25</xdr:col>
      <xdr:colOff>381001</xdr:colOff>
      <xdr:row>37</xdr:row>
      <xdr:rowOff>81641</xdr:rowOff>
    </xdr:to>
    <xdr:cxnSp macro="">
      <xdr:nvCxnSpPr>
        <xdr:cNvPr id="4" name="Straight Connector 3">
          <a:extLst>
            <a:ext uri="{FF2B5EF4-FFF2-40B4-BE49-F238E27FC236}">
              <a16:creationId xmlns:a16="http://schemas.microsoft.com/office/drawing/2014/main" id="{00000000-0008-0000-0100-000004000000}"/>
            </a:ext>
          </a:extLst>
        </xdr:cNvPr>
        <xdr:cNvCxnSpPr/>
      </xdr:nvCxnSpPr>
      <xdr:spPr>
        <a:xfrm>
          <a:off x="17449801" y="5184326"/>
          <a:ext cx="0" cy="1755315"/>
        </a:xfrm>
        <a:prstGeom prst="line">
          <a:avLst/>
        </a:prstGeom>
        <a:ln w="44450">
          <a:solidFill>
            <a:srgbClr val="0000FF"/>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30</xdr:col>
      <xdr:colOff>68028</xdr:colOff>
      <xdr:row>28</xdr:row>
      <xdr:rowOff>68041</xdr:rowOff>
    </xdr:from>
    <xdr:to>
      <xdr:col>30</xdr:col>
      <xdr:colOff>68028</xdr:colOff>
      <xdr:row>37</xdr:row>
      <xdr:rowOff>108855</xdr:rowOff>
    </xdr:to>
    <xdr:cxnSp macro="">
      <xdr:nvCxnSpPr>
        <xdr:cNvPr id="5" name="Straight Connector 4">
          <a:extLst>
            <a:ext uri="{FF2B5EF4-FFF2-40B4-BE49-F238E27FC236}">
              <a16:creationId xmlns:a16="http://schemas.microsoft.com/office/drawing/2014/main" id="{00000000-0008-0000-0100-000005000000}"/>
            </a:ext>
          </a:extLst>
        </xdr:cNvPr>
        <xdr:cNvCxnSpPr/>
      </xdr:nvCxnSpPr>
      <xdr:spPr>
        <a:xfrm>
          <a:off x="20184828" y="5211541"/>
          <a:ext cx="0" cy="1755314"/>
        </a:xfrm>
        <a:prstGeom prst="line">
          <a:avLst/>
        </a:prstGeom>
        <a:ln w="44450">
          <a:solidFill>
            <a:srgbClr val="0000FF"/>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69084</xdr:colOff>
      <xdr:row>26</xdr:row>
      <xdr:rowOff>36924</xdr:rowOff>
    </xdr:from>
    <xdr:to>
      <xdr:col>29</xdr:col>
      <xdr:colOff>477298</xdr:colOff>
      <xdr:row>28</xdr:row>
      <xdr:rowOff>124554</xdr:rowOff>
    </xdr:to>
    <xdr:sp macro="" textlink="">
      <xdr:nvSpPr>
        <xdr:cNvPr id="6" name="TextBox 5">
          <a:extLst>
            <a:ext uri="{FF2B5EF4-FFF2-40B4-BE49-F238E27FC236}">
              <a16:creationId xmlns:a16="http://schemas.microsoft.com/office/drawing/2014/main" id="{00000000-0008-0000-0100-000006000000}"/>
            </a:ext>
          </a:extLst>
        </xdr:cNvPr>
        <xdr:cNvSpPr txBox="1"/>
      </xdr:nvSpPr>
      <xdr:spPr>
        <a:xfrm>
          <a:off x="26475315" y="10543732"/>
          <a:ext cx="2298560" cy="878937"/>
        </a:xfrm>
        <a:prstGeom prst="rect">
          <a:avLst/>
        </a:prstGeom>
        <a:solidFill>
          <a:schemeClr val="lt1"/>
        </a:solidFill>
        <a:ln w="25400"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2400" i="0"/>
            <a:t>INSIDE</a:t>
          </a:r>
          <a:r>
            <a:rPr lang="en-US" sz="2400" i="0" baseline="0"/>
            <a:t> Casing 1</a:t>
          </a:r>
          <a:endParaRPr lang="en-US" sz="2400" i="0"/>
        </a:p>
      </xdr:txBody>
    </xdr:sp>
    <xdr:clientData/>
  </xdr:twoCellAnchor>
  <xdr:twoCellAnchor>
    <xdr:from>
      <xdr:col>24</xdr:col>
      <xdr:colOff>14654</xdr:colOff>
      <xdr:row>23</xdr:row>
      <xdr:rowOff>468923</xdr:rowOff>
    </xdr:from>
    <xdr:to>
      <xdr:col>32</xdr:col>
      <xdr:colOff>175846</xdr:colOff>
      <xdr:row>25</xdr:row>
      <xdr:rowOff>263769</xdr:rowOff>
    </xdr:to>
    <xdr:sp macro="" textlink="">
      <xdr:nvSpPr>
        <xdr:cNvPr id="7" name="TextBox 6">
          <a:extLst>
            <a:ext uri="{FF2B5EF4-FFF2-40B4-BE49-F238E27FC236}">
              <a16:creationId xmlns:a16="http://schemas.microsoft.com/office/drawing/2014/main" id="{00000000-0008-0000-0100-000007000000}"/>
            </a:ext>
          </a:extLst>
        </xdr:cNvPr>
        <xdr:cNvSpPr txBox="1"/>
      </xdr:nvSpPr>
      <xdr:spPr>
        <a:xfrm>
          <a:off x="25160654" y="9920654"/>
          <a:ext cx="5202115" cy="439615"/>
        </a:xfrm>
        <a:prstGeom prst="rect">
          <a:avLst/>
        </a:prstGeom>
        <a:solidFill>
          <a:schemeClr val="lt1"/>
        </a:solidFill>
        <a:ln w="2857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2400" i="0" baseline="0"/>
            <a:t>OUTSIDE CASING 2</a:t>
          </a:r>
          <a:endParaRPr lang="en-US" sz="2400" i="0"/>
        </a:p>
      </xdr:txBody>
    </xdr:sp>
    <xdr:clientData/>
  </xdr:twoCellAnchor>
  <xdr:twoCellAnchor>
    <xdr:from>
      <xdr:col>25</xdr:col>
      <xdr:colOff>161193</xdr:colOff>
      <xdr:row>25</xdr:row>
      <xdr:rowOff>205153</xdr:rowOff>
    </xdr:from>
    <xdr:to>
      <xdr:col>26</xdr:col>
      <xdr:colOff>146540</xdr:colOff>
      <xdr:row>28</xdr:row>
      <xdr:rowOff>410308</xdr:rowOff>
    </xdr:to>
    <xdr:cxnSp macro="">
      <xdr:nvCxnSpPr>
        <xdr:cNvPr id="8" name="Straight Arrow Connector 7">
          <a:extLst>
            <a:ext uri="{FF2B5EF4-FFF2-40B4-BE49-F238E27FC236}">
              <a16:creationId xmlns:a16="http://schemas.microsoft.com/office/drawing/2014/main" id="{00000000-0008-0000-0100-000008000000}"/>
            </a:ext>
          </a:extLst>
        </xdr:cNvPr>
        <xdr:cNvCxnSpPr/>
      </xdr:nvCxnSpPr>
      <xdr:spPr>
        <a:xfrm flipH="1">
          <a:off x="25937308" y="10301653"/>
          <a:ext cx="615463" cy="1406770"/>
        </a:xfrm>
        <a:prstGeom prst="straightConnector1">
          <a:avLst/>
        </a:prstGeom>
        <a:ln w="1905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29</xdr:col>
      <xdr:colOff>474157</xdr:colOff>
      <xdr:row>25</xdr:row>
      <xdr:rowOff>311541</xdr:rowOff>
    </xdr:from>
    <xdr:to>
      <xdr:col>30</xdr:col>
      <xdr:colOff>278423</xdr:colOff>
      <xdr:row>28</xdr:row>
      <xdr:rowOff>395654</xdr:rowOff>
    </xdr:to>
    <xdr:cxnSp macro="">
      <xdr:nvCxnSpPr>
        <xdr:cNvPr id="9" name="Straight Arrow Connector 8">
          <a:extLst>
            <a:ext uri="{FF2B5EF4-FFF2-40B4-BE49-F238E27FC236}">
              <a16:creationId xmlns:a16="http://schemas.microsoft.com/office/drawing/2014/main" id="{00000000-0008-0000-0100-000009000000}"/>
            </a:ext>
          </a:extLst>
        </xdr:cNvPr>
        <xdr:cNvCxnSpPr/>
      </xdr:nvCxnSpPr>
      <xdr:spPr>
        <a:xfrm>
          <a:off x="28770734" y="10408041"/>
          <a:ext cx="434381" cy="1285728"/>
        </a:xfrm>
        <a:prstGeom prst="straightConnector1">
          <a:avLst/>
        </a:prstGeom>
        <a:ln w="1905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190499</xdr:colOff>
      <xdr:row>35</xdr:row>
      <xdr:rowOff>443803</xdr:rowOff>
    </xdr:from>
    <xdr:to>
      <xdr:col>29</xdr:col>
      <xdr:colOff>412400</xdr:colOff>
      <xdr:row>37</xdr:row>
      <xdr:rowOff>256443</xdr:rowOff>
    </xdr:to>
    <xdr:sp macro="" textlink="">
      <xdr:nvSpPr>
        <xdr:cNvPr id="10" name="TextBox 9">
          <a:extLst>
            <a:ext uri="{FF2B5EF4-FFF2-40B4-BE49-F238E27FC236}">
              <a16:creationId xmlns:a16="http://schemas.microsoft.com/office/drawing/2014/main" id="{00000000-0008-0000-0100-00000A000000}"/>
            </a:ext>
          </a:extLst>
        </xdr:cNvPr>
        <xdr:cNvSpPr txBox="1"/>
      </xdr:nvSpPr>
      <xdr:spPr>
        <a:xfrm>
          <a:off x="26596730" y="15449341"/>
          <a:ext cx="2112247" cy="867717"/>
        </a:xfrm>
        <a:prstGeom prst="rect">
          <a:avLst/>
        </a:prstGeom>
        <a:solidFill>
          <a:schemeClr val="lt1"/>
        </a:solidFill>
        <a:ln w="25400"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2400" i="0"/>
            <a:t>Lowest section</a:t>
          </a:r>
        </a:p>
      </xdr:txBody>
    </xdr:sp>
    <xdr:clientData/>
  </xdr:twoCellAnchor>
  <xdr:twoCellAnchor>
    <xdr:from>
      <xdr:col>26</xdr:col>
      <xdr:colOff>205155</xdr:colOff>
      <xdr:row>33</xdr:row>
      <xdr:rowOff>420770</xdr:rowOff>
    </xdr:from>
    <xdr:to>
      <xdr:col>29</xdr:col>
      <xdr:colOff>424961</xdr:colOff>
      <xdr:row>35</xdr:row>
      <xdr:rowOff>410307</xdr:rowOff>
    </xdr:to>
    <xdr:sp macro="" textlink="">
      <xdr:nvSpPr>
        <xdr:cNvPr id="11" name="TextBox 10">
          <a:extLst>
            <a:ext uri="{FF2B5EF4-FFF2-40B4-BE49-F238E27FC236}">
              <a16:creationId xmlns:a16="http://schemas.microsoft.com/office/drawing/2014/main" id="{00000000-0008-0000-0100-00000B000000}"/>
            </a:ext>
          </a:extLst>
        </xdr:cNvPr>
        <xdr:cNvSpPr txBox="1"/>
      </xdr:nvSpPr>
      <xdr:spPr>
        <a:xfrm>
          <a:off x="26611386" y="14371232"/>
          <a:ext cx="2110152" cy="1044613"/>
        </a:xfrm>
        <a:prstGeom prst="rect">
          <a:avLst/>
        </a:prstGeom>
        <a:solidFill>
          <a:schemeClr val="lt1"/>
        </a:solidFill>
        <a:ln w="25400"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2400" i="0"/>
            <a:t>2nd.  Lowest section</a:t>
          </a:r>
        </a:p>
      </xdr:txBody>
    </xdr:sp>
    <xdr:clientData/>
  </xdr:twoCellAnchor>
  <xdr:twoCellAnchor>
    <xdr:from>
      <xdr:col>26</xdr:col>
      <xdr:colOff>190500</xdr:colOff>
      <xdr:row>30</xdr:row>
      <xdr:rowOff>263769</xdr:rowOff>
    </xdr:from>
    <xdr:to>
      <xdr:col>29</xdr:col>
      <xdr:colOff>395654</xdr:colOff>
      <xdr:row>32</xdr:row>
      <xdr:rowOff>87922</xdr:rowOff>
    </xdr:to>
    <xdr:sp macro="" textlink="">
      <xdr:nvSpPr>
        <xdr:cNvPr id="12" name="TextBox 11">
          <a:extLst>
            <a:ext uri="{FF2B5EF4-FFF2-40B4-BE49-F238E27FC236}">
              <a16:creationId xmlns:a16="http://schemas.microsoft.com/office/drawing/2014/main" id="{00000000-0008-0000-0100-00000C000000}"/>
            </a:ext>
          </a:extLst>
        </xdr:cNvPr>
        <xdr:cNvSpPr txBox="1"/>
      </xdr:nvSpPr>
      <xdr:spPr>
        <a:xfrm>
          <a:off x="26596731" y="12631615"/>
          <a:ext cx="2095500" cy="879230"/>
        </a:xfrm>
        <a:prstGeom prst="rect">
          <a:avLst/>
        </a:prstGeom>
        <a:solidFill>
          <a:schemeClr val="lt1"/>
        </a:solidFill>
        <a:ln w="25400"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2400" i="0"/>
            <a:t>fourth lowest section</a:t>
          </a:r>
        </a:p>
      </xdr:txBody>
    </xdr:sp>
    <xdr:clientData/>
  </xdr:twoCellAnchor>
  <xdr:twoCellAnchor>
    <xdr:from>
      <xdr:col>26</xdr:col>
      <xdr:colOff>146538</xdr:colOff>
      <xdr:row>28</xdr:row>
      <xdr:rowOff>337039</xdr:rowOff>
    </xdr:from>
    <xdr:to>
      <xdr:col>29</xdr:col>
      <xdr:colOff>395654</xdr:colOff>
      <xdr:row>30</xdr:row>
      <xdr:rowOff>190499</xdr:rowOff>
    </xdr:to>
    <xdr:sp macro="" textlink="">
      <xdr:nvSpPr>
        <xdr:cNvPr id="13" name="TextBox 12">
          <a:extLst>
            <a:ext uri="{FF2B5EF4-FFF2-40B4-BE49-F238E27FC236}">
              <a16:creationId xmlns:a16="http://schemas.microsoft.com/office/drawing/2014/main" id="{00000000-0008-0000-0100-00000D000000}"/>
            </a:ext>
          </a:extLst>
        </xdr:cNvPr>
        <xdr:cNvSpPr txBox="1"/>
      </xdr:nvSpPr>
      <xdr:spPr>
        <a:xfrm>
          <a:off x="26552769" y="11635154"/>
          <a:ext cx="2139462" cy="923191"/>
        </a:xfrm>
        <a:prstGeom prst="rect">
          <a:avLst/>
        </a:prstGeom>
        <a:solidFill>
          <a:schemeClr val="lt1"/>
        </a:solidFill>
        <a:ln w="25400"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2400" i="0"/>
            <a:t>Fifth lowest section</a:t>
          </a:r>
        </a:p>
      </xdr:txBody>
    </xdr:sp>
    <xdr:clientData/>
  </xdr:twoCellAnchor>
  <xdr:twoCellAnchor>
    <xdr:from>
      <xdr:col>25</xdr:col>
      <xdr:colOff>439616</xdr:colOff>
      <xdr:row>27</xdr:row>
      <xdr:rowOff>117231</xdr:rowOff>
    </xdr:from>
    <xdr:to>
      <xdr:col>26</xdr:col>
      <xdr:colOff>205155</xdr:colOff>
      <xdr:row>29</xdr:row>
      <xdr:rowOff>161192</xdr:rowOff>
    </xdr:to>
    <xdr:cxnSp macro="">
      <xdr:nvCxnSpPr>
        <xdr:cNvPr id="14" name="Straight Arrow Connector 13">
          <a:extLst>
            <a:ext uri="{FF2B5EF4-FFF2-40B4-BE49-F238E27FC236}">
              <a16:creationId xmlns:a16="http://schemas.microsoft.com/office/drawing/2014/main" id="{00000000-0008-0000-0100-00000E000000}"/>
            </a:ext>
          </a:extLst>
        </xdr:cNvPr>
        <xdr:cNvCxnSpPr/>
      </xdr:nvCxnSpPr>
      <xdr:spPr>
        <a:xfrm flipH="1">
          <a:off x="26215731" y="10829193"/>
          <a:ext cx="395655" cy="1172307"/>
        </a:xfrm>
        <a:prstGeom prst="straightConnector1">
          <a:avLst/>
        </a:prstGeom>
        <a:ln w="1905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29</xdr:col>
      <xdr:colOff>175846</xdr:colOff>
      <xdr:row>27</xdr:row>
      <xdr:rowOff>234462</xdr:rowOff>
    </xdr:from>
    <xdr:to>
      <xdr:col>30</xdr:col>
      <xdr:colOff>14654</xdr:colOff>
      <xdr:row>29</xdr:row>
      <xdr:rowOff>278424</xdr:rowOff>
    </xdr:to>
    <xdr:cxnSp macro="">
      <xdr:nvCxnSpPr>
        <xdr:cNvPr id="15" name="Straight Arrow Connector 14">
          <a:extLst>
            <a:ext uri="{FF2B5EF4-FFF2-40B4-BE49-F238E27FC236}">
              <a16:creationId xmlns:a16="http://schemas.microsoft.com/office/drawing/2014/main" id="{00000000-0008-0000-0100-00000F000000}"/>
            </a:ext>
          </a:extLst>
        </xdr:cNvPr>
        <xdr:cNvCxnSpPr/>
      </xdr:nvCxnSpPr>
      <xdr:spPr>
        <a:xfrm>
          <a:off x="28472423" y="10946424"/>
          <a:ext cx="468923" cy="1172308"/>
        </a:xfrm>
        <a:prstGeom prst="straightConnector1">
          <a:avLst/>
        </a:prstGeom>
        <a:ln w="1905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219808</xdr:colOff>
      <xdr:row>32</xdr:row>
      <xdr:rowOff>122462</xdr:rowOff>
    </xdr:from>
    <xdr:to>
      <xdr:col>29</xdr:col>
      <xdr:colOff>410308</xdr:colOff>
      <xdr:row>33</xdr:row>
      <xdr:rowOff>381000</xdr:rowOff>
    </xdr:to>
    <xdr:sp macro="" textlink="">
      <xdr:nvSpPr>
        <xdr:cNvPr id="16" name="TextBox 15">
          <a:extLst>
            <a:ext uri="{FF2B5EF4-FFF2-40B4-BE49-F238E27FC236}">
              <a16:creationId xmlns:a16="http://schemas.microsoft.com/office/drawing/2014/main" id="{00000000-0008-0000-0100-000010000000}"/>
            </a:ext>
          </a:extLst>
        </xdr:cNvPr>
        <xdr:cNvSpPr txBox="1"/>
      </xdr:nvSpPr>
      <xdr:spPr>
        <a:xfrm>
          <a:off x="26626039" y="13545385"/>
          <a:ext cx="2080846" cy="786077"/>
        </a:xfrm>
        <a:prstGeom prst="rect">
          <a:avLst/>
        </a:prstGeom>
        <a:solidFill>
          <a:schemeClr val="lt1"/>
        </a:solidFill>
        <a:ln w="25400"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2400" i="0"/>
            <a:t>3rd.  Lowest section</a:t>
          </a:r>
        </a:p>
      </xdr:txBody>
    </xdr:sp>
    <xdr:clientData/>
  </xdr:twoCellAnchor>
  <xdr:twoCellAnchor>
    <xdr:from>
      <xdr:col>9</xdr:col>
      <xdr:colOff>612913</xdr:colOff>
      <xdr:row>18</xdr:row>
      <xdr:rowOff>306735</xdr:rowOff>
    </xdr:from>
    <xdr:to>
      <xdr:col>12</xdr:col>
      <xdr:colOff>16565</xdr:colOff>
      <xdr:row>18</xdr:row>
      <xdr:rowOff>306736</xdr:rowOff>
    </xdr:to>
    <xdr:cxnSp macro="">
      <xdr:nvCxnSpPr>
        <xdr:cNvPr id="17" name="Straight Arrow Connector 16">
          <a:extLst>
            <a:ext uri="{FF2B5EF4-FFF2-40B4-BE49-F238E27FC236}">
              <a16:creationId xmlns:a16="http://schemas.microsoft.com/office/drawing/2014/main" id="{00000000-0008-0000-0100-000011000000}"/>
            </a:ext>
          </a:extLst>
        </xdr:cNvPr>
        <xdr:cNvCxnSpPr/>
      </xdr:nvCxnSpPr>
      <xdr:spPr>
        <a:xfrm flipV="1">
          <a:off x="10465573" y="7149495"/>
          <a:ext cx="1742992" cy="1"/>
        </a:xfrm>
        <a:prstGeom prst="straightConnector1">
          <a:avLst/>
        </a:prstGeom>
        <a:ln w="22225">
          <a:solidFill>
            <a:srgbClr val="0000FF"/>
          </a:solidFill>
          <a:tailEnd type="triangle" w="med" len="lg"/>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563212</xdr:colOff>
      <xdr:row>17</xdr:row>
      <xdr:rowOff>248480</xdr:rowOff>
    </xdr:from>
    <xdr:to>
      <xdr:col>12</xdr:col>
      <xdr:colOff>165648</xdr:colOff>
      <xdr:row>18</xdr:row>
      <xdr:rowOff>414131</xdr:rowOff>
    </xdr:to>
    <xdr:sp macro="" textlink="">
      <xdr:nvSpPr>
        <xdr:cNvPr id="18" name="TextBox 17">
          <a:extLst>
            <a:ext uri="{FF2B5EF4-FFF2-40B4-BE49-F238E27FC236}">
              <a16:creationId xmlns:a16="http://schemas.microsoft.com/office/drawing/2014/main" id="{00000000-0008-0000-0100-000012000000}"/>
            </a:ext>
          </a:extLst>
        </xdr:cNvPr>
        <xdr:cNvSpPr txBox="1"/>
      </xdr:nvSpPr>
      <xdr:spPr>
        <a:xfrm>
          <a:off x="10415872" y="6748340"/>
          <a:ext cx="1941776" cy="508551"/>
        </a:xfrm>
        <a:prstGeom prst="rect">
          <a:avLst/>
        </a:prstGeom>
        <a:noFill/>
        <a:ln w="9525" cmpd="sng">
          <a:solidFill>
            <a:srgbClr val="FFFFFF">
              <a:alpha val="0"/>
            </a:srgb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000">
              <a:solidFill>
                <a:srgbClr val="0000FF"/>
              </a:solidFill>
            </a:rPr>
            <a:t>Input</a:t>
          </a:r>
          <a:r>
            <a:rPr lang="en-US" sz="2000" baseline="0">
              <a:solidFill>
                <a:srgbClr val="0000FF"/>
              </a:solidFill>
            </a:rPr>
            <a:t> sequence</a:t>
          </a:r>
          <a:endParaRPr lang="en-US" sz="2000">
            <a:solidFill>
              <a:srgbClr val="0000FF"/>
            </a:solidFill>
          </a:endParaRPr>
        </a:p>
      </xdr:txBody>
    </xdr:sp>
    <xdr:clientData/>
  </xdr:twoCellAnchor>
  <xdr:twoCellAnchor editAs="oneCell">
    <xdr:from>
      <xdr:col>23</xdr:col>
      <xdr:colOff>380918</xdr:colOff>
      <xdr:row>0</xdr:row>
      <xdr:rowOff>39915</xdr:rowOff>
    </xdr:from>
    <xdr:to>
      <xdr:col>36</xdr:col>
      <xdr:colOff>440081</xdr:colOff>
      <xdr:row>2</xdr:row>
      <xdr:rowOff>53340</xdr:rowOff>
    </xdr:to>
    <xdr:pic>
      <xdr:nvPicPr>
        <xdr:cNvPr id="23" name="Picture 22">
          <a:extLst>
            <a:ext uri="{FF2B5EF4-FFF2-40B4-BE49-F238E27FC236}">
              <a16:creationId xmlns:a16="http://schemas.microsoft.com/office/drawing/2014/main" id="{499269C3-3C72-47DB-AFE3-011CBEEA8D14}"/>
            </a:ext>
          </a:extLst>
        </xdr:cNvPr>
        <xdr:cNvPicPr>
          <a:picLocks noChangeAspect="1"/>
        </xdr:cNvPicPr>
      </xdr:nvPicPr>
      <xdr:blipFill>
        <a:blip xmlns:r="http://schemas.openxmlformats.org/officeDocument/2006/relationships" r:embed="rId1"/>
        <a:stretch>
          <a:fillRect/>
        </a:stretch>
      </xdr:blipFill>
      <xdr:spPr>
        <a:xfrm>
          <a:off x="23640968" y="39915"/>
          <a:ext cx="8243042" cy="55063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16</xdr:col>
      <xdr:colOff>38100</xdr:colOff>
      <xdr:row>36</xdr:row>
      <xdr:rowOff>361950</xdr:rowOff>
    </xdr:from>
    <xdr:to>
      <xdr:col>21</xdr:col>
      <xdr:colOff>158750</xdr:colOff>
      <xdr:row>41</xdr:row>
      <xdr:rowOff>361950</xdr:rowOff>
    </xdr:to>
    <xdr:sp macro="" textlink="">
      <xdr:nvSpPr>
        <xdr:cNvPr id="2" name="AutoShape 1">
          <a:extLst>
            <a:ext uri="{FF2B5EF4-FFF2-40B4-BE49-F238E27FC236}">
              <a16:creationId xmlns:a16="http://schemas.microsoft.com/office/drawing/2014/main" id="{00000000-0008-0000-0200-000002000000}"/>
            </a:ext>
          </a:extLst>
        </xdr:cNvPr>
        <xdr:cNvSpPr>
          <a:spLocks/>
        </xdr:cNvSpPr>
      </xdr:nvSpPr>
      <xdr:spPr bwMode="auto">
        <a:xfrm>
          <a:off x="18183225" y="18659475"/>
          <a:ext cx="2454275" cy="2667000"/>
        </a:xfrm>
        <a:custGeom>
          <a:avLst/>
          <a:gdLst>
            <a:gd name="T0" fmla="+- 0 10800 961"/>
            <a:gd name="T1" fmla="*/ T0 w 19679"/>
            <a:gd name="T2" fmla="+- 0 10800 961"/>
            <a:gd name="T3" fmla="*/ 10800 h 19679"/>
            <a:gd name="T4" fmla="+- 0 10800 961"/>
            <a:gd name="T5" fmla="*/ T4 w 19679"/>
            <a:gd name="T6" fmla="+- 0 10800 961"/>
            <a:gd name="T7" fmla="*/ 10800 h 19679"/>
            <a:gd name="T8" fmla="+- 0 10800 961"/>
            <a:gd name="T9" fmla="*/ T8 w 19679"/>
            <a:gd name="T10" fmla="+- 0 10800 961"/>
            <a:gd name="T11" fmla="*/ 10800 h 19679"/>
            <a:gd name="T12" fmla="+- 0 10800 961"/>
            <a:gd name="T13" fmla="*/ T12 w 19679"/>
            <a:gd name="T14" fmla="+- 0 10800 961"/>
            <a:gd name="T15" fmla="*/ 10800 h 19679"/>
          </a:gdLst>
          <a:ahLst/>
          <a:cxnLst>
            <a:cxn ang="0">
              <a:pos x="T1" y="T3"/>
            </a:cxn>
            <a:cxn ang="0">
              <a:pos x="T5" y="T7"/>
            </a:cxn>
            <a:cxn ang="0">
              <a:pos x="T9" y="T11"/>
            </a:cxn>
            <a:cxn ang="0">
              <a:pos x="T13" y="T15"/>
            </a:cxn>
          </a:cxnLst>
          <a:rect l="0" t="0" r="r" b="b"/>
          <a:pathLst>
            <a:path w="19679" h="19679">
              <a:moveTo>
                <a:pt x="16796" y="2881"/>
              </a:moveTo>
              <a:cubicBezTo>
                <a:pt x="20639" y="6724"/>
                <a:pt x="20639" y="12953"/>
                <a:pt x="16796" y="16796"/>
              </a:cubicBezTo>
              <a:cubicBezTo>
                <a:pt x="12953" y="20639"/>
                <a:pt x="6724" y="20639"/>
                <a:pt x="2881" y="16796"/>
              </a:cubicBezTo>
              <a:cubicBezTo>
                <a:pt x="-961" y="12953"/>
                <a:pt x="-961" y="6724"/>
                <a:pt x="2881" y="2881"/>
              </a:cubicBezTo>
              <a:cubicBezTo>
                <a:pt x="6724" y="-961"/>
                <a:pt x="12953" y="-961"/>
                <a:pt x="16796" y="2881"/>
              </a:cubicBezTo>
            </a:path>
          </a:pathLst>
        </a:custGeom>
        <a:noFill/>
        <a:ln w="12700" cap="flat" cmpd="sng">
          <a:solidFill>
            <a:srgbClr val="000000"/>
          </a:solidFill>
          <a:prstDash val="solid"/>
          <a:miter lim="0"/>
          <a:headEnd/>
          <a:tailEnd/>
        </a:ln>
        <a:effectLst/>
      </xdr:spPr>
      <xdr:txBody>
        <a:bodyPr vertOverflow="clip" wrap="square" lIns="18288" tIns="0" rIns="0" bIns="0" rtlCol="0" anchor="ctr" upright="1"/>
        <a:lstStyle/>
        <a:p>
          <a:pPr algn="ctr"/>
          <a:endParaRPr lang="en-US"/>
        </a:p>
      </xdr:txBody>
    </xdr:sp>
    <xdr:clientData/>
  </xdr:twoCellAnchor>
  <xdr:twoCellAnchor>
    <xdr:from>
      <xdr:col>18</xdr:col>
      <xdr:colOff>152400</xdr:colOff>
      <xdr:row>36</xdr:row>
      <xdr:rowOff>381000</xdr:rowOff>
    </xdr:from>
    <xdr:to>
      <xdr:col>18</xdr:col>
      <xdr:colOff>171450</xdr:colOff>
      <xdr:row>41</xdr:row>
      <xdr:rowOff>495300</xdr:rowOff>
    </xdr:to>
    <xdr:sp macro="" textlink="">
      <xdr:nvSpPr>
        <xdr:cNvPr id="3" name="Line 2">
          <a:extLst>
            <a:ext uri="{FF2B5EF4-FFF2-40B4-BE49-F238E27FC236}">
              <a16:creationId xmlns:a16="http://schemas.microsoft.com/office/drawing/2014/main" id="{00000000-0008-0000-0200-000003000000}"/>
            </a:ext>
          </a:extLst>
        </xdr:cNvPr>
        <xdr:cNvSpPr>
          <a:spLocks noChangeShapeType="1"/>
        </xdr:cNvSpPr>
      </xdr:nvSpPr>
      <xdr:spPr bwMode="auto">
        <a:xfrm flipH="1" flipV="1">
          <a:off x="19450050" y="18678525"/>
          <a:ext cx="19050" cy="2781300"/>
        </a:xfrm>
        <a:prstGeom prst="line">
          <a:avLst/>
        </a:prstGeom>
        <a:noFill/>
        <a:ln w="25400" cap="flat" cmpd="sng">
          <a:solidFill>
            <a:srgbClr val="000000"/>
          </a:solidFill>
          <a:prstDash val="solid"/>
          <a:round/>
          <a:headEnd/>
          <a:tailEnd/>
        </a:ln>
        <a:effectLst/>
      </xdr:spPr>
      <xdr:txBody>
        <a:bodyPr vertOverflow="clip" wrap="square" lIns="18288" tIns="0" rIns="0" bIns="0" rtlCol="0" anchor="ctr" upright="1"/>
        <a:lstStyle/>
        <a:p>
          <a:pPr algn="ctr"/>
          <a:endParaRPr lang="en-US"/>
        </a:p>
      </xdr:txBody>
    </xdr:sp>
    <xdr:clientData/>
  </xdr:twoCellAnchor>
  <xdr:twoCellAnchor>
    <xdr:from>
      <xdr:col>18</xdr:col>
      <xdr:colOff>171450</xdr:colOff>
      <xdr:row>37</xdr:row>
      <xdr:rowOff>0</xdr:rowOff>
    </xdr:from>
    <xdr:to>
      <xdr:col>23</xdr:col>
      <xdr:colOff>9524</xdr:colOff>
      <xdr:row>39</xdr:row>
      <xdr:rowOff>57150</xdr:rowOff>
    </xdr:to>
    <xdr:sp macro="" textlink="">
      <xdr:nvSpPr>
        <xdr:cNvPr id="4" name="Line 4">
          <a:extLst>
            <a:ext uri="{FF2B5EF4-FFF2-40B4-BE49-F238E27FC236}">
              <a16:creationId xmlns:a16="http://schemas.microsoft.com/office/drawing/2014/main" id="{00000000-0008-0000-0200-000004000000}"/>
            </a:ext>
          </a:extLst>
        </xdr:cNvPr>
        <xdr:cNvSpPr>
          <a:spLocks noChangeShapeType="1"/>
        </xdr:cNvSpPr>
      </xdr:nvSpPr>
      <xdr:spPr bwMode="auto">
        <a:xfrm flipH="1">
          <a:off x="19469100" y="18830925"/>
          <a:ext cx="1857374" cy="1123950"/>
        </a:xfrm>
        <a:prstGeom prst="line">
          <a:avLst/>
        </a:prstGeom>
        <a:noFill/>
        <a:ln w="12700" cap="flat" cmpd="sng">
          <a:solidFill>
            <a:srgbClr val="000000"/>
          </a:solidFill>
          <a:prstDash val="solid"/>
          <a:round/>
          <a:headEnd/>
          <a:tailEnd type="stealth" w="med" len="med"/>
        </a:ln>
        <a:effectLst/>
      </xdr:spPr>
      <xdr:txBody>
        <a:bodyPr vertOverflow="clip" wrap="square" lIns="18288" tIns="0" rIns="0" bIns="0" rtlCol="0" anchor="ctr" upright="1"/>
        <a:lstStyle/>
        <a:p>
          <a:pPr algn="ctr"/>
          <a:endParaRPr lang="en-US"/>
        </a:p>
      </xdr:txBody>
    </xdr:sp>
    <xdr:clientData/>
  </xdr:twoCellAnchor>
  <xdr:twoCellAnchor>
    <xdr:from>
      <xdr:col>15</xdr:col>
      <xdr:colOff>838200</xdr:colOff>
      <xdr:row>36</xdr:row>
      <xdr:rowOff>400050</xdr:rowOff>
    </xdr:from>
    <xdr:to>
      <xdr:col>18</xdr:col>
      <xdr:colOff>95250</xdr:colOff>
      <xdr:row>37</xdr:row>
      <xdr:rowOff>0</xdr:rowOff>
    </xdr:to>
    <xdr:sp macro="" textlink="">
      <xdr:nvSpPr>
        <xdr:cNvPr id="5" name="Line 4">
          <a:extLst>
            <a:ext uri="{FF2B5EF4-FFF2-40B4-BE49-F238E27FC236}">
              <a16:creationId xmlns:a16="http://schemas.microsoft.com/office/drawing/2014/main" id="{00000000-0008-0000-0200-000005000000}"/>
            </a:ext>
          </a:extLst>
        </xdr:cNvPr>
        <xdr:cNvSpPr>
          <a:spLocks noChangeShapeType="1"/>
        </xdr:cNvSpPr>
      </xdr:nvSpPr>
      <xdr:spPr bwMode="auto">
        <a:xfrm flipV="1">
          <a:off x="17964150" y="18697575"/>
          <a:ext cx="1428750" cy="133350"/>
        </a:xfrm>
        <a:prstGeom prst="line">
          <a:avLst/>
        </a:prstGeom>
        <a:noFill/>
        <a:ln w="12700" cap="flat" cmpd="sng">
          <a:solidFill>
            <a:srgbClr val="000000"/>
          </a:solidFill>
          <a:prstDash val="solid"/>
          <a:round/>
          <a:headEnd/>
          <a:tailEnd type="stealth" w="med" len="med"/>
        </a:ln>
        <a:effectLst/>
      </xdr:spPr>
      <xdr:txBody>
        <a:bodyPr vertOverflow="clip" wrap="square" lIns="18288" tIns="0" rIns="0" bIns="0" rtlCol="0" anchor="ctr" upright="1"/>
        <a:lstStyle/>
        <a:p>
          <a:pPr algn="ctr"/>
          <a:endParaRPr lang="en-US"/>
        </a:p>
      </xdr:txBody>
    </xdr:sp>
    <xdr:clientData/>
  </xdr:twoCellAnchor>
  <xdr:twoCellAnchor>
    <xdr:from>
      <xdr:col>16</xdr:col>
      <xdr:colOff>0</xdr:colOff>
      <xdr:row>39</xdr:row>
      <xdr:rowOff>57150</xdr:rowOff>
    </xdr:from>
    <xdr:to>
      <xdr:col>16</xdr:col>
      <xdr:colOff>0</xdr:colOff>
      <xdr:row>42</xdr:row>
      <xdr:rowOff>19050</xdr:rowOff>
    </xdr:to>
    <xdr:sp macro="" textlink="">
      <xdr:nvSpPr>
        <xdr:cNvPr id="6" name="Line 4">
          <a:extLst>
            <a:ext uri="{FF2B5EF4-FFF2-40B4-BE49-F238E27FC236}">
              <a16:creationId xmlns:a16="http://schemas.microsoft.com/office/drawing/2014/main" id="{00000000-0008-0000-0200-000006000000}"/>
            </a:ext>
          </a:extLst>
        </xdr:cNvPr>
        <xdr:cNvSpPr>
          <a:spLocks noChangeShapeType="1"/>
        </xdr:cNvSpPr>
      </xdr:nvSpPr>
      <xdr:spPr bwMode="auto">
        <a:xfrm flipH="1" flipV="1">
          <a:off x="18145125" y="19954875"/>
          <a:ext cx="0" cy="1562100"/>
        </a:xfrm>
        <a:prstGeom prst="line">
          <a:avLst/>
        </a:prstGeom>
        <a:noFill/>
        <a:ln w="12700" cap="flat" cmpd="sng">
          <a:solidFill>
            <a:srgbClr val="000000"/>
          </a:solidFill>
          <a:prstDash val="solid"/>
          <a:round/>
          <a:headEnd/>
          <a:tailEnd type="stealth" w="med" len="med"/>
        </a:ln>
        <a:effectLst/>
      </xdr:spPr>
      <xdr:txBody>
        <a:bodyPr vertOverflow="clip" wrap="square" lIns="18288" tIns="0" rIns="0" bIns="0" rtlCol="0" anchor="ctr" upright="1"/>
        <a:lstStyle/>
        <a:p>
          <a:pPr algn="ctr"/>
          <a:endParaRPr lang="en-US"/>
        </a:p>
      </xdr:txBody>
    </xdr:sp>
    <xdr:clientData/>
  </xdr:twoCellAnchor>
  <xdr:twoCellAnchor>
    <xdr:from>
      <xdr:col>18</xdr:col>
      <xdr:colOff>400050</xdr:colOff>
      <xdr:row>41</xdr:row>
      <xdr:rowOff>400049</xdr:rowOff>
    </xdr:from>
    <xdr:to>
      <xdr:col>23</xdr:col>
      <xdr:colOff>100012</xdr:colOff>
      <xdr:row>42</xdr:row>
      <xdr:rowOff>4761</xdr:rowOff>
    </xdr:to>
    <xdr:sp macro="" textlink="">
      <xdr:nvSpPr>
        <xdr:cNvPr id="7" name="Line 4">
          <a:extLst>
            <a:ext uri="{FF2B5EF4-FFF2-40B4-BE49-F238E27FC236}">
              <a16:creationId xmlns:a16="http://schemas.microsoft.com/office/drawing/2014/main" id="{00000000-0008-0000-0200-000007000000}"/>
            </a:ext>
          </a:extLst>
        </xdr:cNvPr>
        <xdr:cNvSpPr>
          <a:spLocks noChangeShapeType="1"/>
        </xdr:cNvSpPr>
      </xdr:nvSpPr>
      <xdr:spPr bwMode="auto">
        <a:xfrm flipH="1" flipV="1">
          <a:off x="19697700" y="21364574"/>
          <a:ext cx="1719262" cy="138112"/>
        </a:xfrm>
        <a:prstGeom prst="line">
          <a:avLst/>
        </a:prstGeom>
        <a:noFill/>
        <a:ln w="12700" cap="flat" cmpd="sng">
          <a:solidFill>
            <a:srgbClr val="000000"/>
          </a:solidFill>
          <a:prstDash val="solid"/>
          <a:round/>
          <a:headEnd/>
          <a:tailEnd type="stealth" w="med" len="med"/>
        </a:ln>
        <a:effectLst/>
      </xdr:spPr>
      <xdr:txBody>
        <a:bodyPr vertOverflow="clip" wrap="square" lIns="18288" tIns="0" rIns="0" bIns="0" rtlCol="0" anchor="ctr" upright="1"/>
        <a:lstStyle/>
        <a:p>
          <a:pPr algn="ctr"/>
          <a:endParaRPr lang="en-US"/>
        </a:p>
      </xdr:txBody>
    </xdr:sp>
    <xdr:clientData/>
  </xdr:twoCellAnchor>
  <xdr:twoCellAnchor>
    <xdr:from>
      <xdr:col>21</xdr:col>
      <xdr:colOff>171450</xdr:colOff>
      <xdr:row>39</xdr:row>
      <xdr:rowOff>57150</xdr:rowOff>
    </xdr:from>
    <xdr:to>
      <xdr:col>23</xdr:col>
      <xdr:colOff>0</xdr:colOff>
      <xdr:row>40</xdr:row>
      <xdr:rowOff>0</xdr:rowOff>
    </xdr:to>
    <xdr:sp macro="" textlink="">
      <xdr:nvSpPr>
        <xdr:cNvPr id="8" name="Line 4">
          <a:extLst>
            <a:ext uri="{FF2B5EF4-FFF2-40B4-BE49-F238E27FC236}">
              <a16:creationId xmlns:a16="http://schemas.microsoft.com/office/drawing/2014/main" id="{00000000-0008-0000-0200-000008000000}"/>
            </a:ext>
          </a:extLst>
        </xdr:cNvPr>
        <xdr:cNvSpPr>
          <a:spLocks noChangeShapeType="1"/>
        </xdr:cNvSpPr>
      </xdr:nvSpPr>
      <xdr:spPr bwMode="auto">
        <a:xfrm flipH="1" flipV="1">
          <a:off x="20650200" y="19954875"/>
          <a:ext cx="666750" cy="476250"/>
        </a:xfrm>
        <a:prstGeom prst="line">
          <a:avLst/>
        </a:prstGeom>
        <a:noFill/>
        <a:ln w="12700" cap="flat" cmpd="sng">
          <a:solidFill>
            <a:srgbClr val="000000"/>
          </a:solidFill>
          <a:prstDash val="solid"/>
          <a:round/>
          <a:headEnd/>
          <a:tailEnd type="stealth" w="med" len="med"/>
        </a:ln>
        <a:effectLst/>
      </xdr:spPr>
      <xdr:txBody>
        <a:bodyPr vertOverflow="clip" wrap="square" lIns="18288" tIns="0" rIns="0" bIns="0" rtlCol="0" anchor="ctr" upright="1"/>
        <a:lstStyle/>
        <a:p>
          <a:pPr algn="ctr"/>
          <a:endParaRPr lang="en-US"/>
        </a:p>
      </xdr:txBody>
    </xdr:sp>
    <xdr:clientData/>
  </xdr:twoCellAnchor>
  <xdr:twoCellAnchor>
    <xdr:from>
      <xdr:col>15</xdr:col>
      <xdr:colOff>819150</xdr:colOff>
      <xdr:row>39</xdr:row>
      <xdr:rowOff>76200</xdr:rowOff>
    </xdr:from>
    <xdr:to>
      <xdr:col>21</xdr:col>
      <xdr:colOff>266700</xdr:colOff>
      <xdr:row>39</xdr:row>
      <xdr:rowOff>76200</xdr:rowOff>
    </xdr:to>
    <xdr:sp macro="" textlink="">
      <xdr:nvSpPr>
        <xdr:cNvPr id="19" name="Line 2">
          <a:extLst>
            <a:ext uri="{FF2B5EF4-FFF2-40B4-BE49-F238E27FC236}">
              <a16:creationId xmlns:a16="http://schemas.microsoft.com/office/drawing/2014/main" id="{00000000-0008-0000-0200-000013000000}"/>
            </a:ext>
          </a:extLst>
        </xdr:cNvPr>
        <xdr:cNvSpPr>
          <a:spLocks noChangeShapeType="1"/>
        </xdr:cNvSpPr>
      </xdr:nvSpPr>
      <xdr:spPr bwMode="auto">
        <a:xfrm flipH="1">
          <a:off x="17945100" y="19973925"/>
          <a:ext cx="2800350" cy="0"/>
        </a:xfrm>
        <a:prstGeom prst="line">
          <a:avLst/>
        </a:prstGeom>
        <a:noFill/>
        <a:ln w="25400" cap="flat" cmpd="sng">
          <a:solidFill>
            <a:srgbClr val="000000"/>
          </a:solidFill>
          <a:prstDash val="solid"/>
          <a:round/>
          <a:headEnd/>
          <a:tailEnd/>
        </a:ln>
        <a:effectLst/>
      </xdr:spPr>
      <xdr:txBody>
        <a:bodyPr vertOverflow="clip" wrap="square" lIns="18288" tIns="0" rIns="0" bIns="0" rtlCol="0" anchor="ctr" upright="1"/>
        <a:lstStyle/>
        <a:p>
          <a:pPr algn="ctr"/>
          <a:endParaRPr lang="en-US"/>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16</xdr:col>
      <xdr:colOff>38100</xdr:colOff>
      <xdr:row>36</xdr:row>
      <xdr:rowOff>361950</xdr:rowOff>
    </xdr:from>
    <xdr:to>
      <xdr:col>21</xdr:col>
      <xdr:colOff>158750</xdr:colOff>
      <xdr:row>41</xdr:row>
      <xdr:rowOff>361950</xdr:rowOff>
    </xdr:to>
    <xdr:sp macro="" textlink="">
      <xdr:nvSpPr>
        <xdr:cNvPr id="2" name="AutoShape 1">
          <a:extLst>
            <a:ext uri="{FF2B5EF4-FFF2-40B4-BE49-F238E27FC236}">
              <a16:creationId xmlns:a16="http://schemas.microsoft.com/office/drawing/2014/main" id="{00000000-0008-0000-0300-000002000000}"/>
            </a:ext>
          </a:extLst>
        </xdr:cNvPr>
        <xdr:cNvSpPr>
          <a:spLocks/>
        </xdr:cNvSpPr>
      </xdr:nvSpPr>
      <xdr:spPr bwMode="auto">
        <a:xfrm>
          <a:off x="18707100" y="18649950"/>
          <a:ext cx="2528570" cy="2667000"/>
        </a:xfrm>
        <a:custGeom>
          <a:avLst/>
          <a:gdLst>
            <a:gd name="T0" fmla="+- 0 10800 961"/>
            <a:gd name="T1" fmla="*/ T0 w 19679"/>
            <a:gd name="T2" fmla="+- 0 10800 961"/>
            <a:gd name="T3" fmla="*/ 10800 h 19679"/>
            <a:gd name="T4" fmla="+- 0 10800 961"/>
            <a:gd name="T5" fmla="*/ T4 w 19679"/>
            <a:gd name="T6" fmla="+- 0 10800 961"/>
            <a:gd name="T7" fmla="*/ 10800 h 19679"/>
            <a:gd name="T8" fmla="+- 0 10800 961"/>
            <a:gd name="T9" fmla="*/ T8 w 19679"/>
            <a:gd name="T10" fmla="+- 0 10800 961"/>
            <a:gd name="T11" fmla="*/ 10800 h 19679"/>
            <a:gd name="T12" fmla="+- 0 10800 961"/>
            <a:gd name="T13" fmla="*/ T12 w 19679"/>
            <a:gd name="T14" fmla="+- 0 10800 961"/>
            <a:gd name="T15" fmla="*/ 10800 h 19679"/>
          </a:gdLst>
          <a:ahLst/>
          <a:cxnLst>
            <a:cxn ang="0">
              <a:pos x="T1" y="T3"/>
            </a:cxn>
            <a:cxn ang="0">
              <a:pos x="T5" y="T7"/>
            </a:cxn>
            <a:cxn ang="0">
              <a:pos x="T9" y="T11"/>
            </a:cxn>
            <a:cxn ang="0">
              <a:pos x="T13" y="T15"/>
            </a:cxn>
          </a:cxnLst>
          <a:rect l="0" t="0" r="r" b="b"/>
          <a:pathLst>
            <a:path w="19679" h="19679">
              <a:moveTo>
                <a:pt x="16796" y="2881"/>
              </a:moveTo>
              <a:cubicBezTo>
                <a:pt x="20639" y="6724"/>
                <a:pt x="20639" y="12953"/>
                <a:pt x="16796" y="16796"/>
              </a:cubicBezTo>
              <a:cubicBezTo>
                <a:pt x="12953" y="20639"/>
                <a:pt x="6724" y="20639"/>
                <a:pt x="2881" y="16796"/>
              </a:cubicBezTo>
              <a:cubicBezTo>
                <a:pt x="-961" y="12953"/>
                <a:pt x="-961" y="6724"/>
                <a:pt x="2881" y="2881"/>
              </a:cubicBezTo>
              <a:cubicBezTo>
                <a:pt x="6724" y="-961"/>
                <a:pt x="12953" y="-961"/>
                <a:pt x="16796" y="2881"/>
              </a:cubicBezTo>
            </a:path>
          </a:pathLst>
        </a:custGeom>
        <a:noFill/>
        <a:ln w="12700" cap="flat" cmpd="sng">
          <a:solidFill>
            <a:srgbClr val="000000"/>
          </a:solidFill>
          <a:prstDash val="solid"/>
          <a:miter lim="0"/>
          <a:headEnd/>
          <a:tailEnd/>
        </a:ln>
        <a:effectLst/>
      </xdr:spPr>
      <xdr:txBody>
        <a:bodyPr vertOverflow="clip" wrap="square" lIns="18288" tIns="0" rIns="0" bIns="0" rtlCol="0" anchor="ctr" upright="1"/>
        <a:lstStyle/>
        <a:p>
          <a:pPr algn="ctr"/>
          <a:endParaRPr lang="en-US"/>
        </a:p>
      </xdr:txBody>
    </xdr:sp>
    <xdr:clientData/>
  </xdr:twoCellAnchor>
  <xdr:twoCellAnchor>
    <xdr:from>
      <xdr:col>18</xdr:col>
      <xdr:colOff>152400</xdr:colOff>
      <xdr:row>36</xdr:row>
      <xdr:rowOff>381000</xdr:rowOff>
    </xdr:from>
    <xdr:to>
      <xdr:col>18</xdr:col>
      <xdr:colOff>171450</xdr:colOff>
      <xdr:row>41</xdr:row>
      <xdr:rowOff>495300</xdr:rowOff>
    </xdr:to>
    <xdr:sp macro="" textlink="">
      <xdr:nvSpPr>
        <xdr:cNvPr id="3" name="Line 2">
          <a:extLst>
            <a:ext uri="{FF2B5EF4-FFF2-40B4-BE49-F238E27FC236}">
              <a16:creationId xmlns:a16="http://schemas.microsoft.com/office/drawing/2014/main" id="{00000000-0008-0000-0300-000003000000}"/>
            </a:ext>
          </a:extLst>
        </xdr:cNvPr>
        <xdr:cNvSpPr>
          <a:spLocks noChangeShapeType="1"/>
        </xdr:cNvSpPr>
      </xdr:nvSpPr>
      <xdr:spPr bwMode="auto">
        <a:xfrm flipH="1" flipV="1">
          <a:off x="20010120" y="18669000"/>
          <a:ext cx="19050" cy="2781300"/>
        </a:xfrm>
        <a:prstGeom prst="line">
          <a:avLst/>
        </a:prstGeom>
        <a:noFill/>
        <a:ln w="25400" cap="flat" cmpd="sng">
          <a:solidFill>
            <a:srgbClr val="000000"/>
          </a:solidFill>
          <a:prstDash val="solid"/>
          <a:round/>
          <a:headEnd/>
          <a:tailEnd/>
        </a:ln>
        <a:effectLst/>
      </xdr:spPr>
      <xdr:txBody>
        <a:bodyPr vertOverflow="clip" wrap="square" lIns="18288" tIns="0" rIns="0" bIns="0" rtlCol="0" anchor="ctr" upright="1"/>
        <a:lstStyle/>
        <a:p>
          <a:pPr algn="ctr"/>
          <a:endParaRPr lang="en-US"/>
        </a:p>
      </xdr:txBody>
    </xdr:sp>
    <xdr:clientData/>
  </xdr:twoCellAnchor>
  <xdr:twoCellAnchor>
    <xdr:from>
      <xdr:col>18</xdr:col>
      <xdr:colOff>171450</xdr:colOff>
      <xdr:row>37</xdr:row>
      <xdr:rowOff>0</xdr:rowOff>
    </xdr:from>
    <xdr:to>
      <xdr:col>23</xdr:col>
      <xdr:colOff>9524</xdr:colOff>
      <xdr:row>39</xdr:row>
      <xdr:rowOff>57150</xdr:rowOff>
    </xdr:to>
    <xdr:sp macro="" textlink="">
      <xdr:nvSpPr>
        <xdr:cNvPr id="4" name="Line 4">
          <a:extLst>
            <a:ext uri="{FF2B5EF4-FFF2-40B4-BE49-F238E27FC236}">
              <a16:creationId xmlns:a16="http://schemas.microsoft.com/office/drawing/2014/main" id="{00000000-0008-0000-0300-000004000000}"/>
            </a:ext>
          </a:extLst>
        </xdr:cNvPr>
        <xdr:cNvSpPr>
          <a:spLocks noChangeShapeType="1"/>
        </xdr:cNvSpPr>
      </xdr:nvSpPr>
      <xdr:spPr bwMode="auto">
        <a:xfrm flipH="1">
          <a:off x="20029170" y="18821400"/>
          <a:ext cx="1918334" cy="1123950"/>
        </a:xfrm>
        <a:prstGeom prst="line">
          <a:avLst/>
        </a:prstGeom>
        <a:noFill/>
        <a:ln w="12700" cap="flat" cmpd="sng">
          <a:solidFill>
            <a:srgbClr val="000000"/>
          </a:solidFill>
          <a:prstDash val="solid"/>
          <a:round/>
          <a:headEnd/>
          <a:tailEnd type="stealth" w="med" len="med"/>
        </a:ln>
        <a:effectLst/>
      </xdr:spPr>
      <xdr:txBody>
        <a:bodyPr vertOverflow="clip" wrap="square" lIns="18288" tIns="0" rIns="0" bIns="0" rtlCol="0" anchor="ctr" upright="1"/>
        <a:lstStyle/>
        <a:p>
          <a:pPr algn="ctr"/>
          <a:endParaRPr lang="en-US"/>
        </a:p>
      </xdr:txBody>
    </xdr:sp>
    <xdr:clientData/>
  </xdr:twoCellAnchor>
  <xdr:twoCellAnchor>
    <xdr:from>
      <xdr:col>15</xdr:col>
      <xdr:colOff>838200</xdr:colOff>
      <xdr:row>36</xdr:row>
      <xdr:rowOff>400050</xdr:rowOff>
    </xdr:from>
    <xdr:to>
      <xdr:col>18</xdr:col>
      <xdr:colOff>95250</xdr:colOff>
      <xdr:row>37</xdr:row>
      <xdr:rowOff>0</xdr:rowOff>
    </xdr:to>
    <xdr:sp macro="" textlink="">
      <xdr:nvSpPr>
        <xdr:cNvPr id="5" name="Line 4">
          <a:extLst>
            <a:ext uri="{FF2B5EF4-FFF2-40B4-BE49-F238E27FC236}">
              <a16:creationId xmlns:a16="http://schemas.microsoft.com/office/drawing/2014/main" id="{00000000-0008-0000-0300-000005000000}"/>
            </a:ext>
          </a:extLst>
        </xdr:cNvPr>
        <xdr:cNvSpPr>
          <a:spLocks noChangeShapeType="1"/>
        </xdr:cNvSpPr>
      </xdr:nvSpPr>
      <xdr:spPr bwMode="auto">
        <a:xfrm flipV="1">
          <a:off x="18455640" y="18688050"/>
          <a:ext cx="1497330" cy="133350"/>
        </a:xfrm>
        <a:prstGeom prst="line">
          <a:avLst/>
        </a:prstGeom>
        <a:noFill/>
        <a:ln w="12700" cap="flat" cmpd="sng">
          <a:solidFill>
            <a:srgbClr val="000000"/>
          </a:solidFill>
          <a:prstDash val="solid"/>
          <a:round/>
          <a:headEnd/>
          <a:tailEnd type="stealth" w="med" len="med"/>
        </a:ln>
        <a:effectLst/>
      </xdr:spPr>
      <xdr:txBody>
        <a:bodyPr vertOverflow="clip" wrap="square" lIns="18288" tIns="0" rIns="0" bIns="0" rtlCol="0" anchor="ctr" upright="1"/>
        <a:lstStyle/>
        <a:p>
          <a:pPr algn="ctr"/>
          <a:endParaRPr lang="en-US"/>
        </a:p>
      </xdr:txBody>
    </xdr:sp>
    <xdr:clientData/>
  </xdr:twoCellAnchor>
  <xdr:twoCellAnchor>
    <xdr:from>
      <xdr:col>16</xdr:col>
      <xdr:colOff>0</xdr:colOff>
      <xdr:row>39</xdr:row>
      <xdr:rowOff>57150</xdr:rowOff>
    </xdr:from>
    <xdr:to>
      <xdr:col>16</xdr:col>
      <xdr:colOff>0</xdr:colOff>
      <xdr:row>42</xdr:row>
      <xdr:rowOff>19050</xdr:rowOff>
    </xdr:to>
    <xdr:sp macro="" textlink="">
      <xdr:nvSpPr>
        <xdr:cNvPr id="6" name="Line 4">
          <a:extLst>
            <a:ext uri="{FF2B5EF4-FFF2-40B4-BE49-F238E27FC236}">
              <a16:creationId xmlns:a16="http://schemas.microsoft.com/office/drawing/2014/main" id="{00000000-0008-0000-0300-000006000000}"/>
            </a:ext>
          </a:extLst>
        </xdr:cNvPr>
        <xdr:cNvSpPr>
          <a:spLocks noChangeShapeType="1"/>
        </xdr:cNvSpPr>
      </xdr:nvSpPr>
      <xdr:spPr bwMode="auto">
        <a:xfrm flipH="1" flipV="1">
          <a:off x="18669000" y="19945350"/>
          <a:ext cx="0" cy="1562100"/>
        </a:xfrm>
        <a:prstGeom prst="line">
          <a:avLst/>
        </a:prstGeom>
        <a:noFill/>
        <a:ln w="12700" cap="flat" cmpd="sng">
          <a:solidFill>
            <a:srgbClr val="000000"/>
          </a:solidFill>
          <a:prstDash val="solid"/>
          <a:round/>
          <a:headEnd/>
          <a:tailEnd type="stealth" w="med" len="med"/>
        </a:ln>
        <a:effectLst/>
      </xdr:spPr>
      <xdr:txBody>
        <a:bodyPr vertOverflow="clip" wrap="square" lIns="18288" tIns="0" rIns="0" bIns="0" rtlCol="0" anchor="ctr" upright="1"/>
        <a:lstStyle/>
        <a:p>
          <a:pPr algn="ctr"/>
          <a:endParaRPr lang="en-US"/>
        </a:p>
      </xdr:txBody>
    </xdr:sp>
    <xdr:clientData/>
  </xdr:twoCellAnchor>
  <xdr:twoCellAnchor>
    <xdr:from>
      <xdr:col>18</xdr:col>
      <xdr:colOff>400050</xdr:colOff>
      <xdr:row>41</xdr:row>
      <xdr:rowOff>400049</xdr:rowOff>
    </xdr:from>
    <xdr:to>
      <xdr:col>23</xdr:col>
      <xdr:colOff>100012</xdr:colOff>
      <xdr:row>42</xdr:row>
      <xdr:rowOff>4761</xdr:rowOff>
    </xdr:to>
    <xdr:sp macro="" textlink="">
      <xdr:nvSpPr>
        <xdr:cNvPr id="7" name="Line 4">
          <a:extLst>
            <a:ext uri="{FF2B5EF4-FFF2-40B4-BE49-F238E27FC236}">
              <a16:creationId xmlns:a16="http://schemas.microsoft.com/office/drawing/2014/main" id="{00000000-0008-0000-0300-000007000000}"/>
            </a:ext>
          </a:extLst>
        </xdr:cNvPr>
        <xdr:cNvSpPr>
          <a:spLocks noChangeShapeType="1"/>
        </xdr:cNvSpPr>
      </xdr:nvSpPr>
      <xdr:spPr bwMode="auto">
        <a:xfrm flipH="1" flipV="1">
          <a:off x="20257770" y="21355049"/>
          <a:ext cx="1780222" cy="138112"/>
        </a:xfrm>
        <a:prstGeom prst="line">
          <a:avLst/>
        </a:prstGeom>
        <a:noFill/>
        <a:ln w="12700" cap="flat" cmpd="sng">
          <a:solidFill>
            <a:srgbClr val="000000"/>
          </a:solidFill>
          <a:prstDash val="solid"/>
          <a:round/>
          <a:headEnd/>
          <a:tailEnd type="stealth" w="med" len="med"/>
        </a:ln>
        <a:effectLst/>
      </xdr:spPr>
      <xdr:txBody>
        <a:bodyPr vertOverflow="clip" wrap="square" lIns="18288" tIns="0" rIns="0" bIns="0" rtlCol="0" anchor="ctr" upright="1"/>
        <a:lstStyle/>
        <a:p>
          <a:pPr algn="ctr"/>
          <a:endParaRPr lang="en-US"/>
        </a:p>
      </xdr:txBody>
    </xdr:sp>
    <xdr:clientData/>
  </xdr:twoCellAnchor>
  <xdr:twoCellAnchor>
    <xdr:from>
      <xdr:col>21</xdr:col>
      <xdr:colOff>171450</xdr:colOff>
      <xdr:row>39</xdr:row>
      <xdr:rowOff>57150</xdr:rowOff>
    </xdr:from>
    <xdr:to>
      <xdr:col>23</xdr:col>
      <xdr:colOff>0</xdr:colOff>
      <xdr:row>40</xdr:row>
      <xdr:rowOff>0</xdr:rowOff>
    </xdr:to>
    <xdr:sp macro="" textlink="">
      <xdr:nvSpPr>
        <xdr:cNvPr id="8" name="Line 4">
          <a:extLst>
            <a:ext uri="{FF2B5EF4-FFF2-40B4-BE49-F238E27FC236}">
              <a16:creationId xmlns:a16="http://schemas.microsoft.com/office/drawing/2014/main" id="{00000000-0008-0000-0300-000008000000}"/>
            </a:ext>
          </a:extLst>
        </xdr:cNvPr>
        <xdr:cNvSpPr>
          <a:spLocks noChangeShapeType="1"/>
        </xdr:cNvSpPr>
      </xdr:nvSpPr>
      <xdr:spPr bwMode="auto">
        <a:xfrm flipH="1" flipV="1">
          <a:off x="21248370" y="19945350"/>
          <a:ext cx="689610" cy="476250"/>
        </a:xfrm>
        <a:prstGeom prst="line">
          <a:avLst/>
        </a:prstGeom>
        <a:noFill/>
        <a:ln w="12700" cap="flat" cmpd="sng">
          <a:solidFill>
            <a:srgbClr val="000000"/>
          </a:solidFill>
          <a:prstDash val="solid"/>
          <a:round/>
          <a:headEnd/>
          <a:tailEnd type="stealth" w="med" len="med"/>
        </a:ln>
        <a:effectLst/>
      </xdr:spPr>
      <xdr:txBody>
        <a:bodyPr vertOverflow="clip" wrap="square" lIns="18288" tIns="0" rIns="0" bIns="0" rtlCol="0" anchor="ctr" upright="1"/>
        <a:lstStyle/>
        <a:p>
          <a:pPr algn="ctr"/>
          <a:endParaRPr lang="en-US"/>
        </a:p>
      </xdr:txBody>
    </xdr:sp>
    <xdr:clientData/>
  </xdr:twoCellAnchor>
  <xdr:twoCellAnchor>
    <xdr:from>
      <xdr:col>15</xdr:col>
      <xdr:colOff>819150</xdr:colOff>
      <xdr:row>39</xdr:row>
      <xdr:rowOff>76200</xdr:rowOff>
    </xdr:from>
    <xdr:to>
      <xdr:col>21</xdr:col>
      <xdr:colOff>266700</xdr:colOff>
      <xdr:row>39</xdr:row>
      <xdr:rowOff>76200</xdr:rowOff>
    </xdr:to>
    <xdr:sp macro="" textlink="">
      <xdr:nvSpPr>
        <xdr:cNvPr id="11" name="Line 2">
          <a:extLst>
            <a:ext uri="{FF2B5EF4-FFF2-40B4-BE49-F238E27FC236}">
              <a16:creationId xmlns:a16="http://schemas.microsoft.com/office/drawing/2014/main" id="{00000000-0008-0000-0300-00000B000000}"/>
            </a:ext>
          </a:extLst>
        </xdr:cNvPr>
        <xdr:cNvSpPr>
          <a:spLocks noChangeShapeType="1"/>
        </xdr:cNvSpPr>
      </xdr:nvSpPr>
      <xdr:spPr bwMode="auto">
        <a:xfrm flipH="1">
          <a:off x="18436590" y="19964400"/>
          <a:ext cx="2907030" cy="0"/>
        </a:xfrm>
        <a:prstGeom prst="line">
          <a:avLst/>
        </a:prstGeom>
        <a:noFill/>
        <a:ln w="25400" cap="flat" cmpd="sng">
          <a:solidFill>
            <a:srgbClr val="000000"/>
          </a:solidFill>
          <a:prstDash val="solid"/>
          <a:round/>
          <a:headEnd/>
          <a:tailEnd/>
        </a:ln>
        <a:effectLst/>
      </xdr:spPr>
      <xdr:txBody>
        <a:bodyPr vertOverflow="clip" wrap="square" lIns="18288" tIns="0" rIns="0" bIns="0" rtlCol="0" anchor="ctr" upright="1"/>
        <a:lstStyle/>
        <a:p>
          <a:pPr algn="ctr"/>
          <a:endParaRPr lang="en-US"/>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16</xdr:col>
      <xdr:colOff>38100</xdr:colOff>
      <xdr:row>36</xdr:row>
      <xdr:rowOff>361950</xdr:rowOff>
    </xdr:from>
    <xdr:to>
      <xdr:col>21</xdr:col>
      <xdr:colOff>158750</xdr:colOff>
      <xdr:row>41</xdr:row>
      <xdr:rowOff>361950</xdr:rowOff>
    </xdr:to>
    <xdr:sp macro="" textlink="">
      <xdr:nvSpPr>
        <xdr:cNvPr id="2" name="AutoShape 1">
          <a:extLst>
            <a:ext uri="{FF2B5EF4-FFF2-40B4-BE49-F238E27FC236}">
              <a16:creationId xmlns:a16="http://schemas.microsoft.com/office/drawing/2014/main" id="{00000000-0008-0000-0400-000002000000}"/>
            </a:ext>
          </a:extLst>
        </xdr:cNvPr>
        <xdr:cNvSpPr>
          <a:spLocks/>
        </xdr:cNvSpPr>
      </xdr:nvSpPr>
      <xdr:spPr bwMode="auto">
        <a:xfrm>
          <a:off x="18707100" y="18649950"/>
          <a:ext cx="2528570" cy="2667000"/>
        </a:xfrm>
        <a:custGeom>
          <a:avLst/>
          <a:gdLst>
            <a:gd name="T0" fmla="+- 0 10800 961"/>
            <a:gd name="T1" fmla="*/ T0 w 19679"/>
            <a:gd name="T2" fmla="+- 0 10800 961"/>
            <a:gd name="T3" fmla="*/ 10800 h 19679"/>
            <a:gd name="T4" fmla="+- 0 10800 961"/>
            <a:gd name="T5" fmla="*/ T4 w 19679"/>
            <a:gd name="T6" fmla="+- 0 10800 961"/>
            <a:gd name="T7" fmla="*/ 10800 h 19679"/>
            <a:gd name="T8" fmla="+- 0 10800 961"/>
            <a:gd name="T9" fmla="*/ T8 w 19679"/>
            <a:gd name="T10" fmla="+- 0 10800 961"/>
            <a:gd name="T11" fmla="*/ 10800 h 19679"/>
            <a:gd name="T12" fmla="+- 0 10800 961"/>
            <a:gd name="T13" fmla="*/ T12 w 19679"/>
            <a:gd name="T14" fmla="+- 0 10800 961"/>
            <a:gd name="T15" fmla="*/ 10800 h 19679"/>
          </a:gdLst>
          <a:ahLst/>
          <a:cxnLst>
            <a:cxn ang="0">
              <a:pos x="T1" y="T3"/>
            </a:cxn>
            <a:cxn ang="0">
              <a:pos x="T5" y="T7"/>
            </a:cxn>
            <a:cxn ang="0">
              <a:pos x="T9" y="T11"/>
            </a:cxn>
            <a:cxn ang="0">
              <a:pos x="T13" y="T15"/>
            </a:cxn>
          </a:cxnLst>
          <a:rect l="0" t="0" r="r" b="b"/>
          <a:pathLst>
            <a:path w="19679" h="19679">
              <a:moveTo>
                <a:pt x="16796" y="2881"/>
              </a:moveTo>
              <a:cubicBezTo>
                <a:pt x="20639" y="6724"/>
                <a:pt x="20639" y="12953"/>
                <a:pt x="16796" y="16796"/>
              </a:cubicBezTo>
              <a:cubicBezTo>
                <a:pt x="12953" y="20639"/>
                <a:pt x="6724" y="20639"/>
                <a:pt x="2881" y="16796"/>
              </a:cubicBezTo>
              <a:cubicBezTo>
                <a:pt x="-961" y="12953"/>
                <a:pt x="-961" y="6724"/>
                <a:pt x="2881" y="2881"/>
              </a:cubicBezTo>
              <a:cubicBezTo>
                <a:pt x="6724" y="-961"/>
                <a:pt x="12953" y="-961"/>
                <a:pt x="16796" y="2881"/>
              </a:cubicBezTo>
            </a:path>
          </a:pathLst>
        </a:custGeom>
        <a:noFill/>
        <a:ln w="12700" cap="flat" cmpd="sng">
          <a:solidFill>
            <a:srgbClr val="000000"/>
          </a:solidFill>
          <a:prstDash val="solid"/>
          <a:miter lim="0"/>
          <a:headEnd/>
          <a:tailEnd/>
        </a:ln>
        <a:effectLst/>
      </xdr:spPr>
      <xdr:txBody>
        <a:bodyPr vertOverflow="clip" wrap="square" lIns="18288" tIns="0" rIns="0" bIns="0" rtlCol="0" anchor="ctr" upright="1"/>
        <a:lstStyle/>
        <a:p>
          <a:pPr algn="ctr"/>
          <a:endParaRPr lang="en-US"/>
        </a:p>
      </xdr:txBody>
    </xdr:sp>
    <xdr:clientData/>
  </xdr:twoCellAnchor>
  <xdr:twoCellAnchor>
    <xdr:from>
      <xdr:col>18</xdr:col>
      <xdr:colOff>152400</xdr:colOff>
      <xdr:row>36</xdr:row>
      <xdr:rowOff>381000</xdr:rowOff>
    </xdr:from>
    <xdr:to>
      <xdr:col>18</xdr:col>
      <xdr:colOff>171450</xdr:colOff>
      <xdr:row>41</xdr:row>
      <xdr:rowOff>495300</xdr:rowOff>
    </xdr:to>
    <xdr:sp macro="" textlink="">
      <xdr:nvSpPr>
        <xdr:cNvPr id="3" name="Line 2">
          <a:extLst>
            <a:ext uri="{FF2B5EF4-FFF2-40B4-BE49-F238E27FC236}">
              <a16:creationId xmlns:a16="http://schemas.microsoft.com/office/drawing/2014/main" id="{00000000-0008-0000-0400-000003000000}"/>
            </a:ext>
          </a:extLst>
        </xdr:cNvPr>
        <xdr:cNvSpPr>
          <a:spLocks noChangeShapeType="1"/>
        </xdr:cNvSpPr>
      </xdr:nvSpPr>
      <xdr:spPr bwMode="auto">
        <a:xfrm flipH="1" flipV="1">
          <a:off x="20010120" y="18669000"/>
          <a:ext cx="19050" cy="2781300"/>
        </a:xfrm>
        <a:prstGeom prst="line">
          <a:avLst/>
        </a:prstGeom>
        <a:noFill/>
        <a:ln w="25400" cap="flat" cmpd="sng">
          <a:solidFill>
            <a:srgbClr val="000000"/>
          </a:solidFill>
          <a:prstDash val="solid"/>
          <a:round/>
          <a:headEnd/>
          <a:tailEnd/>
        </a:ln>
        <a:effectLst/>
      </xdr:spPr>
      <xdr:txBody>
        <a:bodyPr vertOverflow="clip" wrap="square" lIns="18288" tIns="0" rIns="0" bIns="0" rtlCol="0" anchor="ctr" upright="1"/>
        <a:lstStyle/>
        <a:p>
          <a:pPr algn="ctr"/>
          <a:endParaRPr lang="en-US"/>
        </a:p>
      </xdr:txBody>
    </xdr:sp>
    <xdr:clientData/>
  </xdr:twoCellAnchor>
  <xdr:twoCellAnchor>
    <xdr:from>
      <xdr:col>18</xdr:col>
      <xdr:colOff>171450</xdr:colOff>
      <xdr:row>37</xdr:row>
      <xdr:rowOff>0</xdr:rowOff>
    </xdr:from>
    <xdr:to>
      <xdr:col>23</xdr:col>
      <xdr:colOff>9524</xdr:colOff>
      <xdr:row>39</xdr:row>
      <xdr:rowOff>57150</xdr:rowOff>
    </xdr:to>
    <xdr:sp macro="" textlink="">
      <xdr:nvSpPr>
        <xdr:cNvPr id="4" name="Line 4">
          <a:extLst>
            <a:ext uri="{FF2B5EF4-FFF2-40B4-BE49-F238E27FC236}">
              <a16:creationId xmlns:a16="http://schemas.microsoft.com/office/drawing/2014/main" id="{00000000-0008-0000-0400-000004000000}"/>
            </a:ext>
          </a:extLst>
        </xdr:cNvPr>
        <xdr:cNvSpPr>
          <a:spLocks noChangeShapeType="1"/>
        </xdr:cNvSpPr>
      </xdr:nvSpPr>
      <xdr:spPr bwMode="auto">
        <a:xfrm flipH="1">
          <a:off x="20029170" y="18821400"/>
          <a:ext cx="1918334" cy="1123950"/>
        </a:xfrm>
        <a:prstGeom prst="line">
          <a:avLst/>
        </a:prstGeom>
        <a:noFill/>
        <a:ln w="12700" cap="flat" cmpd="sng">
          <a:solidFill>
            <a:srgbClr val="000000"/>
          </a:solidFill>
          <a:prstDash val="solid"/>
          <a:round/>
          <a:headEnd/>
          <a:tailEnd type="stealth" w="med" len="med"/>
        </a:ln>
        <a:effectLst/>
      </xdr:spPr>
      <xdr:txBody>
        <a:bodyPr vertOverflow="clip" wrap="square" lIns="18288" tIns="0" rIns="0" bIns="0" rtlCol="0" anchor="ctr" upright="1"/>
        <a:lstStyle/>
        <a:p>
          <a:pPr algn="ctr"/>
          <a:endParaRPr lang="en-US"/>
        </a:p>
      </xdr:txBody>
    </xdr:sp>
    <xdr:clientData/>
  </xdr:twoCellAnchor>
  <xdr:twoCellAnchor>
    <xdr:from>
      <xdr:col>15</xdr:col>
      <xdr:colOff>838200</xdr:colOff>
      <xdr:row>36</xdr:row>
      <xdr:rowOff>400050</xdr:rowOff>
    </xdr:from>
    <xdr:to>
      <xdr:col>18</xdr:col>
      <xdr:colOff>95250</xdr:colOff>
      <xdr:row>37</xdr:row>
      <xdr:rowOff>0</xdr:rowOff>
    </xdr:to>
    <xdr:sp macro="" textlink="">
      <xdr:nvSpPr>
        <xdr:cNvPr id="5" name="Line 4">
          <a:extLst>
            <a:ext uri="{FF2B5EF4-FFF2-40B4-BE49-F238E27FC236}">
              <a16:creationId xmlns:a16="http://schemas.microsoft.com/office/drawing/2014/main" id="{00000000-0008-0000-0400-000005000000}"/>
            </a:ext>
          </a:extLst>
        </xdr:cNvPr>
        <xdr:cNvSpPr>
          <a:spLocks noChangeShapeType="1"/>
        </xdr:cNvSpPr>
      </xdr:nvSpPr>
      <xdr:spPr bwMode="auto">
        <a:xfrm flipV="1">
          <a:off x="18455640" y="18688050"/>
          <a:ext cx="1497330" cy="133350"/>
        </a:xfrm>
        <a:prstGeom prst="line">
          <a:avLst/>
        </a:prstGeom>
        <a:noFill/>
        <a:ln w="12700" cap="flat" cmpd="sng">
          <a:solidFill>
            <a:srgbClr val="000000"/>
          </a:solidFill>
          <a:prstDash val="solid"/>
          <a:round/>
          <a:headEnd/>
          <a:tailEnd type="stealth" w="med" len="med"/>
        </a:ln>
        <a:effectLst/>
      </xdr:spPr>
      <xdr:txBody>
        <a:bodyPr vertOverflow="clip" wrap="square" lIns="18288" tIns="0" rIns="0" bIns="0" rtlCol="0" anchor="ctr" upright="1"/>
        <a:lstStyle/>
        <a:p>
          <a:pPr algn="ctr"/>
          <a:endParaRPr lang="en-US"/>
        </a:p>
      </xdr:txBody>
    </xdr:sp>
    <xdr:clientData/>
  </xdr:twoCellAnchor>
  <xdr:twoCellAnchor>
    <xdr:from>
      <xdr:col>16</xdr:col>
      <xdr:colOff>0</xdr:colOff>
      <xdr:row>39</xdr:row>
      <xdr:rowOff>57150</xdr:rowOff>
    </xdr:from>
    <xdr:to>
      <xdr:col>16</xdr:col>
      <xdr:colOff>0</xdr:colOff>
      <xdr:row>42</xdr:row>
      <xdr:rowOff>19050</xdr:rowOff>
    </xdr:to>
    <xdr:sp macro="" textlink="">
      <xdr:nvSpPr>
        <xdr:cNvPr id="6" name="Line 4">
          <a:extLst>
            <a:ext uri="{FF2B5EF4-FFF2-40B4-BE49-F238E27FC236}">
              <a16:creationId xmlns:a16="http://schemas.microsoft.com/office/drawing/2014/main" id="{00000000-0008-0000-0400-000006000000}"/>
            </a:ext>
          </a:extLst>
        </xdr:cNvPr>
        <xdr:cNvSpPr>
          <a:spLocks noChangeShapeType="1"/>
        </xdr:cNvSpPr>
      </xdr:nvSpPr>
      <xdr:spPr bwMode="auto">
        <a:xfrm flipH="1" flipV="1">
          <a:off x="18669000" y="19945350"/>
          <a:ext cx="0" cy="1562100"/>
        </a:xfrm>
        <a:prstGeom prst="line">
          <a:avLst/>
        </a:prstGeom>
        <a:noFill/>
        <a:ln w="12700" cap="flat" cmpd="sng">
          <a:solidFill>
            <a:srgbClr val="000000"/>
          </a:solidFill>
          <a:prstDash val="solid"/>
          <a:round/>
          <a:headEnd/>
          <a:tailEnd type="stealth" w="med" len="med"/>
        </a:ln>
        <a:effectLst/>
      </xdr:spPr>
      <xdr:txBody>
        <a:bodyPr vertOverflow="clip" wrap="square" lIns="18288" tIns="0" rIns="0" bIns="0" rtlCol="0" anchor="ctr" upright="1"/>
        <a:lstStyle/>
        <a:p>
          <a:pPr algn="ctr"/>
          <a:endParaRPr lang="en-US"/>
        </a:p>
      </xdr:txBody>
    </xdr:sp>
    <xdr:clientData/>
  </xdr:twoCellAnchor>
  <xdr:twoCellAnchor>
    <xdr:from>
      <xdr:col>18</xdr:col>
      <xdr:colOff>400050</xdr:colOff>
      <xdr:row>41</xdr:row>
      <xdr:rowOff>400049</xdr:rowOff>
    </xdr:from>
    <xdr:to>
      <xdr:col>23</xdr:col>
      <xdr:colOff>100012</xdr:colOff>
      <xdr:row>42</xdr:row>
      <xdr:rowOff>4761</xdr:rowOff>
    </xdr:to>
    <xdr:sp macro="" textlink="">
      <xdr:nvSpPr>
        <xdr:cNvPr id="7" name="Line 4">
          <a:extLst>
            <a:ext uri="{FF2B5EF4-FFF2-40B4-BE49-F238E27FC236}">
              <a16:creationId xmlns:a16="http://schemas.microsoft.com/office/drawing/2014/main" id="{00000000-0008-0000-0400-000007000000}"/>
            </a:ext>
          </a:extLst>
        </xdr:cNvPr>
        <xdr:cNvSpPr>
          <a:spLocks noChangeShapeType="1"/>
        </xdr:cNvSpPr>
      </xdr:nvSpPr>
      <xdr:spPr bwMode="auto">
        <a:xfrm flipH="1" flipV="1">
          <a:off x="20257770" y="21355049"/>
          <a:ext cx="1780222" cy="138112"/>
        </a:xfrm>
        <a:prstGeom prst="line">
          <a:avLst/>
        </a:prstGeom>
        <a:noFill/>
        <a:ln w="12700" cap="flat" cmpd="sng">
          <a:solidFill>
            <a:srgbClr val="000000"/>
          </a:solidFill>
          <a:prstDash val="solid"/>
          <a:round/>
          <a:headEnd/>
          <a:tailEnd type="stealth" w="med" len="med"/>
        </a:ln>
        <a:effectLst/>
      </xdr:spPr>
      <xdr:txBody>
        <a:bodyPr vertOverflow="clip" wrap="square" lIns="18288" tIns="0" rIns="0" bIns="0" rtlCol="0" anchor="ctr" upright="1"/>
        <a:lstStyle/>
        <a:p>
          <a:pPr algn="ctr"/>
          <a:endParaRPr lang="en-US"/>
        </a:p>
      </xdr:txBody>
    </xdr:sp>
    <xdr:clientData/>
  </xdr:twoCellAnchor>
  <xdr:twoCellAnchor>
    <xdr:from>
      <xdr:col>21</xdr:col>
      <xdr:colOff>171450</xdr:colOff>
      <xdr:row>39</xdr:row>
      <xdr:rowOff>57150</xdr:rowOff>
    </xdr:from>
    <xdr:to>
      <xdr:col>23</xdr:col>
      <xdr:colOff>0</xdr:colOff>
      <xdr:row>40</xdr:row>
      <xdr:rowOff>0</xdr:rowOff>
    </xdr:to>
    <xdr:sp macro="" textlink="">
      <xdr:nvSpPr>
        <xdr:cNvPr id="8" name="Line 4">
          <a:extLst>
            <a:ext uri="{FF2B5EF4-FFF2-40B4-BE49-F238E27FC236}">
              <a16:creationId xmlns:a16="http://schemas.microsoft.com/office/drawing/2014/main" id="{00000000-0008-0000-0400-000008000000}"/>
            </a:ext>
          </a:extLst>
        </xdr:cNvPr>
        <xdr:cNvSpPr>
          <a:spLocks noChangeShapeType="1"/>
        </xdr:cNvSpPr>
      </xdr:nvSpPr>
      <xdr:spPr bwMode="auto">
        <a:xfrm flipH="1" flipV="1">
          <a:off x="21248370" y="19945350"/>
          <a:ext cx="689610" cy="476250"/>
        </a:xfrm>
        <a:prstGeom prst="line">
          <a:avLst/>
        </a:prstGeom>
        <a:noFill/>
        <a:ln w="12700" cap="flat" cmpd="sng">
          <a:solidFill>
            <a:srgbClr val="000000"/>
          </a:solidFill>
          <a:prstDash val="solid"/>
          <a:round/>
          <a:headEnd/>
          <a:tailEnd type="stealth" w="med" len="med"/>
        </a:ln>
        <a:effectLst/>
      </xdr:spPr>
      <xdr:txBody>
        <a:bodyPr vertOverflow="clip" wrap="square" lIns="18288" tIns="0" rIns="0" bIns="0" rtlCol="0" anchor="ctr" upright="1"/>
        <a:lstStyle/>
        <a:p>
          <a:pPr algn="ctr"/>
          <a:endParaRPr lang="en-US"/>
        </a:p>
      </xdr:txBody>
    </xdr:sp>
    <xdr:clientData/>
  </xdr:twoCellAnchor>
  <xdr:twoCellAnchor>
    <xdr:from>
      <xdr:col>15</xdr:col>
      <xdr:colOff>819150</xdr:colOff>
      <xdr:row>39</xdr:row>
      <xdr:rowOff>76200</xdr:rowOff>
    </xdr:from>
    <xdr:to>
      <xdr:col>21</xdr:col>
      <xdr:colOff>266700</xdr:colOff>
      <xdr:row>39</xdr:row>
      <xdr:rowOff>76200</xdr:rowOff>
    </xdr:to>
    <xdr:sp macro="" textlink="">
      <xdr:nvSpPr>
        <xdr:cNvPr id="9" name="Line 2">
          <a:extLst>
            <a:ext uri="{FF2B5EF4-FFF2-40B4-BE49-F238E27FC236}">
              <a16:creationId xmlns:a16="http://schemas.microsoft.com/office/drawing/2014/main" id="{00000000-0008-0000-0400-000009000000}"/>
            </a:ext>
          </a:extLst>
        </xdr:cNvPr>
        <xdr:cNvSpPr>
          <a:spLocks noChangeShapeType="1"/>
        </xdr:cNvSpPr>
      </xdr:nvSpPr>
      <xdr:spPr bwMode="auto">
        <a:xfrm flipH="1">
          <a:off x="18436590" y="19964400"/>
          <a:ext cx="2907030" cy="0"/>
        </a:xfrm>
        <a:prstGeom prst="line">
          <a:avLst/>
        </a:prstGeom>
        <a:noFill/>
        <a:ln w="25400" cap="flat" cmpd="sng">
          <a:solidFill>
            <a:srgbClr val="000000"/>
          </a:solidFill>
          <a:prstDash val="solid"/>
          <a:round/>
          <a:headEnd/>
          <a:tailEnd/>
        </a:ln>
        <a:effectLst/>
      </xdr:spPr>
      <xdr:txBody>
        <a:bodyPr vertOverflow="clip" wrap="square" lIns="18288" tIns="0" rIns="0" bIns="0" rtlCol="0" anchor="ctr" upright="1"/>
        <a:lstStyle/>
        <a:p>
          <a:pPr algn="ctr"/>
          <a:endParaRPr lang="en-US"/>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15</xdr:col>
      <xdr:colOff>1</xdr:colOff>
      <xdr:row>30</xdr:row>
      <xdr:rowOff>0</xdr:rowOff>
    </xdr:from>
    <xdr:to>
      <xdr:col>15</xdr:col>
      <xdr:colOff>2</xdr:colOff>
      <xdr:row>34</xdr:row>
      <xdr:rowOff>7941</xdr:rowOff>
    </xdr:to>
    <xdr:cxnSp macro="">
      <xdr:nvCxnSpPr>
        <xdr:cNvPr id="2" name="Straight Arrow Connector 1">
          <a:extLst>
            <a:ext uri="{FF2B5EF4-FFF2-40B4-BE49-F238E27FC236}">
              <a16:creationId xmlns:a16="http://schemas.microsoft.com/office/drawing/2014/main" id="{00000000-0008-0000-0600-000002000000}"/>
            </a:ext>
          </a:extLst>
        </xdr:cNvPr>
        <xdr:cNvCxnSpPr/>
      </xdr:nvCxnSpPr>
      <xdr:spPr>
        <a:xfrm rot="5400000">
          <a:off x="3318351" y="6465730"/>
          <a:ext cx="708981" cy="1"/>
        </a:xfrm>
        <a:prstGeom prst="straightConnector1">
          <a:avLst/>
        </a:prstGeom>
        <a:ln w="12700">
          <a:solidFill>
            <a:srgbClr val="FF0000"/>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414916</xdr:colOff>
      <xdr:row>37</xdr:row>
      <xdr:rowOff>188336</xdr:rowOff>
    </xdr:from>
    <xdr:to>
      <xdr:col>14</xdr:col>
      <xdr:colOff>414917</xdr:colOff>
      <xdr:row>42</xdr:row>
      <xdr:rowOff>5777</xdr:rowOff>
    </xdr:to>
    <xdr:cxnSp macro="">
      <xdr:nvCxnSpPr>
        <xdr:cNvPr id="3" name="Straight Arrow Connector 2">
          <a:extLst>
            <a:ext uri="{FF2B5EF4-FFF2-40B4-BE49-F238E27FC236}">
              <a16:creationId xmlns:a16="http://schemas.microsoft.com/office/drawing/2014/main" id="{00000000-0008-0000-0600-000003000000}"/>
            </a:ext>
          </a:extLst>
        </xdr:cNvPr>
        <xdr:cNvCxnSpPr/>
      </xdr:nvCxnSpPr>
      <xdr:spPr>
        <a:xfrm rot="5400000">
          <a:off x="3291306" y="7911366"/>
          <a:ext cx="769941" cy="1"/>
        </a:xfrm>
        <a:prstGeom prst="straightConnector1">
          <a:avLst/>
        </a:prstGeom>
        <a:ln w="12700">
          <a:solidFill>
            <a:srgbClr val="FF0000"/>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406399</xdr:colOff>
      <xdr:row>42</xdr:row>
      <xdr:rowOff>1587</xdr:rowOff>
    </xdr:from>
    <xdr:to>
      <xdr:col>14</xdr:col>
      <xdr:colOff>406400</xdr:colOff>
      <xdr:row>46</xdr:row>
      <xdr:rowOff>9528</xdr:rowOff>
    </xdr:to>
    <xdr:cxnSp macro="">
      <xdr:nvCxnSpPr>
        <xdr:cNvPr id="4" name="Straight Arrow Connector 3">
          <a:extLst>
            <a:ext uri="{FF2B5EF4-FFF2-40B4-BE49-F238E27FC236}">
              <a16:creationId xmlns:a16="http://schemas.microsoft.com/office/drawing/2014/main" id="{00000000-0008-0000-0600-000004000000}"/>
            </a:ext>
          </a:extLst>
        </xdr:cNvPr>
        <xdr:cNvCxnSpPr/>
      </xdr:nvCxnSpPr>
      <xdr:spPr>
        <a:xfrm rot="5400000">
          <a:off x="3290409" y="8677117"/>
          <a:ext cx="769941" cy="1"/>
        </a:xfrm>
        <a:prstGeom prst="straightConnector1">
          <a:avLst/>
        </a:prstGeom>
        <a:ln w="12700">
          <a:solidFill>
            <a:srgbClr val="FF0000"/>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34</xdr:row>
      <xdr:rowOff>0</xdr:rowOff>
    </xdr:from>
    <xdr:to>
      <xdr:col>15</xdr:col>
      <xdr:colOff>1</xdr:colOff>
      <xdr:row>38</xdr:row>
      <xdr:rowOff>7941</xdr:rowOff>
    </xdr:to>
    <xdr:cxnSp macro="">
      <xdr:nvCxnSpPr>
        <xdr:cNvPr id="5" name="Straight Arrow Connector 4">
          <a:extLst>
            <a:ext uri="{FF2B5EF4-FFF2-40B4-BE49-F238E27FC236}">
              <a16:creationId xmlns:a16="http://schemas.microsoft.com/office/drawing/2014/main" id="{00000000-0008-0000-0600-000005000000}"/>
            </a:ext>
          </a:extLst>
        </xdr:cNvPr>
        <xdr:cNvCxnSpPr/>
      </xdr:nvCxnSpPr>
      <xdr:spPr>
        <a:xfrm rot="5400000">
          <a:off x="3303110" y="7182010"/>
          <a:ext cx="739461" cy="1"/>
        </a:xfrm>
        <a:prstGeom prst="straightConnector1">
          <a:avLst/>
        </a:prstGeom>
        <a:ln w="12700">
          <a:solidFill>
            <a:srgbClr val="FF0000"/>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353328</xdr:colOff>
      <xdr:row>45</xdr:row>
      <xdr:rowOff>186643</xdr:rowOff>
    </xdr:from>
    <xdr:to>
      <xdr:col>14</xdr:col>
      <xdr:colOff>353328</xdr:colOff>
      <xdr:row>47</xdr:row>
      <xdr:rowOff>16565</xdr:rowOff>
    </xdr:to>
    <xdr:cxnSp macro="">
      <xdr:nvCxnSpPr>
        <xdr:cNvPr id="6" name="Straight Arrow Connector 5">
          <a:extLst>
            <a:ext uri="{FF2B5EF4-FFF2-40B4-BE49-F238E27FC236}">
              <a16:creationId xmlns:a16="http://schemas.microsoft.com/office/drawing/2014/main" id="{00000000-0008-0000-0600-000006000000}"/>
            </a:ext>
          </a:extLst>
        </xdr:cNvPr>
        <xdr:cNvCxnSpPr/>
      </xdr:nvCxnSpPr>
      <xdr:spPr>
        <a:xfrm>
          <a:off x="3591828" y="9140143"/>
          <a:ext cx="0" cy="252335"/>
        </a:xfrm>
        <a:prstGeom prst="straightConnector1">
          <a:avLst/>
        </a:prstGeom>
        <a:ln w="12700">
          <a:solidFill>
            <a:srgbClr val="FF0000"/>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30</xdr:row>
      <xdr:rowOff>0</xdr:rowOff>
    </xdr:from>
    <xdr:to>
      <xdr:col>15</xdr:col>
      <xdr:colOff>1</xdr:colOff>
      <xdr:row>34</xdr:row>
      <xdr:rowOff>7941</xdr:rowOff>
    </xdr:to>
    <xdr:cxnSp macro="">
      <xdr:nvCxnSpPr>
        <xdr:cNvPr id="7" name="Straight Arrow Connector 6">
          <a:extLst>
            <a:ext uri="{FF2B5EF4-FFF2-40B4-BE49-F238E27FC236}">
              <a16:creationId xmlns:a16="http://schemas.microsoft.com/office/drawing/2014/main" id="{00000000-0008-0000-0600-000007000000}"/>
            </a:ext>
          </a:extLst>
        </xdr:cNvPr>
        <xdr:cNvCxnSpPr/>
      </xdr:nvCxnSpPr>
      <xdr:spPr>
        <a:xfrm rot="5400000">
          <a:off x="3318350" y="6465730"/>
          <a:ext cx="708981" cy="1"/>
        </a:xfrm>
        <a:prstGeom prst="straightConnector1">
          <a:avLst/>
        </a:prstGeom>
        <a:ln w="12700">
          <a:solidFill>
            <a:srgbClr val="FF0000"/>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176164</xdr:colOff>
      <xdr:row>30</xdr:row>
      <xdr:rowOff>82703</xdr:rowOff>
    </xdr:from>
    <xdr:to>
      <xdr:col>6</xdr:col>
      <xdr:colOff>20484</xdr:colOff>
      <xdr:row>33</xdr:row>
      <xdr:rowOff>27141</xdr:rowOff>
    </xdr:to>
    <xdr:sp macro="" textlink="">
      <xdr:nvSpPr>
        <xdr:cNvPr id="8" name="Rectangle 7">
          <a:extLst>
            <a:ext uri="{FF2B5EF4-FFF2-40B4-BE49-F238E27FC236}">
              <a16:creationId xmlns:a16="http://schemas.microsoft.com/office/drawing/2014/main" id="{00000000-0008-0000-0600-000008000000}"/>
            </a:ext>
          </a:extLst>
        </xdr:cNvPr>
        <xdr:cNvSpPr/>
      </xdr:nvSpPr>
      <xdr:spPr>
        <a:xfrm>
          <a:off x="420004" y="6193943"/>
          <a:ext cx="933980" cy="470218"/>
        </a:xfrm>
        <a:prstGeom prst="rect">
          <a:avLst/>
        </a:prstGeom>
        <a:solidFill>
          <a:schemeClr val="accent1">
            <a:alpha val="0"/>
          </a:schemeClr>
        </a:solid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l"/>
          <a:r>
            <a:rPr lang="en-US" sz="1100">
              <a:solidFill>
                <a:sysClr val="windowText" lastClr="000000"/>
              </a:solidFill>
            </a:rPr>
            <a:t>Side Spacers</a:t>
          </a:r>
        </a:p>
      </xdr:txBody>
    </xdr:sp>
    <xdr:clientData/>
  </xdr:twoCellAnchor>
  <xdr:twoCellAnchor>
    <xdr:from>
      <xdr:col>6</xdr:col>
      <xdr:colOff>7326</xdr:colOff>
      <xdr:row>30</xdr:row>
      <xdr:rowOff>71694</xdr:rowOff>
    </xdr:from>
    <xdr:to>
      <xdr:col>6</xdr:col>
      <xdr:colOff>563306</xdr:colOff>
      <xdr:row>31</xdr:row>
      <xdr:rowOff>162643</xdr:rowOff>
    </xdr:to>
    <xdr:cxnSp macro="">
      <xdr:nvCxnSpPr>
        <xdr:cNvPr id="9" name="Straight Arrow Connector 8">
          <a:extLst>
            <a:ext uri="{FF2B5EF4-FFF2-40B4-BE49-F238E27FC236}">
              <a16:creationId xmlns:a16="http://schemas.microsoft.com/office/drawing/2014/main" id="{00000000-0008-0000-0600-000009000000}"/>
            </a:ext>
          </a:extLst>
        </xdr:cNvPr>
        <xdr:cNvCxnSpPr/>
      </xdr:nvCxnSpPr>
      <xdr:spPr>
        <a:xfrm flipV="1">
          <a:off x="1340826" y="6182934"/>
          <a:ext cx="555980" cy="266209"/>
        </a:xfrm>
        <a:prstGeom prst="straightConnector1">
          <a:avLst/>
        </a:prstGeom>
        <a:ln>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257</xdr:colOff>
      <xdr:row>31</xdr:row>
      <xdr:rowOff>142874</xdr:rowOff>
    </xdr:from>
    <xdr:to>
      <xdr:col>6</xdr:col>
      <xdr:colOff>583790</xdr:colOff>
      <xdr:row>33</xdr:row>
      <xdr:rowOff>122903</xdr:rowOff>
    </xdr:to>
    <xdr:cxnSp macro="">
      <xdr:nvCxnSpPr>
        <xdr:cNvPr id="10" name="Straight Arrow Connector 9">
          <a:extLst>
            <a:ext uri="{FF2B5EF4-FFF2-40B4-BE49-F238E27FC236}">
              <a16:creationId xmlns:a16="http://schemas.microsoft.com/office/drawing/2014/main" id="{00000000-0008-0000-0600-00000A000000}"/>
            </a:ext>
          </a:extLst>
        </xdr:cNvPr>
        <xdr:cNvCxnSpPr/>
      </xdr:nvCxnSpPr>
      <xdr:spPr>
        <a:xfrm>
          <a:off x="1333757" y="6429374"/>
          <a:ext cx="583533" cy="330549"/>
        </a:xfrm>
        <a:prstGeom prst="straightConnector1">
          <a:avLst/>
        </a:prstGeom>
        <a:ln>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47625</xdr:colOff>
      <xdr:row>45</xdr:row>
      <xdr:rowOff>55561</xdr:rowOff>
    </xdr:from>
    <xdr:to>
      <xdr:col>5</xdr:col>
      <xdr:colOff>325438</xdr:colOff>
      <xdr:row>48</xdr:row>
      <xdr:rowOff>55563</xdr:rowOff>
    </xdr:to>
    <xdr:sp macro="" textlink="">
      <xdr:nvSpPr>
        <xdr:cNvPr id="11" name="Rectangle 10">
          <a:extLst>
            <a:ext uri="{FF2B5EF4-FFF2-40B4-BE49-F238E27FC236}">
              <a16:creationId xmlns:a16="http://schemas.microsoft.com/office/drawing/2014/main" id="{00000000-0008-0000-0600-00000B000000}"/>
            </a:ext>
          </a:extLst>
        </xdr:cNvPr>
        <xdr:cNvSpPr/>
      </xdr:nvSpPr>
      <xdr:spPr>
        <a:xfrm>
          <a:off x="93345" y="8917621"/>
          <a:ext cx="1237933" cy="571502"/>
        </a:xfrm>
        <a:prstGeom prst="rect">
          <a:avLst/>
        </a:prstGeom>
        <a:solidFill>
          <a:schemeClr val="accent1">
            <a:alpha val="0"/>
          </a:schemeClr>
        </a:solid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l"/>
          <a:r>
            <a:rPr lang="en-US" sz="1000">
              <a:solidFill>
                <a:sysClr val="windowText" lastClr="000000"/>
              </a:solidFill>
            </a:rPr>
            <a:t>Bottom</a:t>
          </a:r>
          <a:r>
            <a:rPr lang="en-US" sz="1000" baseline="0">
              <a:solidFill>
                <a:sysClr val="windowText" lastClr="000000"/>
              </a:solidFill>
            </a:rPr>
            <a:t> of Access Tubes=Bottom of Shaft (BOS)</a:t>
          </a:r>
          <a:endParaRPr lang="en-US" sz="1000">
            <a:solidFill>
              <a:sysClr val="windowText" lastClr="000000"/>
            </a:solidFill>
          </a:endParaRPr>
        </a:p>
      </xdr:txBody>
    </xdr:sp>
    <xdr:clientData/>
  </xdr:twoCellAnchor>
  <xdr:twoCellAnchor>
    <xdr:from>
      <xdr:col>6</xdr:col>
      <xdr:colOff>3431</xdr:colOff>
      <xdr:row>46</xdr:row>
      <xdr:rowOff>152860</xdr:rowOff>
    </xdr:from>
    <xdr:to>
      <xdr:col>6</xdr:col>
      <xdr:colOff>696451</xdr:colOff>
      <xdr:row>47</xdr:row>
      <xdr:rowOff>184355</xdr:rowOff>
    </xdr:to>
    <xdr:cxnSp macro="">
      <xdr:nvCxnSpPr>
        <xdr:cNvPr id="12" name="Straight Arrow Connector 11">
          <a:extLst>
            <a:ext uri="{FF2B5EF4-FFF2-40B4-BE49-F238E27FC236}">
              <a16:creationId xmlns:a16="http://schemas.microsoft.com/office/drawing/2014/main" id="{00000000-0008-0000-0600-00000C000000}"/>
            </a:ext>
          </a:extLst>
        </xdr:cNvPr>
        <xdr:cNvCxnSpPr>
          <a:stCxn id="11" idx="3"/>
        </xdr:cNvCxnSpPr>
      </xdr:nvCxnSpPr>
      <xdr:spPr>
        <a:xfrm>
          <a:off x="1336931" y="9205420"/>
          <a:ext cx="693020" cy="221995"/>
        </a:xfrm>
        <a:prstGeom prst="straightConnector1">
          <a:avLst/>
        </a:prstGeom>
        <a:ln>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80144</xdr:colOff>
      <xdr:row>36</xdr:row>
      <xdr:rowOff>100114</xdr:rowOff>
    </xdr:from>
    <xdr:to>
      <xdr:col>5</xdr:col>
      <xdr:colOff>133145</xdr:colOff>
      <xdr:row>38</xdr:row>
      <xdr:rowOff>35846</xdr:rowOff>
    </xdr:to>
    <xdr:sp macro="" textlink="">
      <xdr:nvSpPr>
        <xdr:cNvPr id="13" name="Rectangle 12">
          <a:extLst>
            <a:ext uri="{FF2B5EF4-FFF2-40B4-BE49-F238E27FC236}">
              <a16:creationId xmlns:a16="http://schemas.microsoft.com/office/drawing/2014/main" id="{00000000-0008-0000-0600-00000D000000}"/>
            </a:ext>
          </a:extLst>
        </xdr:cNvPr>
        <xdr:cNvSpPr/>
      </xdr:nvSpPr>
      <xdr:spPr>
        <a:xfrm>
          <a:off x="522104" y="7262914"/>
          <a:ext cx="693081" cy="316732"/>
        </a:xfrm>
        <a:prstGeom prst="rect">
          <a:avLst/>
        </a:prstGeom>
        <a:solidFill>
          <a:schemeClr val="accent1">
            <a:alpha val="0"/>
          </a:schemeClr>
        </a:solid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l"/>
          <a:r>
            <a:rPr lang="en-US" sz="1100">
              <a:solidFill>
                <a:sysClr val="windowText" lastClr="000000"/>
              </a:solidFill>
            </a:rPr>
            <a:t>Tie Bars</a:t>
          </a:r>
        </a:p>
      </xdr:txBody>
    </xdr:sp>
    <xdr:clientData/>
  </xdr:twoCellAnchor>
  <xdr:twoCellAnchor>
    <xdr:from>
      <xdr:col>5</xdr:col>
      <xdr:colOff>133145</xdr:colOff>
      <xdr:row>37</xdr:row>
      <xdr:rowOff>78223</xdr:rowOff>
    </xdr:from>
    <xdr:to>
      <xdr:col>8</xdr:col>
      <xdr:colOff>143390</xdr:colOff>
      <xdr:row>39</xdr:row>
      <xdr:rowOff>184357</xdr:rowOff>
    </xdr:to>
    <xdr:cxnSp macro="">
      <xdr:nvCxnSpPr>
        <xdr:cNvPr id="14" name="Straight Arrow Connector 13">
          <a:extLst>
            <a:ext uri="{FF2B5EF4-FFF2-40B4-BE49-F238E27FC236}">
              <a16:creationId xmlns:a16="http://schemas.microsoft.com/office/drawing/2014/main" id="{00000000-0008-0000-0600-00000E000000}"/>
            </a:ext>
          </a:extLst>
        </xdr:cNvPr>
        <xdr:cNvCxnSpPr>
          <a:stCxn id="13" idx="3"/>
        </xdr:cNvCxnSpPr>
      </xdr:nvCxnSpPr>
      <xdr:spPr>
        <a:xfrm>
          <a:off x="1215185" y="7416283"/>
          <a:ext cx="1191345" cy="487134"/>
        </a:xfrm>
        <a:prstGeom prst="straightConnector1">
          <a:avLst/>
        </a:prstGeom>
        <a:ln>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133145</xdr:colOff>
      <xdr:row>34</xdr:row>
      <xdr:rowOff>14290</xdr:rowOff>
    </xdr:from>
    <xdr:to>
      <xdr:col>8</xdr:col>
      <xdr:colOff>171450</xdr:colOff>
      <xdr:row>37</xdr:row>
      <xdr:rowOff>78223</xdr:rowOff>
    </xdr:to>
    <xdr:cxnSp macro="">
      <xdr:nvCxnSpPr>
        <xdr:cNvPr id="15" name="Straight Arrow Connector 14">
          <a:extLst>
            <a:ext uri="{FF2B5EF4-FFF2-40B4-BE49-F238E27FC236}">
              <a16:creationId xmlns:a16="http://schemas.microsoft.com/office/drawing/2014/main" id="{00000000-0008-0000-0600-00000F000000}"/>
            </a:ext>
          </a:extLst>
        </xdr:cNvPr>
        <xdr:cNvCxnSpPr>
          <a:stCxn id="13" idx="3"/>
        </xdr:cNvCxnSpPr>
      </xdr:nvCxnSpPr>
      <xdr:spPr>
        <a:xfrm flipV="1">
          <a:off x="1215185" y="6826570"/>
          <a:ext cx="1219405" cy="589713"/>
        </a:xfrm>
        <a:prstGeom prst="straightConnector1">
          <a:avLst/>
        </a:prstGeom>
        <a:ln>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28576</xdr:colOff>
      <xdr:row>19</xdr:row>
      <xdr:rowOff>9525</xdr:rowOff>
    </xdr:from>
    <xdr:to>
      <xdr:col>13</xdr:col>
      <xdr:colOff>28576</xdr:colOff>
      <xdr:row>24</xdr:row>
      <xdr:rowOff>152401</xdr:rowOff>
    </xdr:to>
    <xdr:sp macro="" textlink="">
      <xdr:nvSpPr>
        <xdr:cNvPr id="16" name="Oval 15">
          <a:extLst>
            <a:ext uri="{FF2B5EF4-FFF2-40B4-BE49-F238E27FC236}">
              <a16:creationId xmlns:a16="http://schemas.microsoft.com/office/drawing/2014/main" id="{00000000-0008-0000-0600-000010000000}"/>
            </a:ext>
          </a:extLst>
        </xdr:cNvPr>
        <xdr:cNvSpPr/>
      </xdr:nvSpPr>
      <xdr:spPr>
        <a:xfrm>
          <a:off x="2116456" y="3933825"/>
          <a:ext cx="1173480" cy="1255396"/>
        </a:xfrm>
        <a:prstGeom prst="ellipse">
          <a:avLst/>
        </a:prstGeom>
        <a:solidFill>
          <a:schemeClr val="accent1">
            <a:alpha val="0"/>
          </a:schemeClr>
        </a:solid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twoCellAnchor>
    <xdr:from>
      <xdr:col>7</xdr:col>
      <xdr:colOff>0</xdr:colOff>
      <xdr:row>17</xdr:row>
      <xdr:rowOff>157162</xdr:rowOff>
    </xdr:from>
    <xdr:to>
      <xdr:col>14</xdr:col>
      <xdr:colOff>9525</xdr:colOff>
      <xdr:row>17</xdr:row>
      <xdr:rowOff>161925</xdr:rowOff>
    </xdr:to>
    <xdr:cxnSp macro="">
      <xdr:nvCxnSpPr>
        <xdr:cNvPr id="17" name="Straight Arrow Connector 16">
          <a:extLst>
            <a:ext uri="{FF2B5EF4-FFF2-40B4-BE49-F238E27FC236}">
              <a16:creationId xmlns:a16="http://schemas.microsoft.com/office/drawing/2014/main" id="{00000000-0008-0000-0600-000011000000}"/>
            </a:ext>
          </a:extLst>
        </xdr:cNvPr>
        <xdr:cNvCxnSpPr/>
      </xdr:nvCxnSpPr>
      <xdr:spPr>
        <a:xfrm>
          <a:off x="2087880" y="3715702"/>
          <a:ext cx="1228725" cy="4763"/>
        </a:xfrm>
        <a:prstGeom prst="straightConnector1">
          <a:avLst/>
        </a:prstGeom>
        <a:ln w="12700">
          <a:solidFill>
            <a:srgbClr val="FF0000"/>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508003</xdr:colOff>
      <xdr:row>27</xdr:row>
      <xdr:rowOff>171449</xdr:rowOff>
    </xdr:from>
    <xdr:to>
      <xdr:col>15</xdr:col>
      <xdr:colOff>508003</xdr:colOff>
      <xdr:row>46</xdr:row>
      <xdr:rowOff>165655</xdr:rowOff>
    </xdr:to>
    <xdr:cxnSp macro="">
      <xdr:nvCxnSpPr>
        <xdr:cNvPr id="18" name="Straight Arrow Connector 17">
          <a:extLst>
            <a:ext uri="{FF2B5EF4-FFF2-40B4-BE49-F238E27FC236}">
              <a16:creationId xmlns:a16="http://schemas.microsoft.com/office/drawing/2014/main" id="{00000000-0008-0000-0600-000012000000}"/>
            </a:ext>
          </a:extLst>
        </xdr:cNvPr>
        <xdr:cNvCxnSpPr/>
      </xdr:nvCxnSpPr>
      <xdr:spPr>
        <a:xfrm>
          <a:off x="4102655" y="5737362"/>
          <a:ext cx="0" cy="3572293"/>
        </a:xfrm>
        <a:prstGeom prst="straightConnector1">
          <a:avLst/>
        </a:prstGeom>
        <a:ln w="12700">
          <a:solidFill>
            <a:srgbClr val="FF0000"/>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82551</xdr:colOff>
      <xdr:row>45</xdr:row>
      <xdr:rowOff>80963</xdr:rowOff>
    </xdr:from>
    <xdr:to>
      <xdr:col>14</xdr:col>
      <xdr:colOff>63501</xdr:colOff>
      <xdr:row>46</xdr:row>
      <xdr:rowOff>117475</xdr:rowOff>
    </xdr:to>
    <xdr:sp macro="" textlink="">
      <xdr:nvSpPr>
        <xdr:cNvPr id="19" name="Flowchart: Or 18">
          <a:extLst>
            <a:ext uri="{FF2B5EF4-FFF2-40B4-BE49-F238E27FC236}">
              <a16:creationId xmlns:a16="http://schemas.microsoft.com/office/drawing/2014/main" id="{00000000-0008-0000-0600-000013000000}"/>
            </a:ext>
          </a:extLst>
        </xdr:cNvPr>
        <xdr:cNvSpPr/>
      </xdr:nvSpPr>
      <xdr:spPr>
        <a:xfrm>
          <a:off x="3145791" y="8943023"/>
          <a:ext cx="224790" cy="227012"/>
        </a:xfrm>
        <a:prstGeom prst="flowChartOr">
          <a:avLst/>
        </a:prstGeom>
        <a:solidFill>
          <a:schemeClr val="accent1">
            <a:alpha val="0"/>
          </a:schemeClr>
        </a:solid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twoCellAnchor>
    <xdr:from>
      <xdr:col>12</xdr:col>
      <xdr:colOff>82551</xdr:colOff>
      <xdr:row>41</xdr:row>
      <xdr:rowOff>76200</xdr:rowOff>
    </xdr:from>
    <xdr:to>
      <xdr:col>14</xdr:col>
      <xdr:colOff>63501</xdr:colOff>
      <xdr:row>42</xdr:row>
      <xdr:rowOff>112712</xdr:rowOff>
    </xdr:to>
    <xdr:sp macro="" textlink="">
      <xdr:nvSpPr>
        <xdr:cNvPr id="20" name="Flowchart: Or 19">
          <a:extLst>
            <a:ext uri="{FF2B5EF4-FFF2-40B4-BE49-F238E27FC236}">
              <a16:creationId xmlns:a16="http://schemas.microsoft.com/office/drawing/2014/main" id="{00000000-0008-0000-0600-000014000000}"/>
            </a:ext>
          </a:extLst>
        </xdr:cNvPr>
        <xdr:cNvSpPr/>
      </xdr:nvSpPr>
      <xdr:spPr>
        <a:xfrm>
          <a:off x="3145791" y="8176260"/>
          <a:ext cx="224790" cy="227012"/>
        </a:xfrm>
        <a:prstGeom prst="flowChartOr">
          <a:avLst/>
        </a:prstGeom>
        <a:solidFill>
          <a:schemeClr val="accent1">
            <a:alpha val="0"/>
          </a:schemeClr>
        </a:solid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twoCellAnchor>
    <xdr:from>
      <xdr:col>9</xdr:col>
      <xdr:colOff>161925</xdr:colOff>
      <xdr:row>29</xdr:row>
      <xdr:rowOff>114300</xdr:rowOff>
    </xdr:from>
    <xdr:to>
      <xdr:col>10</xdr:col>
      <xdr:colOff>38100</xdr:colOff>
      <xdr:row>30</xdr:row>
      <xdr:rowOff>98426</xdr:rowOff>
    </xdr:to>
    <xdr:sp macro="" textlink="">
      <xdr:nvSpPr>
        <xdr:cNvPr id="21" name="Rectangle 20">
          <a:extLst>
            <a:ext uri="{FF2B5EF4-FFF2-40B4-BE49-F238E27FC236}">
              <a16:creationId xmlns:a16="http://schemas.microsoft.com/office/drawing/2014/main" id="{00000000-0008-0000-0600-000015000000}"/>
            </a:ext>
          </a:extLst>
        </xdr:cNvPr>
        <xdr:cNvSpPr/>
      </xdr:nvSpPr>
      <xdr:spPr>
        <a:xfrm>
          <a:off x="2630805" y="5989320"/>
          <a:ext cx="89535" cy="220346"/>
        </a:xfrm>
        <a:prstGeom prst="rect">
          <a:avLst/>
        </a:prstGeom>
        <a:solidFill>
          <a:schemeClr val="accent1">
            <a:alpha val="0"/>
          </a:schemeClr>
        </a:solid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twoCellAnchor>
    <xdr:from>
      <xdr:col>9</xdr:col>
      <xdr:colOff>161926</xdr:colOff>
      <xdr:row>37</xdr:row>
      <xdr:rowOff>103188</xdr:rowOff>
    </xdr:from>
    <xdr:to>
      <xdr:col>10</xdr:col>
      <xdr:colOff>38101</xdr:colOff>
      <xdr:row>38</xdr:row>
      <xdr:rowOff>87314</xdr:rowOff>
    </xdr:to>
    <xdr:sp macro="" textlink="">
      <xdr:nvSpPr>
        <xdr:cNvPr id="22" name="Rectangle 21">
          <a:extLst>
            <a:ext uri="{FF2B5EF4-FFF2-40B4-BE49-F238E27FC236}">
              <a16:creationId xmlns:a16="http://schemas.microsoft.com/office/drawing/2014/main" id="{00000000-0008-0000-0600-000016000000}"/>
            </a:ext>
          </a:extLst>
        </xdr:cNvPr>
        <xdr:cNvSpPr/>
      </xdr:nvSpPr>
      <xdr:spPr>
        <a:xfrm>
          <a:off x="2630806" y="7441248"/>
          <a:ext cx="89535" cy="189866"/>
        </a:xfrm>
        <a:prstGeom prst="rect">
          <a:avLst/>
        </a:prstGeom>
        <a:solidFill>
          <a:schemeClr val="accent1">
            <a:alpha val="0"/>
          </a:schemeClr>
        </a:solid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twoCellAnchor>
    <xdr:from>
      <xdr:col>9</xdr:col>
      <xdr:colOff>161925</xdr:colOff>
      <xdr:row>41</xdr:row>
      <xdr:rowOff>90488</xdr:rowOff>
    </xdr:from>
    <xdr:to>
      <xdr:col>10</xdr:col>
      <xdr:colOff>38100</xdr:colOff>
      <xdr:row>42</xdr:row>
      <xdr:rowOff>112714</xdr:rowOff>
    </xdr:to>
    <xdr:sp macro="" textlink="">
      <xdr:nvSpPr>
        <xdr:cNvPr id="23" name="Rectangle 22">
          <a:extLst>
            <a:ext uri="{FF2B5EF4-FFF2-40B4-BE49-F238E27FC236}">
              <a16:creationId xmlns:a16="http://schemas.microsoft.com/office/drawing/2014/main" id="{00000000-0008-0000-0600-000017000000}"/>
            </a:ext>
          </a:extLst>
        </xdr:cNvPr>
        <xdr:cNvSpPr/>
      </xdr:nvSpPr>
      <xdr:spPr>
        <a:xfrm>
          <a:off x="2630805" y="8190548"/>
          <a:ext cx="89535" cy="212726"/>
        </a:xfrm>
        <a:prstGeom prst="rect">
          <a:avLst/>
        </a:prstGeom>
        <a:solidFill>
          <a:schemeClr val="accent1">
            <a:alpha val="0"/>
          </a:schemeClr>
        </a:solid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twoCellAnchor>
    <xdr:from>
      <xdr:col>9</xdr:col>
      <xdr:colOff>161925</xdr:colOff>
      <xdr:row>45</xdr:row>
      <xdr:rowOff>71438</xdr:rowOff>
    </xdr:from>
    <xdr:to>
      <xdr:col>10</xdr:col>
      <xdr:colOff>38100</xdr:colOff>
      <xdr:row>46</xdr:row>
      <xdr:rowOff>93664</xdr:rowOff>
    </xdr:to>
    <xdr:sp macro="" textlink="">
      <xdr:nvSpPr>
        <xdr:cNvPr id="24" name="Rectangle 23">
          <a:extLst>
            <a:ext uri="{FF2B5EF4-FFF2-40B4-BE49-F238E27FC236}">
              <a16:creationId xmlns:a16="http://schemas.microsoft.com/office/drawing/2014/main" id="{00000000-0008-0000-0600-000018000000}"/>
            </a:ext>
          </a:extLst>
        </xdr:cNvPr>
        <xdr:cNvSpPr/>
      </xdr:nvSpPr>
      <xdr:spPr>
        <a:xfrm>
          <a:off x="2630805" y="8933498"/>
          <a:ext cx="89535" cy="212726"/>
        </a:xfrm>
        <a:prstGeom prst="rect">
          <a:avLst/>
        </a:prstGeom>
        <a:solidFill>
          <a:schemeClr val="accent1">
            <a:alpha val="0"/>
          </a:schemeClr>
        </a:solid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twoCellAnchor>
    <xdr:from>
      <xdr:col>6</xdr:col>
      <xdr:colOff>635000</xdr:colOff>
      <xdr:row>21</xdr:row>
      <xdr:rowOff>163870</xdr:rowOff>
    </xdr:from>
    <xdr:to>
      <xdr:col>7</xdr:col>
      <xdr:colOff>128588</xdr:colOff>
      <xdr:row>22</xdr:row>
      <xdr:rowOff>40966</xdr:rowOff>
    </xdr:to>
    <xdr:sp macro="" textlink="">
      <xdr:nvSpPr>
        <xdr:cNvPr id="25" name="Rectangle 24">
          <a:extLst>
            <a:ext uri="{FF2B5EF4-FFF2-40B4-BE49-F238E27FC236}">
              <a16:creationId xmlns:a16="http://schemas.microsoft.com/office/drawing/2014/main" id="{00000000-0008-0000-0600-000019000000}"/>
            </a:ext>
          </a:extLst>
        </xdr:cNvPr>
        <xdr:cNvSpPr/>
      </xdr:nvSpPr>
      <xdr:spPr>
        <a:xfrm>
          <a:off x="1968500" y="4545370"/>
          <a:ext cx="247968" cy="105696"/>
        </a:xfrm>
        <a:prstGeom prst="rect">
          <a:avLst/>
        </a:prstGeom>
        <a:solidFill>
          <a:schemeClr val="accent1">
            <a:alpha val="0"/>
          </a:schemeClr>
        </a:solid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twoCellAnchor>
    <xdr:from>
      <xdr:col>9</xdr:col>
      <xdr:colOff>185739</xdr:colOff>
      <xdr:row>18</xdr:row>
      <xdr:rowOff>90486</xdr:rowOff>
    </xdr:from>
    <xdr:to>
      <xdr:col>10</xdr:col>
      <xdr:colOff>39689</xdr:colOff>
      <xdr:row>19</xdr:row>
      <xdr:rowOff>119061</xdr:rowOff>
    </xdr:to>
    <xdr:sp macro="" textlink="">
      <xdr:nvSpPr>
        <xdr:cNvPr id="26" name="Rectangle 25">
          <a:extLst>
            <a:ext uri="{FF2B5EF4-FFF2-40B4-BE49-F238E27FC236}">
              <a16:creationId xmlns:a16="http://schemas.microsoft.com/office/drawing/2014/main" id="{00000000-0008-0000-0600-00001A000000}"/>
            </a:ext>
          </a:extLst>
        </xdr:cNvPr>
        <xdr:cNvSpPr/>
      </xdr:nvSpPr>
      <xdr:spPr>
        <a:xfrm>
          <a:off x="2654619" y="3831906"/>
          <a:ext cx="67310" cy="211455"/>
        </a:xfrm>
        <a:prstGeom prst="rect">
          <a:avLst/>
        </a:prstGeom>
        <a:solidFill>
          <a:schemeClr val="accent1">
            <a:alpha val="0"/>
          </a:schemeClr>
        </a:solid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twoCellAnchor>
    <xdr:from>
      <xdr:col>12</xdr:col>
      <xdr:colOff>100012</xdr:colOff>
      <xdr:row>21</xdr:row>
      <xdr:rowOff>157162</xdr:rowOff>
    </xdr:from>
    <xdr:to>
      <xdr:col>14</xdr:col>
      <xdr:colOff>57150</xdr:colOff>
      <xdr:row>22</xdr:row>
      <xdr:rowOff>17463</xdr:rowOff>
    </xdr:to>
    <xdr:sp macro="" textlink="">
      <xdr:nvSpPr>
        <xdr:cNvPr id="27" name="Rectangle 26">
          <a:extLst>
            <a:ext uri="{FF2B5EF4-FFF2-40B4-BE49-F238E27FC236}">
              <a16:creationId xmlns:a16="http://schemas.microsoft.com/office/drawing/2014/main" id="{00000000-0008-0000-0600-00001B000000}"/>
            </a:ext>
          </a:extLst>
        </xdr:cNvPr>
        <xdr:cNvSpPr/>
      </xdr:nvSpPr>
      <xdr:spPr>
        <a:xfrm>
          <a:off x="3163252" y="4538662"/>
          <a:ext cx="200978" cy="88901"/>
        </a:xfrm>
        <a:prstGeom prst="rect">
          <a:avLst/>
        </a:prstGeom>
        <a:solidFill>
          <a:schemeClr val="accent1">
            <a:alpha val="0"/>
          </a:schemeClr>
        </a:solid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twoCellAnchor>
    <xdr:from>
      <xdr:col>15</xdr:col>
      <xdr:colOff>285750</xdr:colOff>
      <xdr:row>46</xdr:row>
      <xdr:rowOff>182562</xdr:rowOff>
    </xdr:from>
    <xdr:to>
      <xdr:col>16</xdr:col>
      <xdr:colOff>15875</xdr:colOff>
      <xdr:row>46</xdr:row>
      <xdr:rowOff>182562</xdr:rowOff>
    </xdr:to>
    <xdr:cxnSp macro="">
      <xdr:nvCxnSpPr>
        <xdr:cNvPr id="28" name="Straight Connector 27">
          <a:extLst>
            <a:ext uri="{FF2B5EF4-FFF2-40B4-BE49-F238E27FC236}">
              <a16:creationId xmlns:a16="http://schemas.microsoft.com/office/drawing/2014/main" id="{00000000-0008-0000-0600-00001C000000}"/>
            </a:ext>
          </a:extLst>
        </xdr:cNvPr>
        <xdr:cNvCxnSpPr/>
      </xdr:nvCxnSpPr>
      <xdr:spPr>
        <a:xfrm>
          <a:off x="3958590" y="9235122"/>
          <a:ext cx="454025"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12</xdr:col>
      <xdr:colOff>71437</xdr:colOff>
      <xdr:row>37</xdr:row>
      <xdr:rowOff>79375</xdr:rowOff>
    </xdr:from>
    <xdr:to>
      <xdr:col>14</xdr:col>
      <xdr:colOff>66676</xdr:colOff>
      <xdr:row>38</xdr:row>
      <xdr:rowOff>115887</xdr:rowOff>
    </xdr:to>
    <xdr:sp macro="" textlink="">
      <xdr:nvSpPr>
        <xdr:cNvPr id="29" name="Flowchart: Or 28">
          <a:extLst>
            <a:ext uri="{FF2B5EF4-FFF2-40B4-BE49-F238E27FC236}">
              <a16:creationId xmlns:a16="http://schemas.microsoft.com/office/drawing/2014/main" id="{00000000-0008-0000-0600-00001D000000}"/>
            </a:ext>
          </a:extLst>
        </xdr:cNvPr>
        <xdr:cNvSpPr/>
      </xdr:nvSpPr>
      <xdr:spPr>
        <a:xfrm>
          <a:off x="3134677" y="7417435"/>
          <a:ext cx="239079" cy="242252"/>
        </a:xfrm>
        <a:prstGeom prst="flowChartOr">
          <a:avLst/>
        </a:prstGeom>
        <a:solidFill>
          <a:schemeClr val="accent1">
            <a:alpha val="0"/>
          </a:schemeClr>
        </a:solid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twoCellAnchor>
    <xdr:from>
      <xdr:col>15</xdr:col>
      <xdr:colOff>277813</xdr:colOff>
      <xdr:row>28</xdr:row>
      <xdr:rowOff>0</xdr:rowOff>
    </xdr:from>
    <xdr:to>
      <xdr:col>16</xdr:col>
      <xdr:colOff>7938</xdr:colOff>
      <xdr:row>28</xdr:row>
      <xdr:rowOff>0</xdr:rowOff>
    </xdr:to>
    <xdr:cxnSp macro="">
      <xdr:nvCxnSpPr>
        <xdr:cNvPr id="30" name="Straight Connector 29">
          <a:extLst>
            <a:ext uri="{FF2B5EF4-FFF2-40B4-BE49-F238E27FC236}">
              <a16:creationId xmlns:a16="http://schemas.microsoft.com/office/drawing/2014/main" id="{00000000-0008-0000-0600-00001E000000}"/>
            </a:ext>
          </a:extLst>
        </xdr:cNvPr>
        <xdr:cNvCxnSpPr/>
      </xdr:nvCxnSpPr>
      <xdr:spPr>
        <a:xfrm>
          <a:off x="3950653" y="5661660"/>
          <a:ext cx="454025"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12</xdr:col>
      <xdr:colOff>71427</xdr:colOff>
      <xdr:row>33</xdr:row>
      <xdr:rowOff>55544</xdr:rowOff>
    </xdr:from>
    <xdr:to>
      <xdr:col>14</xdr:col>
      <xdr:colOff>66666</xdr:colOff>
      <xdr:row>34</xdr:row>
      <xdr:rowOff>123806</xdr:rowOff>
    </xdr:to>
    <xdr:sp macro="" textlink="">
      <xdr:nvSpPr>
        <xdr:cNvPr id="31" name="Flowchart: Or 30">
          <a:extLst>
            <a:ext uri="{FF2B5EF4-FFF2-40B4-BE49-F238E27FC236}">
              <a16:creationId xmlns:a16="http://schemas.microsoft.com/office/drawing/2014/main" id="{00000000-0008-0000-0600-00001F000000}"/>
            </a:ext>
          </a:extLst>
        </xdr:cNvPr>
        <xdr:cNvSpPr/>
      </xdr:nvSpPr>
      <xdr:spPr>
        <a:xfrm>
          <a:off x="3134667" y="6692564"/>
          <a:ext cx="239079" cy="243522"/>
        </a:xfrm>
        <a:prstGeom prst="flowChartOr">
          <a:avLst/>
        </a:prstGeom>
        <a:solidFill>
          <a:schemeClr val="accent1">
            <a:alpha val="0"/>
          </a:schemeClr>
        </a:solid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twoCellAnchor>
    <xdr:from>
      <xdr:col>12</xdr:col>
      <xdr:colOff>79368</xdr:colOff>
      <xdr:row>29</xdr:row>
      <xdr:rowOff>119070</xdr:rowOff>
    </xdr:from>
    <xdr:to>
      <xdr:col>14</xdr:col>
      <xdr:colOff>74607</xdr:colOff>
      <xdr:row>30</xdr:row>
      <xdr:rowOff>123832</xdr:rowOff>
    </xdr:to>
    <xdr:sp macro="" textlink="">
      <xdr:nvSpPr>
        <xdr:cNvPr id="32" name="Flowchart: Or 31">
          <a:extLst>
            <a:ext uri="{FF2B5EF4-FFF2-40B4-BE49-F238E27FC236}">
              <a16:creationId xmlns:a16="http://schemas.microsoft.com/office/drawing/2014/main" id="{00000000-0008-0000-0600-000020000000}"/>
            </a:ext>
          </a:extLst>
        </xdr:cNvPr>
        <xdr:cNvSpPr/>
      </xdr:nvSpPr>
      <xdr:spPr>
        <a:xfrm>
          <a:off x="3142608" y="5994090"/>
          <a:ext cx="239079" cy="240982"/>
        </a:xfrm>
        <a:prstGeom prst="flowChartOr">
          <a:avLst/>
        </a:prstGeom>
        <a:solidFill>
          <a:schemeClr val="accent1">
            <a:alpha val="0"/>
          </a:schemeClr>
        </a:solid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twoCellAnchor>
    <xdr:from>
      <xdr:col>6</xdr:col>
      <xdr:colOff>614516</xdr:colOff>
      <xdr:row>29</xdr:row>
      <xdr:rowOff>119070</xdr:rowOff>
    </xdr:from>
    <xdr:to>
      <xdr:col>7</xdr:col>
      <xdr:colOff>114346</xdr:colOff>
      <xdr:row>30</xdr:row>
      <xdr:rowOff>122903</xdr:rowOff>
    </xdr:to>
    <xdr:sp macro="" textlink="">
      <xdr:nvSpPr>
        <xdr:cNvPr id="33" name="Flowchart: Or 32">
          <a:extLst>
            <a:ext uri="{FF2B5EF4-FFF2-40B4-BE49-F238E27FC236}">
              <a16:creationId xmlns:a16="http://schemas.microsoft.com/office/drawing/2014/main" id="{00000000-0008-0000-0600-000021000000}"/>
            </a:ext>
          </a:extLst>
        </xdr:cNvPr>
        <xdr:cNvSpPr/>
      </xdr:nvSpPr>
      <xdr:spPr>
        <a:xfrm>
          <a:off x="1948016" y="5994090"/>
          <a:ext cx="254210" cy="240053"/>
        </a:xfrm>
        <a:prstGeom prst="flowChartOr">
          <a:avLst/>
        </a:prstGeom>
        <a:solidFill>
          <a:schemeClr val="accent1">
            <a:alpha val="0"/>
          </a:schemeClr>
        </a:solid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twoCellAnchor>
    <xdr:from>
      <xdr:col>6</xdr:col>
      <xdr:colOff>635000</xdr:colOff>
      <xdr:row>33</xdr:row>
      <xdr:rowOff>71693</xdr:rowOff>
    </xdr:from>
    <xdr:to>
      <xdr:col>7</xdr:col>
      <xdr:colOff>114339</xdr:colOff>
      <xdr:row>34</xdr:row>
      <xdr:rowOff>123828</xdr:rowOff>
    </xdr:to>
    <xdr:sp macro="" textlink="">
      <xdr:nvSpPr>
        <xdr:cNvPr id="34" name="Flowchart: Or 33">
          <a:extLst>
            <a:ext uri="{FF2B5EF4-FFF2-40B4-BE49-F238E27FC236}">
              <a16:creationId xmlns:a16="http://schemas.microsoft.com/office/drawing/2014/main" id="{00000000-0008-0000-0600-000022000000}"/>
            </a:ext>
          </a:extLst>
        </xdr:cNvPr>
        <xdr:cNvSpPr/>
      </xdr:nvSpPr>
      <xdr:spPr>
        <a:xfrm>
          <a:off x="1968500" y="6708713"/>
          <a:ext cx="233719" cy="227395"/>
        </a:xfrm>
        <a:prstGeom prst="flowChartOr">
          <a:avLst/>
        </a:prstGeom>
        <a:solidFill>
          <a:schemeClr val="accent1">
            <a:alpha val="0"/>
          </a:schemeClr>
        </a:solid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twoCellAnchor>
    <xdr:from>
      <xdr:col>6</xdr:col>
      <xdr:colOff>614516</xdr:colOff>
      <xdr:row>37</xdr:row>
      <xdr:rowOff>92178</xdr:rowOff>
    </xdr:from>
    <xdr:to>
      <xdr:col>7</xdr:col>
      <xdr:colOff>114339</xdr:colOff>
      <xdr:row>38</xdr:row>
      <xdr:rowOff>123830</xdr:rowOff>
    </xdr:to>
    <xdr:sp macro="" textlink="">
      <xdr:nvSpPr>
        <xdr:cNvPr id="35" name="Flowchart: Or 34">
          <a:extLst>
            <a:ext uri="{FF2B5EF4-FFF2-40B4-BE49-F238E27FC236}">
              <a16:creationId xmlns:a16="http://schemas.microsoft.com/office/drawing/2014/main" id="{00000000-0008-0000-0600-000023000000}"/>
            </a:ext>
          </a:extLst>
        </xdr:cNvPr>
        <xdr:cNvSpPr/>
      </xdr:nvSpPr>
      <xdr:spPr>
        <a:xfrm>
          <a:off x="1948016" y="7430238"/>
          <a:ext cx="254203" cy="237392"/>
        </a:xfrm>
        <a:prstGeom prst="flowChartOr">
          <a:avLst/>
        </a:prstGeom>
        <a:solidFill>
          <a:schemeClr val="accent1">
            <a:alpha val="0"/>
          </a:schemeClr>
        </a:solid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twoCellAnchor>
    <xdr:from>
      <xdr:col>6</xdr:col>
      <xdr:colOff>594032</xdr:colOff>
      <xdr:row>41</xdr:row>
      <xdr:rowOff>40968</xdr:rowOff>
    </xdr:from>
    <xdr:to>
      <xdr:col>7</xdr:col>
      <xdr:colOff>114339</xdr:colOff>
      <xdr:row>42</xdr:row>
      <xdr:rowOff>131768</xdr:rowOff>
    </xdr:to>
    <xdr:sp macro="" textlink="">
      <xdr:nvSpPr>
        <xdr:cNvPr id="36" name="Flowchart: Or 35">
          <a:extLst>
            <a:ext uri="{FF2B5EF4-FFF2-40B4-BE49-F238E27FC236}">
              <a16:creationId xmlns:a16="http://schemas.microsoft.com/office/drawing/2014/main" id="{00000000-0008-0000-0600-000024000000}"/>
            </a:ext>
          </a:extLst>
        </xdr:cNvPr>
        <xdr:cNvSpPr/>
      </xdr:nvSpPr>
      <xdr:spPr>
        <a:xfrm>
          <a:off x="1927532" y="8141028"/>
          <a:ext cx="274687" cy="281300"/>
        </a:xfrm>
        <a:prstGeom prst="flowChartOr">
          <a:avLst/>
        </a:prstGeom>
        <a:solidFill>
          <a:schemeClr val="accent1">
            <a:alpha val="0"/>
          </a:schemeClr>
        </a:solid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twoCellAnchor>
    <xdr:from>
      <xdr:col>6</xdr:col>
      <xdr:colOff>614516</xdr:colOff>
      <xdr:row>45</xdr:row>
      <xdr:rowOff>81934</xdr:rowOff>
    </xdr:from>
    <xdr:to>
      <xdr:col>7</xdr:col>
      <xdr:colOff>122277</xdr:colOff>
      <xdr:row>46</xdr:row>
      <xdr:rowOff>123828</xdr:rowOff>
    </xdr:to>
    <xdr:sp macro="" textlink="">
      <xdr:nvSpPr>
        <xdr:cNvPr id="37" name="Flowchart: Or 36">
          <a:extLst>
            <a:ext uri="{FF2B5EF4-FFF2-40B4-BE49-F238E27FC236}">
              <a16:creationId xmlns:a16="http://schemas.microsoft.com/office/drawing/2014/main" id="{00000000-0008-0000-0600-000025000000}"/>
            </a:ext>
          </a:extLst>
        </xdr:cNvPr>
        <xdr:cNvSpPr/>
      </xdr:nvSpPr>
      <xdr:spPr>
        <a:xfrm>
          <a:off x="1948016" y="8943994"/>
          <a:ext cx="262141" cy="232394"/>
        </a:xfrm>
        <a:prstGeom prst="flowChartOr">
          <a:avLst/>
        </a:prstGeom>
        <a:solidFill>
          <a:schemeClr val="accent1">
            <a:alpha val="0"/>
          </a:schemeClr>
        </a:solid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twoCellAnchor>
    <xdr:from>
      <xdr:col>9</xdr:col>
      <xdr:colOff>160347</xdr:colOff>
      <xdr:row>33</xdr:row>
      <xdr:rowOff>79380</xdr:rowOff>
    </xdr:from>
    <xdr:to>
      <xdr:col>10</xdr:col>
      <xdr:colOff>36522</xdr:colOff>
      <xdr:row>34</xdr:row>
      <xdr:rowOff>95256</xdr:rowOff>
    </xdr:to>
    <xdr:sp macro="" textlink="">
      <xdr:nvSpPr>
        <xdr:cNvPr id="38" name="Rectangle 37">
          <a:extLst>
            <a:ext uri="{FF2B5EF4-FFF2-40B4-BE49-F238E27FC236}">
              <a16:creationId xmlns:a16="http://schemas.microsoft.com/office/drawing/2014/main" id="{00000000-0008-0000-0600-000026000000}"/>
            </a:ext>
          </a:extLst>
        </xdr:cNvPr>
        <xdr:cNvSpPr/>
      </xdr:nvSpPr>
      <xdr:spPr>
        <a:xfrm>
          <a:off x="2629227" y="6716400"/>
          <a:ext cx="89535" cy="191136"/>
        </a:xfrm>
        <a:prstGeom prst="rect">
          <a:avLst/>
        </a:prstGeom>
        <a:solidFill>
          <a:schemeClr val="accent1">
            <a:alpha val="0"/>
          </a:schemeClr>
        </a:solid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twoCellAnchor>
    <xdr:from>
      <xdr:col>9</xdr:col>
      <xdr:colOff>174610</xdr:colOff>
      <xdr:row>24</xdr:row>
      <xdr:rowOff>31740</xdr:rowOff>
    </xdr:from>
    <xdr:to>
      <xdr:col>10</xdr:col>
      <xdr:colOff>28560</xdr:colOff>
      <xdr:row>25</xdr:row>
      <xdr:rowOff>60315</xdr:rowOff>
    </xdr:to>
    <xdr:sp macro="" textlink="">
      <xdr:nvSpPr>
        <xdr:cNvPr id="39" name="Rectangle 38">
          <a:extLst>
            <a:ext uri="{FF2B5EF4-FFF2-40B4-BE49-F238E27FC236}">
              <a16:creationId xmlns:a16="http://schemas.microsoft.com/office/drawing/2014/main" id="{00000000-0008-0000-0600-000027000000}"/>
            </a:ext>
          </a:extLst>
        </xdr:cNvPr>
        <xdr:cNvSpPr/>
      </xdr:nvSpPr>
      <xdr:spPr>
        <a:xfrm>
          <a:off x="2643490" y="5068560"/>
          <a:ext cx="67310" cy="226695"/>
        </a:xfrm>
        <a:prstGeom prst="rect">
          <a:avLst/>
        </a:prstGeom>
        <a:solidFill>
          <a:schemeClr val="accent1">
            <a:alpha val="0"/>
          </a:schemeClr>
        </a:solid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twoCellAnchor>
    <xdr:from>
      <xdr:col>11</xdr:col>
      <xdr:colOff>81936</xdr:colOff>
      <xdr:row>47</xdr:row>
      <xdr:rowOff>20484</xdr:rowOff>
    </xdr:from>
    <xdr:to>
      <xdr:col>14</xdr:col>
      <xdr:colOff>0</xdr:colOff>
      <xdr:row>49</xdr:row>
      <xdr:rowOff>0</xdr:rowOff>
    </xdr:to>
    <xdr:cxnSp macro="">
      <xdr:nvCxnSpPr>
        <xdr:cNvPr id="40" name="Straight Arrow Connector 39">
          <a:extLst>
            <a:ext uri="{FF2B5EF4-FFF2-40B4-BE49-F238E27FC236}">
              <a16:creationId xmlns:a16="http://schemas.microsoft.com/office/drawing/2014/main" id="{00000000-0008-0000-0600-000028000000}"/>
            </a:ext>
          </a:extLst>
        </xdr:cNvPr>
        <xdr:cNvCxnSpPr/>
      </xdr:nvCxnSpPr>
      <xdr:spPr>
        <a:xfrm flipH="1" flipV="1">
          <a:off x="2977536" y="9263544"/>
          <a:ext cx="329544" cy="360516"/>
        </a:xfrm>
        <a:prstGeom prst="straightConnector1">
          <a:avLst/>
        </a:prstGeom>
        <a:ln>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20484</xdr:colOff>
      <xdr:row>48</xdr:row>
      <xdr:rowOff>102421</xdr:rowOff>
    </xdr:from>
    <xdr:to>
      <xdr:col>15</xdr:col>
      <xdr:colOff>133145</xdr:colOff>
      <xdr:row>50</xdr:row>
      <xdr:rowOff>1</xdr:rowOff>
    </xdr:to>
    <xdr:sp macro="" textlink="">
      <xdr:nvSpPr>
        <xdr:cNvPr id="41" name="Rectangle 40">
          <a:extLst>
            <a:ext uri="{FF2B5EF4-FFF2-40B4-BE49-F238E27FC236}">
              <a16:creationId xmlns:a16="http://schemas.microsoft.com/office/drawing/2014/main" id="{00000000-0008-0000-0600-000029000000}"/>
            </a:ext>
          </a:extLst>
        </xdr:cNvPr>
        <xdr:cNvSpPr/>
      </xdr:nvSpPr>
      <xdr:spPr>
        <a:xfrm>
          <a:off x="3327564" y="9535981"/>
          <a:ext cx="478421" cy="278580"/>
        </a:xfrm>
        <a:prstGeom prst="rect">
          <a:avLst/>
        </a:prstGeom>
        <a:solidFill>
          <a:schemeClr val="accent1">
            <a:alpha val="0"/>
          </a:schemeClr>
        </a:solid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l"/>
          <a:r>
            <a:rPr lang="en-US" sz="1100">
              <a:solidFill>
                <a:sysClr val="windowText" lastClr="000000"/>
              </a:solidFill>
            </a:rPr>
            <a:t>BOC</a:t>
          </a:r>
        </a:p>
      </xdr:txBody>
    </xdr:sp>
    <xdr:clientData/>
  </xdr:twoCellAnchor>
  <xdr:twoCellAnchor>
    <xdr:from>
      <xdr:col>11</xdr:col>
      <xdr:colOff>71694</xdr:colOff>
      <xdr:row>24</xdr:row>
      <xdr:rowOff>0</xdr:rowOff>
    </xdr:from>
    <xdr:to>
      <xdr:col>15</xdr:col>
      <xdr:colOff>0</xdr:colOff>
      <xdr:row>27</xdr:row>
      <xdr:rowOff>174113</xdr:rowOff>
    </xdr:to>
    <xdr:cxnSp macro="">
      <xdr:nvCxnSpPr>
        <xdr:cNvPr id="42" name="Straight Arrow Connector 41">
          <a:extLst>
            <a:ext uri="{FF2B5EF4-FFF2-40B4-BE49-F238E27FC236}">
              <a16:creationId xmlns:a16="http://schemas.microsoft.com/office/drawing/2014/main" id="{00000000-0008-0000-0600-00002A000000}"/>
            </a:ext>
          </a:extLst>
        </xdr:cNvPr>
        <xdr:cNvCxnSpPr/>
      </xdr:nvCxnSpPr>
      <xdr:spPr>
        <a:xfrm flipH="1">
          <a:off x="2967294" y="5036820"/>
          <a:ext cx="705546" cy="623693"/>
        </a:xfrm>
        <a:prstGeom prst="straightConnector1">
          <a:avLst/>
        </a:prstGeom>
        <a:ln>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491613</xdr:colOff>
      <xdr:row>24</xdr:row>
      <xdr:rowOff>112661</xdr:rowOff>
    </xdr:from>
    <xdr:to>
      <xdr:col>8</xdr:col>
      <xdr:colOff>139955</xdr:colOff>
      <xdr:row>26</xdr:row>
      <xdr:rowOff>92946</xdr:rowOff>
    </xdr:to>
    <xdr:cxnSp macro="">
      <xdr:nvCxnSpPr>
        <xdr:cNvPr id="43" name="Straight Arrow Connector 42">
          <a:extLst>
            <a:ext uri="{FF2B5EF4-FFF2-40B4-BE49-F238E27FC236}">
              <a16:creationId xmlns:a16="http://schemas.microsoft.com/office/drawing/2014/main" id="{00000000-0008-0000-0600-00002B000000}"/>
            </a:ext>
          </a:extLst>
        </xdr:cNvPr>
        <xdr:cNvCxnSpPr/>
      </xdr:nvCxnSpPr>
      <xdr:spPr>
        <a:xfrm>
          <a:off x="1825113" y="5149481"/>
          <a:ext cx="577982" cy="330805"/>
        </a:xfrm>
        <a:prstGeom prst="straightConnector1">
          <a:avLst/>
        </a:prstGeom>
        <a:ln>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30726</xdr:colOff>
      <xdr:row>23</xdr:row>
      <xdr:rowOff>153630</xdr:rowOff>
    </xdr:from>
    <xdr:to>
      <xdr:col>6</xdr:col>
      <xdr:colOff>491613</xdr:colOff>
      <xdr:row>25</xdr:row>
      <xdr:rowOff>30726</xdr:rowOff>
    </xdr:to>
    <xdr:sp macro="" textlink="">
      <xdr:nvSpPr>
        <xdr:cNvPr id="44" name="Rectangle 43">
          <a:extLst>
            <a:ext uri="{FF2B5EF4-FFF2-40B4-BE49-F238E27FC236}">
              <a16:creationId xmlns:a16="http://schemas.microsoft.com/office/drawing/2014/main" id="{00000000-0008-0000-0600-00002C000000}"/>
            </a:ext>
          </a:extLst>
        </xdr:cNvPr>
        <xdr:cNvSpPr/>
      </xdr:nvSpPr>
      <xdr:spPr>
        <a:xfrm>
          <a:off x="1364226" y="4992330"/>
          <a:ext cx="460887" cy="273336"/>
        </a:xfrm>
        <a:prstGeom prst="rect">
          <a:avLst/>
        </a:prstGeom>
        <a:solidFill>
          <a:schemeClr val="accent1">
            <a:alpha val="0"/>
          </a:schemeClr>
        </a:solid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l"/>
          <a:r>
            <a:rPr lang="en-US" sz="1100">
              <a:solidFill>
                <a:sysClr val="windowText" lastClr="000000"/>
              </a:solidFill>
            </a:rPr>
            <a:t>TOS</a:t>
          </a:r>
        </a:p>
      </xdr:txBody>
    </xdr:sp>
    <xdr:clientData/>
  </xdr:twoCellAnchor>
  <xdr:twoCellAnchor>
    <xdr:from>
      <xdr:col>14</xdr:col>
      <xdr:colOff>348225</xdr:colOff>
      <xdr:row>23</xdr:row>
      <xdr:rowOff>51210</xdr:rowOff>
    </xdr:from>
    <xdr:to>
      <xdr:col>15</xdr:col>
      <xdr:colOff>460886</xdr:colOff>
      <xdr:row>24</xdr:row>
      <xdr:rowOff>133145</xdr:rowOff>
    </xdr:to>
    <xdr:sp macro="" textlink="">
      <xdr:nvSpPr>
        <xdr:cNvPr id="45" name="Rectangle 44">
          <a:extLst>
            <a:ext uri="{FF2B5EF4-FFF2-40B4-BE49-F238E27FC236}">
              <a16:creationId xmlns:a16="http://schemas.microsoft.com/office/drawing/2014/main" id="{00000000-0008-0000-0600-00002D000000}"/>
            </a:ext>
          </a:extLst>
        </xdr:cNvPr>
        <xdr:cNvSpPr/>
      </xdr:nvSpPr>
      <xdr:spPr>
        <a:xfrm>
          <a:off x="3655305" y="4889910"/>
          <a:ext cx="478421" cy="280055"/>
        </a:xfrm>
        <a:prstGeom prst="rect">
          <a:avLst/>
        </a:prstGeom>
        <a:solidFill>
          <a:schemeClr val="accent1">
            <a:alpha val="0"/>
          </a:schemeClr>
        </a:solid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l"/>
          <a:r>
            <a:rPr lang="en-US" sz="1100">
              <a:solidFill>
                <a:sysClr val="windowText" lastClr="000000"/>
              </a:solidFill>
            </a:rPr>
            <a:t>TOC</a:t>
          </a:r>
        </a:p>
      </xdr:txBody>
    </xdr:sp>
    <xdr:clientData/>
  </xdr:twoCellAnchor>
  <xdr:twoCellAnchor>
    <xdr:from>
      <xdr:col>6</xdr:col>
      <xdr:colOff>542822</xdr:colOff>
      <xdr:row>27</xdr:row>
      <xdr:rowOff>10242</xdr:rowOff>
    </xdr:from>
    <xdr:to>
      <xdr:col>6</xdr:col>
      <xdr:colOff>716936</xdr:colOff>
      <xdr:row>48</xdr:row>
      <xdr:rowOff>10242</xdr:rowOff>
    </xdr:to>
    <xdr:sp macro="" textlink="">
      <xdr:nvSpPr>
        <xdr:cNvPr id="46" name="Rectangle 45">
          <a:extLst>
            <a:ext uri="{FF2B5EF4-FFF2-40B4-BE49-F238E27FC236}">
              <a16:creationId xmlns:a16="http://schemas.microsoft.com/office/drawing/2014/main" id="{00000000-0008-0000-0600-00002E000000}"/>
            </a:ext>
          </a:extLst>
        </xdr:cNvPr>
        <xdr:cNvSpPr/>
      </xdr:nvSpPr>
      <xdr:spPr>
        <a:xfrm>
          <a:off x="1876322" y="5496642"/>
          <a:ext cx="174114" cy="3947160"/>
        </a:xfrm>
        <a:prstGeom prst="rect">
          <a:avLst/>
        </a:prstGeom>
        <a:solidFill>
          <a:schemeClr val="bg1">
            <a:lumMod val="75000"/>
            <a:alpha val="59000"/>
          </a:schemeClr>
        </a:solidFill>
        <a:ln w="127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l"/>
          <a:endParaRPr lang="en-US" sz="1100">
            <a:solidFill>
              <a:sysClr val="windowText" lastClr="000000"/>
            </a:solidFill>
          </a:endParaRPr>
        </a:p>
      </xdr:txBody>
    </xdr:sp>
    <xdr:clientData/>
  </xdr:twoCellAnchor>
  <xdr:twoCellAnchor>
    <xdr:from>
      <xdr:col>13</xdr:col>
      <xdr:colOff>20484</xdr:colOff>
      <xdr:row>27</xdr:row>
      <xdr:rowOff>0</xdr:rowOff>
    </xdr:from>
    <xdr:to>
      <xdr:col>14</xdr:col>
      <xdr:colOff>143389</xdr:colOff>
      <xdr:row>48</xdr:row>
      <xdr:rowOff>0</xdr:rowOff>
    </xdr:to>
    <xdr:sp macro="" textlink="">
      <xdr:nvSpPr>
        <xdr:cNvPr id="47" name="Rectangle 46">
          <a:extLst>
            <a:ext uri="{FF2B5EF4-FFF2-40B4-BE49-F238E27FC236}">
              <a16:creationId xmlns:a16="http://schemas.microsoft.com/office/drawing/2014/main" id="{00000000-0008-0000-0600-00002F000000}"/>
            </a:ext>
          </a:extLst>
        </xdr:cNvPr>
        <xdr:cNvSpPr/>
      </xdr:nvSpPr>
      <xdr:spPr>
        <a:xfrm>
          <a:off x="3281844" y="5486400"/>
          <a:ext cx="168625" cy="3947160"/>
        </a:xfrm>
        <a:prstGeom prst="rect">
          <a:avLst/>
        </a:prstGeom>
        <a:solidFill>
          <a:schemeClr val="bg1">
            <a:lumMod val="75000"/>
            <a:alpha val="59000"/>
          </a:schemeClr>
        </a:solidFill>
        <a:ln w="127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l"/>
          <a:endParaRPr lang="en-US" sz="1100">
            <a:solidFill>
              <a:sysClr val="windowText" lastClr="000000"/>
            </a:solidFill>
          </a:endParaRPr>
        </a:p>
      </xdr:txBody>
    </xdr:sp>
    <xdr:clientData/>
  </xdr:twoCellAnchor>
  <xdr:twoCellAnchor>
    <xdr:from>
      <xdr:col>14</xdr:col>
      <xdr:colOff>10242</xdr:colOff>
      <xdr:row>56</xdr:row>
      <xdr:rowOff>112662</xdr:rowOff>
    </xdr:from>
    <xdr:to>
      <xdr:col>14</xdr:col>
      <xdr:colOff>337984</xdr:colOff>
      <xdr:row>57</xdr:row>
      <xdr:rowOff>10242</xdr:rowOff>
    </xdr:to>
    <xdr:cxnSp macro="">
      <xdr:nvCxnSpPr>
        <xdr:cNvPr id="48" name="Straight Arrow Connector 47">
          <a:extLst>
            <a:ext uri="{FF2B5EF4-FFF2-40B4-BE49-F238E27FC236}">
              <a16:creationId xmlns:a16="http://schemas.microsoft.com/office/drawing/2014/main" id="{00000000-0008-0000-0600-000030000000}"/>
            </a:ext>
          </a:extLst>
        </xdr:cNvPr>
        <xdr:cNvCxnSpPr/>
      </xdr:nvCxnSpPr>
      <xdr:spPr>
        <a:xfrm flipH="1" flipV="1">
          <a:off x="3317322" y="11070222"/>
          <a:ext cx="327742" cy="88080"/>
        </a:xfrm>
        <a:prstGeom prst="straightConnector1">
          <a:avLst/>
        </a:prstGeom>
        <a:ln>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20484</xdr:colOff>
      <xdr:row>57</xdr:row>
      <xdr:rowOff>20485</xdr:rowOff>
    </xdr:from>
    <xdr:to>
      <xdr:col>15</xdr:col>
      <xdr:colOff>0</xdr:colOff>
      <xdr:row>57</xdr:row>
      <xdr:rowOff>112661</xdr:rowOff>
    </xdr:to>
    <xdr:cxnSp macro="">
      <xdr:nvCxnSpPr>
        <xdr:cNvPr id="49" name="Straight Arrow Connector 48">
          <a:extLst>
            <a:ext uri="{FF2B5EF4-FFF2-40B4-BE49-F238E27FC236}">
              <a16:creationId xmlns:a16="http://schemas.microsoft.com/office/drawing/2014/main" id="{00000000-0008-0000-0600-000031000000}"/>
            </a:ext>
          </a:extLst>
        </xdr:cNvPr>
        <xdr:cNvCxnSpPr/>
      </xdr:nvCxnSpPr>
      <xdr:spPr>
        <a:xfrm flipH="1">
          <a:off x="3327564" y="11168545"/>
          <a:ext cx="345276" cy="92176"/>
        </a:xfrm>
        <a:prstGeom prst="straightConnector1">
          <a:avLst/>
        </a:prstGeom>
        <a:ln>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38</xdr:col>
      <xdr:colOff>472440</xdr:colOff>
      <xdr:row>40</xdr:row>
      <xdr:rowOff>38100</xdr:rowOff>
    </xdr:from>
    <xdr:to>
      <xdr:col>43</xdr:col>
      <xdr:colOff>15240</xdr:colOff>
      <xdr:row>47</xdr:row>
      <xdr:rowOff>45720</xdr:rowOff>
    </xdr:to>
    <xdr:sp macro="" textlink="">
      <xdr:nvSpPr>
        <xdr:cNvPr id="50" name="TextBox 49">
          <a:extLst>
            <a:ext uri="{FF2B5EF4-FFF2-40B4-BE49-F238E27FC236}">
              <a16:creationId xmlns:a16="http://schemas.microsoft.com/office/drawing/2014/main" id="{00000000-0008-0000-0600-000032000000}"/>
            </a:ext>
          </a:extLst>
        </xdr:cNvPr>
        <xdr:cNvSpPr txBox="1"/>
      </xdr:nvSpPr>
      <xdr:spPr>
        <a:xfrm>
          <a:off x="10325100" y="7947660"/>
          <a:ext cx="2590800" cy="1341120"/>
        </a:xfrm>
        <a:prstGeom prst="rect">
          <a:avLst/>
        </a:prstGeom>
        <a:solidFill>
          <a:srgbClr val="FFFF00"/>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Please note that the suggested number in parenthesis for 6), 7) and 10) come from the values</a:t>
          </a:r>
          <a:r>
            <a:rPr lang="en-US" sz="1100" baseline="0"/>
            <a:t> input and estimates  in the upper table of the </a:t>
          </a:r>
          <a:r>
            <a:rPr lang="en-US" sz="1100"/>
            <a:t> "Est Steel Vol" sheet.</a:t>
          </a:r>
          <a:r>
            <a:rPr lang="en-US" sz="1100" baseline="0"/>
            <a:t> Therefore,  for the suggestions to be correct, you need to work on that worksheet first</a:t>
          </a:r>
          <a:endParaRPr lang="en-US"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600075</xdr:colOff>
      <xdr:row>144</xdr:row>
      <xdr:rowOff>0</xdr:rowOff>
    </xdr:from>
    <xdr:to>
      <xdr:col>9</xdr:col>
      <xdr:colOff>0</xdr:colOff>
      <xdr:row>170</xdr:row>
      <xdr:rowOff>1</xdr:rowOff>
    </xdr:to>
    <xdr:sp macro="" textlink="">
      <xdr:nvSpPr>
        <xdr:cNvPr id="2" name="TextBox 1">
          <a:extLst>
            <a:ext uri="{FF2B5EF4-FFF2-40B4-BE49-F238E27FC236}">
              <a16:creationId xmlns:a16="http://schemas.microsoft.com/office/drawing/2014/main" id="{00000000-0008-0000-0700-000002000000}"/>
            </a:ext>
          </a:extLst>
        </xdr:cNvPr>
        <xdr:cNvSpPr txBox="1"/>
      </xdr:nvSpPr>
      <xdr:spPr>
        <a:xfrm>
          <a:off x="249555" y="26441400"/>
          <a:ext cx="7088505" cy="4503421"/>
        </a:xfrm>
        <a:prstGeom prst="rect">
          <a:avLst/>
        </a:prstGeom>
        <a:solidFill>
          <a:srgbClr val="FFFFCC"/>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t"/>
        <a:lstStyle/>
        <a:p>
          <a:r>
            <a:rPr lang="en-US" sz="1100" b="1">
              <a:solidFill>
                <a:schemeClr val="dk1"/>
              </a:solidFill>
              <a:effectLst/>
              <a:latin typeface="+mn-lt"/>
              <a:ea typeface="+mn-ea"/>
              <a:cs typeface="+mn-cs"/>
            </a:rPr>
            <a:t>2013 &amp; </a:t>
          </a:r>
          <a:r>
            <a:rPr lang="en-US" sz="1100" b="1"/>
            <a:t>2010 Int. Design Standards (DS)</a:t>
          </a:r>
          <a:r>
            <a:rPr lang="en-US" sz="1100"/>
            <a:t>  -   </a:t>
          </a:r>
          <a:r>
            <a:rPr lang="en-US" sz="1100">
              <a:solidFill>
                <a:srgbClr val="0000FF"/>
              </a:solidFill>
            </a:rPr>
            <a:t>MAST ARMS  </a:t>
          </a:r>
          <a:r>
            <a:rPr lang="en-US" sz="1100"/>
            <a:t>-  Index 17745 &amp; 17743</a:t>
          </a:r>
        </a:p>
        <a:p>
          <a:endParaRPr lang="en-US" sz="1100"/>
        </a:p>
        <a:p>
          <a:r>
            <a:rPr lang="en-US" sz="1100">
              <a:solidFill>
                <a:schemeClr val="dk1"/>
              </a:solidFill>
              <a:latin typeface="+mn-lt"/>
              <a:ea typeface="+mn-ea"/>
              <a:cs typeface="+mn-cs"/>
            </a:rPr>
            <a:t>5" top cover (to 1st #5 Tie Bar),</a:t>
          </a:r>
          <a:endParaRPr lang="en-US"/>
        </a:p>
        <a:p>
          <a:r>
            <a:rPr lang="en-US" sz="1100">
              <a:solidFill>
                <a:schemeClr val="dk1"/>
              </a:solidFill>
              <a:latin typeface="+mn-lt"/>
              <a:ea typeface="+mn-ea"/>
              <a:cs typeface="+mn-cs"/>
            </a:rPr>
            <a:t>7" bottom cover (to bottom #5 Tie Bar)</a:t>
          </a:r>
          <a:endParaRPr lang="en-US"/>
        </a:p>
        <a:p>
          <a:endParaRPr lang="en-US" sz="1100"/>
        </a:p>
        <a:p>
          <a:r>
            <a:rPr lang="en-US" sz="1100">
              <a:solidFill>
                <a:schemeClr val="dk1"/>
              </a:solidFill>
              <a:latin typeface="+mn-lt"/>
              <a:ea typeface="+mn-ea"/>
              <a:cs typeface="+mn-cs"/>
            </a:rPr>
            <a:t>DA = shaft length</a:t>
          </a:r>
          <a:endParaRPr lang="en-US" sz="1100"/>
        </a:p>
        <a:p>
          <a:r>
            <a:rPr lang="en-US" sz="1100"/>
            <a:t>DB = shaft dia.</a:t>
          </a:r>
        </a:p>
        <a:p>
          <a:endParaRPr lang="en-US" sz="1100"/>
        </a:p>
        <a:p>
          <a:r>
            <a:rPr lang="en-US" sz="1100"/>
            <a:t>Vert. Bars:  RB  #RA bars,</a:t>
          </a:r>
          <a:r>
            <a:rPr lang="en-US" sz="1100" baseline="0"/>
            <a:t> </a:t>
          </a:r>
          <a:r>
            <a:rPr lang="en-US" sz="1100"/>
            <a:t>equally spaced.</a:t>
          </a:r>
        </a:p>
        <a:p>
          <a:endParaRPr lang="en-US" sz="1100"/>
        </a:p>
        <a:p>
          <a:r>
            <a:rPr lang="en-US" sz="1100"/>
            <a:t>Top 2' of cage - #5 Tie Bars - 6 spaces @ 4"</a:t>
          </a:r>
        </a:p>
        <a:p>
          <a:endParaRPr lang="en-US" sz="1100"/>
        </a:p>
        <a:p>
          <a:r>
            <a:rPr lang="en-US" sz="1100"/>
            <a:t>Intermediate Tie Bars :   RC #5 bars spaced at RD  (variables</a:t>
          </a:r>
          <a:r>
            <a:rPr lang="en-US" sz="1100" baseline="0"/>
            <a:t> via DS tables)</a:t>
          </a:r>
          <a:r>
            <a:rPr lang="en-US" sz="1100"/>
            <a:t>.</a:t>
          </a:r>
        </a:p>
        <a:p>
          <a:r>
            <a:rPr lang="en-US" sz="1100"/>
            <a:t>Remaining bottom</a:t>
          </a:r>
          <a:r>
            <a:rPr lang="en-US" sz="1100" baseline="0"/>
            <a:t> T</a:t>
          </a:r>
          <a:r>
            <a:rPr lang="en-US" sz="1100"/>
            <a:t>ie Bars spaced</a:t>
          </a:r>
          <a:r>
            <a:rPr lang="en-US" sz="1100" baseline="0"/>
            <a:t> </a:t>
          </a:r>
          <a:r>
            <a:rPr lang="en-US" sz="1100"/>
            <a:t>at 12" (1 ft)</a:t>
          </a:r>
          <a:r>
            <a:rPr lang="en-US" sz="1100" baseline="0"/>
            <a:t> (</a:t>
          </a:r>
          <a:r>
            <a:rPr lang="en-US" sz="1100"/>
            <a:t>Max.)</a:t>
          </a:r>
        </a:p>
        <a:p>
          <a:endParaRPr lang="en-US" sz="1100"/>
        </a:p>
        <a:p>
          <a:r>
            <a:rPr lang="en-US" sz="1100"/>
            <a:t>2' 2" Lap on each #5 tie bars.</a:t>
          </a:r>
        </a:p>
        <a:p>
          <a:endParaRPr lang="en-US" sz="1100"/>
        </a:p>
        <a:p>
          <a:endParaRPr lang="en-US" sz="1100"/>
        </a:p>
        <a:p>
          <a:r>
            <a:rPr lang="en-US" sz="1100" b="1">
              <a:solidFill>
                <a:schemeClr val="dk1"/>
              </a:solidFill>
              <a:effectLst/>
              <a:latin typeface="+mn-lt"/>
              <a:ea typeface="+mn-ea"/>
              <a:cs typeface="+mn-cs"/>
            </a:rPr>
            <a:t>2010 Design Standard</a:t>
          </a:r>
          <a:r>
            <a:rPr lang="en-US" sz="1100">
              <a:solidFill>
                <a:schemeClr val="dk1"/>
              </a:solidFill>
              <a:effectLst/>
              <a:latin typeface="+mn-lt"/>
              <a:ea typeface="+mn-ea"/>
              <a:cs typeface="+mn-cs"/>
            </a:rPr>
            <a:t>  -   </a:t>
          </a:r>
          <a:r>
            <a:rPr lang="en-US" sz="1100">
              <a:solidFill>
                <a:srgbClr val="0000FF"/>
              </a:solidFill>
              <a:effectLst/>
              <a:latin typeface="+mn-lt"/>
              <a:ea typeface="+mn-ea"/>
              <a:cs typeface="+mn-cs"/>
            </a:rPr>
            <a:t>MAST ARMS  </a:t>
          </a:r>
          <a:r>
            <a:rPr lang="en-US" sz="1100">
              <a:solidFill>
                <a:schemeClr val="dk1"/>
              </a:solidFill>
              <a:effectLst/>
              <a:latin typeface="+mn-lt"/>
              <a:ea typeface="+mn-ea"/>
              <a:cs typeface="+mn-cs"/>
            </a:rPr>
            <a:t>-  Index 17745 &amp; 17743</a:t>
          </a:r>
        </a:p>
        <a:p>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Remaining </a:t>
          </a:r>
          <a:r>
            <a:rPr lang="en-US" sz="1100" baseline="0">
              <a:solidFill>
                <a:schemeClr val="dk1"/>
              </a:solidFill>
              <a:effectLst/>
              <a:latin typeface="+mn-lt"/>
              <a:ea typeface="+mn-ea"/>
              <a:cs typeface="+mn-cs"/>
            </a:rPr>
            <a:t>#5 T</a:t>
          </a:r>
          <a:r>
            <a:rPr lang="en-US" sz="1100">
              <a:solidFill>
                <a:schemeClr val="dk1"/>
              </a:solidFill>
              <a:effectLst/>
              <a:latin typeface="+mn-lt"/>
              <a:ea typeface="+mn-ea"/>
              <a:cs typeface="+mn-cs"/>
            </a:rPr>
            <a:t>ie Bars  (from 2 ft down, to</a:t>
          </a:r>
          <a:r>
            <a:rPr lang="en-US" sz="1100" baseline="0">
              <a:solidFill>
                <a:schemeClr val="dk1"/>
              </a:solidFill>
              <a:effectLst/>
              <a:latin typeface="+mn-lt"/>
              <a:ea typeface="+mn-ea"/>
              <a:cs typeface="+mn-cs"/>
            </a:rPr>
            <a:t> the</a:t>
          </a:r>
          <a:r>
            <a:rPr lang="en-US" sz="1100">
              <a:solidFill>
                <a:schemeClr val="dk1"/>
              </a:solidFill>
              <a:effectLst/>
              <a:latin typeface="+mn-lt"/>
              <a:ea typeface="+mn-ea"/>
              <a:cs typeface="+mn-cs"/>
            </a:rPr>
            <a:t> bottom</a:t>
          </a:r>
          <a:r>
            <a:rPr lang="en-US" sz="1100" baseline="0">
              <a:solidFill>
                <a:schemeClr val="dk1"/>
              </a:solidFill>
              <a:effectLst/>
              <a:latin typeface="+mn-lt"/>
              <a:ea typeface="+mn-ea"/>
              <a:cs typeface="+mn-cs"/>
            </a:rPr>
            <a:t> of the cage) </a:t>
          </a:r>
          <a:r>
            <a:rPr lang="en-US" sz="1100" u="none" baseline="0">
              <a:solidFill>
                <a:schemeClr val="dk1"/>
              </a:solidFill>
              <a:effectLst/>
              <a:latin typeface="+mn-lt"/>
              <a:ea typeface="+mn-ea"/>
              <a:cs typeface="+mn-cs"/>
            </a:rPr>
            <a:t>are s</a:t>
          </a:r>
          <a:r>
            <a:rPr lang="en-US" sz="1100" u="none">
              <a:solidFill>
                <a:schemeClr val="dk1"/>
              </a:solidFill>
              <a:effectLst/>
              <a:latin typeface="+mn-lt"/>
              <a:ea typeface="+mn-ea"/>
              <a:cs typeface="+mn-cs"/>
            </a:rPr>
            <a:t>paced</a:t>
          </a:r>
          <a:r>
            <a:rPr lang="en-US" sz="1100" u="none" baseline="0">
              <a:solidFill>
                <a:schemeClr val="dk1"/>
              </a:solidFill>
              <a:effectLst/>
              <a:latin typeface="+mn-lt"/>
              <a:ea typeface="+mn-ea"/>
              <a:cs typeface="+mn-cs"/>
            </a:rPr>
            <a:t> </a:t>
          </a:r>
        </a:p>
        <a:p>
          <a:r>
            <a:rPr lang="en-US" sz="1100" u="none">
              <a:solidFill>
                <a:schemeClr val="dk1"/>
              </a:solidFill>
              <a:effectLst/>
              <a:latin typeface="+mn-lt"/>
              <a:ea typeface="+mn-ea"/>
              <a:cs typeface="+mn-cs"/>
            </a:rPr>
            <a:t>at  </a:t>
          </a:r>
          <a:r>
            <a:rPr lang="en-US" sz="1100" b="1" u="none">
              <a:solidFill>
                <a:schemeClr val="dk1"/>
              </a:solidFill>
              <a:effectLst/>
              <a:latin typeface="+mn-lt"/>
              <a:ea typeface="+mn-ea"/>
              <a:cs typeface="+mn-cs"/>
            </a:rPr>
            <a:t>1.5 ft</a:t>
          </a:r>
          <a:r>
            <a:rPr lang="en-US" sz="1100" b="1" u="none" baseline="0">
              <a:solidFill>
                <a:schemeClr val="dk1"/>
              </a:solidFill>
              <a:effectLst/>
              <a:latin typeface="+mn-lt"/>
              <a:ea typeface="+mn-ea"/>
              <a:cs typeface="+mn-cs"/>
            </a:rPr>
            <a:t>  (</a:t>
          </a:r>
          <a:r>
            <a:rPr lang="en-US" sz="1100" b="1" u="none">
              <a:solidFill>
                <a:schemeClr val="dk1"/>
              </a:solidFill>
              <a:effectLst/>
              <a:latin typeface="+mn-lt"/>
              <a:ea typeface="+mn-ea"/>
              <a:cs typeface="+mn-cs"/>
            </a:rPr>
            <a:t>Max)</a:t>
          </a:r>
          <a:r>
            <a:rPr lang="en-US" sz="1100" u="none">
              <a:solidFill>
                <a:schemeClr val="dk1"/>
              </a:solidFill>
              <a:effectLst/>
              <a:latin typeface="+mn-lt"/>
              <a:ea typeface="+mn-ea"/>
              <a:cs typeface="+mn-cs"/>
            </a:rPr>
            <a:t>, rather than  1.0 ft.</a:t>
          </a:r>
          <a:r>
            <a:rPr lang="en-US" sz="1100" u="none" baseline="0">
              <a:solidFill>
                <a:schemeClr val="dk1"/>
              </a:solidFill>
              <a:effectLst/>
              <a:latin typeface="+mn-lt"/>
              <a:ea typeface="+mn-ea"/>
              <a:cs typeface="+mn-cs"/>
            </a:rPr>
            <a:t> </a:t>
          </a:r>
        </a:p>
        <a:p>
          <a:r>
            <a:rPr lang="en-US" sz="1100" baseline="0">
              <a:solidFill>
                <a:sysClr val="windowText" lastClr="000000"/>
              </a:solidFill>
              <a:effectLst/>
              <a:latin typeface="+mn-lt"/>
              <a:ea typeface="+mn-ea"/>
              <a:cs typeface="+mn-cs"/>
            </a:rPr>
            <a:t>For 2010 DS, the RC &amp; RD  variables </a:t>
          </a:r>
          <a:r>
            <a:rPr lang="en-US" sz="1100" u="sng" baseline="0">
              <a:solidFill>
                <a:sysClr val="windowText" lastClr="000000"/>
              </a:solidFill>
              <a:effectLst/>
              <a:latin typeface="+mn-lt"/>
              <a:ea typeface="+mn-ea"/>
              <a:cs typeface="+mn-cs"/>
            </a:rPr>
            <a:t>do not apply</a:t>
          </a:r>
          <a:r>
            <a:rPr lang="en-US" sz="1100" u="none" baseline="0">
              <a:solidFill>
                <a:sysClr val="windowText" lastClr="000000"/>
              </a:solidFill>
              <a:effectLst/>
              <a:latin typeface="+mn-lt"/>
              <a:ea typeface="+mn-ea"/>
              <a:cs typeface="+mn-cs"/>
            </a:rPr>
            <a:t> </a:t>
          </a:r>
          <a:r>
            <a:rPr lang="en-US" sz="1100" baseline="0">
              <a:solidFill>
                <a:sysClr val="windowText" lastClr="000000"/>
              </a:solidFill>
              <a:effectLst/>
              <a:latin typeface="+mn-lt"/>
              <a:ea typeface="+mn-ea"/>
              <a:cs typeface="+mn-cs"/>
            </a:rPr>
            <a:t>(associated 17743 only has DA, DB, RA &amp; RB  foundation variables included)</a:t>
          </a:r>
        </a:p>
        <a:p>
          <a:endParaRPr lang="en-US" sz="1100"/>
        </a:p>
        <a:p>
          <a:endParaRPr lang="en-US" sz="1100"/>
        </a:p>
        <a:p>
          <a:endParaRPr lang="en-US" sz="1100"/>
        </a:p>
      </xdr:txBody>
    </xdr:sp>
    <xdr:clientData/>
  </xdr:twoCellAnchor>
  <xdr:twoCellAnchor>
    <xdr:from>
      <xdr:col>0</xdr:col>
      <xdr:colOff>112058</xdr:colOff>
      <xdr:row>94</xdr:row>
      <xdr:rowOff>11205</xdr:rowOff>
    </xdr:from>
    <xdr:to>
      <xdr:col>13</xdr:col>
      <xdr:colOff>616321</xdr:colOff>
      <xdr:row>135</xdr:row>
      <xdr:rowOff>56029</xdr:rowOff>
    </xdr:to>
    <xdr:graphicFrame macro="">
      <xdr:nvGraphicFramePr>
        <xdr:cNvPr id="3" name="Chart 2">
          <a:extLst>
            <a:ext uri="{FF2B5EF4-FFF2-40B4-BE49-F238E27FC236}">
              <a16:creationId xmlns:a16="http://schemas.microsoft.com/office/drawing/2014/main" id="{00000000-0008-0000-0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593911</xdr:colOff>
      <xdr:row>194</xdr:row>
      <xdr:rowOff>22413</xdr:rowOff>
    </xdr:from>
    <xdr:to>
      <xdr:col>9</xdr:col>
      <xdr:colOff>11205</xdr:colOff>
      <xdr:row>223</xdr:row>
      <xdr:rowOff>134471</xdr:rowOff>
    </xdr:to>
    <xdr:sp macro="" textlink="">
      <xdr:nvSpPr>
        <xdr:cNvPr id="4" name="TextBox 3">
          <a:extLst>
            <a:ext uri="{FF2B5EF4-FFF2-40B4-BE49-F238E27FC236}">
              <a16:creationId xmlns:a16="http://schemas.microsoft.com/office/drawing/2014/main" id="{00000000-0008-0000-0700-000004000000}"/>
            </a:ext>
          </a:extLst>
        </xdr:cNvPr>
        <xdr:cNvSpPr txBox="1"/>
      </xdr:nvSpPr>
      <xdr:spPr>
        <a:xfrm>
          <a:off x="251011" y="34998213"/>
          <a:ext cx="7098254" cy="5065058"/>
        </a:xfrm>
        <a:prstGeom prst="rect">
          <a:avLst/>
        </a:prstGeom>
        <a:solidFill>
          <a:srgbClr val="FFFFCC"/>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t"/>
        <a:lstStyle/>
        <a:p>
          <a:r>
            <a:rPr lang="en-US" sz="1100" b="1">
              <a:solidFill>
                <a:sysClr val="windowText" lastClr="000000"/>
              </a:solidFill>
            </a:rPr>
            <a:t>2013 Design Standard</a:t>
          </a:r>
          <a:r>
            <a:rPr lang="en-US" sz="1100">
              <a:solidFill>
                <a:sysClr val="windowText" lastClr="000000"/>
              </a:solidFill>
            </a:rPr>
            <a:t> -  </a:t>
          </a:r>
          <a:r>
            <a:rPr lang="en-US" sz="1100">
              <a:solidFill>
                <a:srgbClr val="0000FF"/>
              </a:solidFill>
            </a:rPr>
            <a:t>SPAN SIGNS         </a:t>
          </a:r>
          <a:r>
            <a:rPr lang="en-US" sz="1100">
              <a:solidFill>
                <a:sysClr val="windowText" lastClr="000000"/>
              </a:solidFill>
            </a:rPr>
            <a:t>  -  I</a:t>
          </a:r>
          <a:r>
            <a:rPr lang="en-US" sz="1100" baseline="0">
              <a:solidFill>
                <a:sysClr val="windowText" lastClr="000000"/>
              </a:solidFill>
            </a:rPr>
            <a:t>ndex 11320</a:t>
          </a:r>
          <a:endParaRPr lang="en-US" sz="1100" baseline="0">
            <a:solidFill>
              <a:srgbClr val="0000FF"/>
            </a:solidFill>
          </a:endParaRPr>
        </a:p>
        <a:p>
          <a:r>
            <a:rPr lang="en-US" sz="1100" baseline="0">
              <a:solidFill>
                <a:srgbClr val="0000FF"/>
              </a:solidFill>
            </a:rPr>
            <a:t>		                      Overhead Truss (OHT) Signs  -  Lt. &amp; Rt.</a:t>
          </a:r>
          <a:endParaRPr lang="en-US" sz="1100">
            <a:solidFill>
              <a:srgbClr val="0000FF"/>
            </a:solidFill>
          </a:endParaRPr>
        </a:p>
        <a:p>
          <a:endParaRPr lang="en-US" sz="1100">
            <a:solidFill>
              <a:sysClr val="windowText" lastClr="000000"/>
            </a:solidFill>
          </a:endParaRPr>
        </a:p>
        <a:p>
          <a:r>
            <a:rPr lang="en-US" sz="1100">
              <a:solidFill>
                <a:sysClr val="windowText" lastClr="000000"/>
              </a:solidFill>
            </a:rPr>
            <a:t>5" top cover (to 1st #5 Tie Bar),</a:t>
          </a:r>
        </a:p>
        <a:p>
          <a:r>
            <a:rPr lang="en-US" sz="1100">
              <a:solidFill>
                <a:sysClr val="windowText" lastClr="000000"/>
              </a:solidFill>
            </a:rPr>
            <a:t>7" bottom cover (to bottom #5 Tie Bar)</a:t>
          </a:r>
        </a:p>
        <a:p>
          <a:endParaRPr lang="en-US" sz="1100">
            <a:solidFill>
              <a:sysClr val="windowText" lastClr="000000"/>
            </a:solidFill>
          </a:endParaRPr>
        </a:p>
        <a:p>
          <a:r>
            <a:rPr lang="en-US" sz="1100">
              <a:solidFill>
                <a:srgbClr val="FF0000"/>
              </a:solidFill>
            </a:rPr>
            <a:t>Left:</a:t>
          </a:r>
          <a:r>
            <a:rPr lang="en-US" sz="1100">
              <a:solidFill>
                <a:sysClr val="windowText" lastClr="000000"/>
              </a:solidFill>
            </a:rPr>
            <a:t>		</a:t>
          </a:r>
          <a:r>
            <a:rPr lang="en-US" sz="1100">
              <a:solidFill>
                <a:srgbClr val="FF0000"/>
              </a:solidFill>
            </a:rPr>
            <a:t>Right:</a:t>
          </a:r>
        </a:p>
        <a:p>
          <a:r>
            <a:rPr lang="en-US" sz="1100">
              <a:solidFill>
                <a:sysClr val="windowText" lastClr="000000"/>
              </a:solidFill>
            </a:rPr>
            <a:t>DA =  Lt. shaft length	</a:t>
          </a:r>
          <a:r>
            <a:rPr lang="en-US" sz="1100">
              <a:solidFill>
                <a:schemeClr val="dk1"/>
              </a:solidFill>
              <a:latin typeface="+mn-lt"/>
              <a:ea typeface="+mn-ea"/>
              <a:cs typeface="+mn-cs"/>
            </a:rPr>
            <a:t>FA =  Rt. shaft length </a:t>
          </a:r>
          <a:r>
            <a:rPr lang="en-US" sz="1100">
              <a:solidFill>
                <a:sysClr val="windowText" lastClr="000000"/>
              </a:solidFill>
            </a:rPr>
            <a:t>	</a:t>
          </a:r>
        </a:p>
        <a:p>
          <a:r>
            <a:rPr lang="en-US" sz="1100">
              <a:solidFill>
                <a:schemeClr val="dk1"/>
              </a:solidFill>
              <a:latin typeface="+mn-lt"/>
              <a:ea typeface="+mn-ea"/>
              <a:cs typeface="+mn-cs"/>
            </a:rPr>
            <a:t>DB =  Lt. shaft dia	FB =</a:t>
          </a:r>
          <a:r>
            <a:rPr lang="en-US" sz="1100" baseline="0">
              <a:solidFill>
                <a:schemeClr val="dk1"/>
              </a:solidFill>
              <a:latin typeface="+mn-lt"/>
              <a:ea typeface="+mn-ea"/>
              <a:cs typeface="+mn-cs"/>
            </a:rPr>
            <a:t>  Rt. shaft dia</a:t>
          </a:r>
          <a:endParaRPr lang="en-US" sz="1100">
            <a:solidFill>
              <a:sysClr val="windowText" lastClr="000000"/>
            </a:solidFill>
          </a:endParaRPr>
        </a:p>
        <a:p>
          <a:endParaRPr lang="en-US" sz="1100">
            <a:solidFill>
              <a:sysClr val="windowText" lastClr="000000"/>
            </a:solidFill>
          </a:endParaRPr>
        </a:p>
        <a:p>
          <a:r>
            <a:rPr lang="en-US" sz="1100">
              <a:solidFill>
                <a:sysClr val="windowText" lastClr="000000"/>
              </a:solidFill>
            </a:rPr>
            <a:t>Top 2' of cage - #5 Tie Bars - 6 sp. @ 4"</a:t>
          </a:r>
        </a:p>
        <a:p>
          <a:endParaRPr lang="en-US" sz="1100">
            <a:solidFill>
              <a:sysClr val="windowText" lastClr="000000"/>
            </a:solidFill>
          </a:endParaRPr>
        </a:p>
        <a:p>
          <a:r>
            <a:rPr lang="en-US" sz="1100">
              <a:solidFill>
                <a:sysClr val="windowText" lastClr="000000"/>
              </a:solidFill>
            </a:rPr>
            <a:t>2' 2" Lap on each Tie Bar</a:t>
          </a:r>
        </a:p>
        <a:p>
          <a:endParaRPr lang="en-US" sz="1100">
            <a:solidFill>
              <a:sysClr val="windowText" lastClr="000000"/>
            </a:solidFill>
          </a:endParaRPr>
        </a:p>
        <a:p>
          <a:r>
            <a:rPr lang="en-US" sz="1100">
              <a:solidFill>
                <a:sysClr val="windowText" lastClr="000000"/>
              </a:solidFill>
            </a:rPr>
            <a:t>Tie Bars</a:t>
          </a:r>
          <a:r>
            <a:rPr lang="en-US" sz="1100" baseline="0">
              <a:solidFill>
                <a:sysClr val="windowText" lastClr="000000"/>
              </a:solidFill>
            </a:rPr>
            <a:t> - f</a:t>
          </a:r>
          <a:r>
            <a:rPr lang="en-US" sz="1100">
              <a:solidFill>
                <a:sysClr val="windowText" lastClr="000000"/>
              </a:solidFill>
            </a:rPr>
            <a:t>rom 2-ft down to  cage botto</a:t>
          </a:r>
          <a:r>
            <a:rPr lang="en-US" sz="1100" baseline="0">
              <a:solidFill>
                <a:sysClr val="windowText" lastClr="000000"/>
              </a:solidFill>
            </a:rPr>
            <a:t>m (</a:t>
          </a:r>
          <a:r>
            <a:rPr lang="en-US" sz="1100">
              <a:solidFill>
                <a:sysClr val="windowText" lastClr="000000"/>
              </a:solidFill>
            </a:rPr>
            <a:t>7" above</a:t>
          </a:r>
          <a:r>
            <a:rPr lang="en-US" sz="1100" baseline="0">
              <a:solidFill>
                <a:sysClr val="windowText" lastClr="000000"/>
              </a:solidFill>
            </a:rPr>
            <a:t> shaft bottom):</a:t>
          </a:r>
          <a:endParaRPr lang="en-US" sz="1100">
            <a:solidFill>
              <a:sysClr val="windowText" lastClr="000000"/>
            </a:solidFill>
          </a:endParaRPr>
        </a:p>
        <a:p>
          <a:r>
            <a:rPr lang="en-US" sz="1100">
              <a:solidFill>
                <a:sysClr val="windowText" lastClr="000000"/>
              </a:solidFill>
            </a:rPr>
            <a:t>#5  Tie</a:t>
          </a:r>
          <a:r>
            <a:rPr lang="en-US" sz="1100" baseline="0">
              <a:solidFill>
                <a:sysClr val="windowText" lastClr="000000"/>
              </a:solidFill>
            </a:rPr>
            <a:t> B</a:t>
          </a:r>
          <a:r>
            <a:rPr lang="en-US" sz="1100">
              <a:solidFill>
                <a:sysClr val="windowText" lastClr="000000"/>
              </a:solidFill>
            </a:rPr>
            <a:t>ars spaced at DD (max) for Lt. shaft</a:t>
          </a:r>
        </a:p>
        <a:p>
          <a:r>
            <a:rPr lang="en-US" sz="1100">
              <a:solidFill>
                <a:sysClr val="windowText" lastClr="000000"/>
              </a:solidFill>
              <a:latin typeface="+mn-lt"/>
              <a:ea typeface="+mn-ea"/>
              <a:cs typeface="+mn-cs"/>
            </a:rPr>
            <a:t>#5  Tie Bars spaced at FD (max) for Rt. shaft</a:t>
          </a:r>
          <a:endParaRPr lang="en-US">
            <a:solidFill>
              <a:sysClr val="windowText" lastClr="000000"/>
            </a:solidFill>
          </a:endParaRPr>
        </a:p>
        <a:p>
          <a:endParaRPr lang="en-US" sz="1100">
            <a:solidFill>
              <a:sysClr val="windowText" lastClr="000000"/>
            </a:solidFill>
          </a:endParaRPr>
        </a:p>
        <a:p>
          <a:r>
            <a:rPr lang="en-US" sz="1100">
              <a:solidFill>
                <a:sysClr val="windowText" lastClr="000000"/>
              </a:solidFill>
            </a:rPr>
            <a:t>Vertical Bars (bar # tbd) equally</a:t>
          </a:r>
          <a:r>
            <a:rPr lang="en-US" sz="1100" baseline="0">
              <a:solidFill>
                <a:sysClr val="windowText" lastClr="000000"/>
              </a:solidFill>
            </a:rPr>
            <a:t> s</a:t>
          </a:r>
          <a:r>
            <a:rPr lang="en-US" sz="1100">
              <a:solidFill>
                <a:sysClr val="windowText" lastClr="000000"/>
              </a:solidFill>
            </a:rPr>
            <a:t>paced around shaft cage perimeter:</a:t>
          </a:r>
        </a:p>
        <a:p>
          <a:r>
            <a:rPr lang="en-US" sz="1100">
              <a:solidFill>
                <a:srgbClr val="FF0000"/>
              </a:solidFill>
            </a:rPr>
            <a:t>Left:</a:t>
          </a:r>
          <a:r>
            <a:rPr lang="en-US" sz="1100">
              <a:solidFill>
                <a:sysClr val="windowText" lastClr="000000"/>
              </a:solidFill>
            </a:rPr>
            <a:t>		</a:t>
          </a:r>
          <a:r>
            <a:rPr lang="en-US" sz="1100">
              <a:solidFill>
                <a:srgbClr val="FF0000"/>
              </a:solidFill>
            </a:rPr>
            <a:t>Right:</a:t>
          </a:r>
        </a:p>
        <a:p>
          <a:r>
            <a:rPr lang="en-US" sz="1100">
              <a:solidFill>
                <a:sysClr val="windowText" lastClr="000000"/>
              </a:solidFill>
            </a:rPr>
            <a:t>DC   (Lt.)</a:t>
          </a:r>
          <a:r>
            <a:rPr lang="en-US" sz="1100" baseline="0">
              <a:solidFill>
                <a:sysClr val="windowText" lastClr="000000"/>
              </a:solidFill>
            </a:rPr>
            <a:t> Vert #Bars	F</a:t>
          </a:r>
          <a:r>
            <a:rPr lang="en-US" sz="1100">
              <a:solidFill>
                <a:schemeClr val="dk1"/>
              </a:solidFill>
              <a:latin typeface="+mn-lt"/>
              <a:ea typeface="+mn-ea"/>
              <a:cs typeface="+mn-cs"/>
            </a:rPr>
            <a:t>C    (Rt.) Vert #Bars</a:t>
          </a:r>
          <a:endParaRPr lang="en-US" sz="1100">
            <a:solidFill>
              <a:sysClr val="windowText" lastClr="000000"/>
            </a:solidFill>
          </a:endParaRPr>
        </a:p>
        <a:p>
          <a:endParaRPr lang="en-US" sz="1100"/>
        </a:p>
      </xdr:txBody>
    </xdr:sp>
    <xdr:clientData/>
  </xdr:twoCellAnchor>
  <xdr:twoCellAnchor>
    <xdr:from>
      <xdr:col>0</xdr:col>
      <xdr:colOff>593912</xdr:colOff>
      <xdr:row>172</xdr:row>
      <xdr:rowOff>11208</xdr:rowOff>
    </xdr:from>
    <xdr:to>
      <xdr:col>9</xdr:col>
      <xdr:colOff>0</xdr:colOff>
      <xdr:row>192</xdr:row>
      <xdr:rowOff>2</xdr:rowOff>
    </xdr:to>
    <xdr:sp macro="" textlink="">
      <xdr:nvSpPr>
        <xdr:cNvPr id="5" name="TextBox 4">
          <a:extLst>
            <a:ext uri="{FF2B5EF4-FFF2-40B4-BE49-F238E27FC236}">
              <a16:creationId xmlns:a16="http://schemas.microsoft.com/office/drawing/2014/main" id="{00000000-0008-0000-0700-000005000000}"/>
            </a:ext>
          </a:extLst>
        </xdr:cNvPr>
        <xdr:cNvSpPr txBox="1"/>
      </xdr:nvSpPr>
      <xdr:spPr>
        <a:xfrm>
          <a:off x="251012" y="31291308"/>
          <a:ext cx="7087048" cy="3333974"/>
        </a:xfrm>
        <a:prstGeom prst="rect">
          <a:avLst/>
        </a:prstGeom>
        <a:solidFill>
          <a:srgbClr val="FFFFCC"/>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t"/>
        <a:lstStyle/>
        <a:p>
          <a:r>
            <a:rPr lang="en-US" sz="1100" b="1"/>
            <a:t>2013 Design Standard</a:t>
          </a:r>
          <a:r>
            <a:rPr lang="en-US" sz="1100"/>
            <a:t>  -  </a:t>
          </a:r>
          <a:r>
            <a:rPr lang="en-US" sz="1100">
              <a:solidFill>
                <a:srgbClr val="0000FF"/>
              </a:solidFill>
            </a:rPr>
            <a:t>CANTILLEVER SIGNS</a:t>
          </a:r>
          <a:r>
            <a:rPr lang="en-US" sz="1100" baseline="0"/>
            <a:t> </a:t>
          </a:r>
          <a:r>
            <a:rPr lang="en-US" sz="1100"/>
            <a:t> </a:t>
          </a:r>
          <a:r>
            <a:rPr lang="en-US" sz="1100" baseline="0"/>
            <a:t> -  Index 11310</a:t>
          </a:r>
          <a:endParaRPr lang="en-US" sz="1100">
            <a:solidFill>
              <a:srgbClr val="0000FF"/>
            </a:solidFill>
          </a:endParaRPr>
        </a:p>
        <a:p>
          <a:r>
            <a:rPr lang="en-US" sz="1100"/>
            <a:t>			</a:t>
          </a:r>
          <a:r>
            <a:rPr lang="en-US" sz="1100" baseline="0"/>
            <a:t> </a:t>
          </a:r>
          <a:r>
            <a:rPr lang="en-US" sz="1100" baseline="0">
              <a:solidFill>
                <a:srgbClr val="0000FF"/>
              </a:solidFill>
            </a:rPr>
            <a:t>Overhead Cantillever (OHC) Signs</a:t>
          </a:r>
          <a:endParaRPr lang="en-US" sz="1100">
            <a:solidFill>
              <a:srgbClr val="0000FF"/>
            </a:solidFill>
          </a:endParaRPr>
        </a:p>
        <a:p>
          <a:r>
            <a:rPr lang="en-US" sz="1100"/>
            <a:t>5" top cover (to 1st #5 Tie Bar),</a:t>
          </a:r>
        </a:p>
        <a:p>
          <a:r>
            <a:rPr lang="en-US" sz="1100"/>
            <a:t>7" bottom cover (to bottom #5 Tie Bar)</a:t>
          </a:r>
        </a:p>
        <a:p>
          <a:endParaRPr lang="en-US" sz="1100"/>
        </a:p>
        <a:p>
          <a:r>
            <a:rPr lang="en-US" sz="1100"/>
            <a:t>FA =  shaft length</a:t>
          </a:r>
        </a:p>
        <a:p>
          <a:pPr marL="0" marR="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latin typeface="+mn-lt"/>
              <a:ea typeface="+mn-ea"/>
              <a:cs typeface="+mn-cs"/>
            </a:rPr>
            <a:t>FB =  shaft dia.</a:t>
          </a:r>
          <a:endParaRPr lang="en-US" sz="1100" baseline="0">
            <a:solidFill>
              <a:schemeClr val="dk1"/>
            </a:solidFill>
            <a:latin typeface="+mn-lt"/>
            <a:ea typeface="+mn-ea"/>
            <a:cs typeface="+mn-cs"/>
          </a:endParaRPr>
        </a:p>
        <a:p>
          <a:endParaRPr lang="en-US" sz="1100"/>
        </a:p>
        <a:p>
          <a:r>
            <a:rPr lang="en-US" sz="1100">
              <a:solidFill>
                <a:schemeClr val="dk1"/>
              </a:solidFill>
              <a:latin typeface="+mn-lt"/>
              <a:ea typeface="+mn-ea"/>
              <a:cs typeface="+mn-cs"/>
            </a:rPr>
            <a:t>Vertical Bars (bar # - tbd) spaced equally</a:t>
          </a:r>
          <a:endParaRPr lang="en-US"/>
        </a:p>
        <a:p>
          <a:r>
            <a:rPr lang="en-US" sz="1100">
              <a:solidFill>
                <a:schemeClr val="dk1"/>
              </a:solidFill>
              <a:latin typeface="+mn-lt"/>
              <a:ea typeface="+mn-ea"/>
              <a:cs typeface="+mn-cs"/>
            </a:rPr>
            <a:t>FC  Bars</a:t>
          </a:r>
          <a:r>
            <a:rPr lang="en-US" sz="1100" baseline="0">
              <a:solidFill>
                <a:schemeClr val="dk1"/>
              </a:solidFill>
              <a:latin typeface="+mn-lt"/>
              <a:ea typeface="+mn-ea"/>
              <a:cs typeface="+mn-cs"/>
            </a:rPr>
            <a:t> (equally spaced around cage perimeter)</a:t>
          </a:r>
          <a:endParaRPr lang="en-US" sz="1100">
            <a:solidFill>
              <a:schemeClr val="dk1"/>
            </a:solidFill>
            <a:latin typeface="+mn-lt"/>
            <a:ea typeface="+mn-ea"/>
            <a:cs typeface="+mn-cs"/>
          </a:endParaRPr>
        </a:p>
        <a:p>
          <a:endParaRPr lang="en-US" sz="1100"/>
        </a:p>
        <a:p>
          <a:r>
            <a:rPr lang="en-US" sz="1100"/>
            <a:t>Top 2' of cage - #5 Tie Bars - 6 sp. @ 4"</a:t>
          </a:r>
        </a:p>
        <a:p>
          <a:endParaRPr lang="en-US" sz="1100"/>
        </a:p>
        <a:p>
          <a:r>
            <a:rPr lang="en-US" sz="1100"/>
            <a:t>2' 2" Lap on each Tie Bar</a:t>
          </a:r>
        </a:p>
        <a:p>
          <a:endParaRPr lang="en-US" sz="1100"/>
        </a:p>
        <a:p>
          <a:r>
            <a:rPr lang="en-US" sz="1100"/>
            <a:t>Tie Bars</a:t>
          </a:r>
          <a:r>
            <a:rPr lang="en-US" sz="1100" baseline="0"/>
            <a:t> - f</a:t>
          </a:r>
          <a:r>
            <a:rPr lang="en-US" sz="1100"/>
            <a:t>rom 2-ft down to 7" above</a:t>
          </a:r>
          <a:r>
            <a:rPr lang="en-US" sz="1100" baseline="0"/>
            <a:t> shaft bottom:</a:t>
          </a:r>
          <a:endParaRPr lang="en-US" sz="1100"/>
        </a:p>
        <a:p>
          <a:r>
            <a:rPr lang="en-US" sz="1100">
              <a:solidFill>
                <a:schemeClr val="dk1"/>
              </a:solidFill>
              <a:latin typeface="+mn-lt"/>
              <a:ea typeface="+mn-ea"/>
              <a:cs typeface="+mn-cs"/>
            </a:rPr>
            <a:t>#5  Tie Bars spaced at FD (max) </a:t>
          </a:r>
          <a:endParaRPr lang="en-US"/>
        </a:p>
        <a:p>
          <a:endParaRPr lang="en-US" sz="1100"/>
        </a:p>
        <a:p>
          <a:r>
            <a:rPr lang="en-US" sz="1100"/>
            <a:t> </a:t>
          </a:r>
        </a:p>
      </xdr:txBody>
    </xdr:sp>
    <xdr:clientData/>
  </xdr:twoCellAnchor>
  <xdr:twoCellAnchor>
    <xdr:from>
      <xdr:col>1</xdr:col>
      <xdr:colOff>1</xdr:colOff>
      <xdr:row>225</xdr:row>
      <xdr:rowOff>156881</xdr:rowOff>
    </xdr:from>
    <xdr:to>
      <xdr:col>9</xdr:col>
      <xdr:colOff>0</xdr:colOff>
      <xdr:row>254</xdr:row>
      <xdr:rowOff>0</xdr:rowOff>
    </xdr:to>
    <xdr:sp macro="" textlink="">
      <xdr:nvSpPr>
        <xdr:cNvPr id="6" name="TextBox 5">
          <a:extLst>
            <a:ext uri="{FF2B5EF4-FFF2-40B4-BE49-F238E27FC236}">
              <a16:creationId xmlns:a16="http://schemas.microsoft.com/office/drawing/2014/main" id="{00000000-0008-0000-0700-000006000000}"/>
            </a:ext>
          </a:extLst>
        </xdr:cNvPr>
        <xdr:cNvSpPr txBox="1"/>
      </xdr:nvSpPr>
      <xdr:spPr>
        <a:xfrm>
          <a:off x="251461" y="40420961"/>
          <a:ext cx="7086599" cy="4849459"/>
        </a:xfrm>
        <a:prstGeom prst="rect">
          <a:avLst/>
        </a:prstGeom>
        <a:solidFill>
          <a:srgbClr val="FFFFCC"/>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t"/>
        <a:lstStyle/>
        <a:p>
          <a:r>
            <a:rPr lang="en-US" sz="1100" b="1">
              <a:solidFill>
                <a:sysClr val="windowText" lastClr="000000"/>
              </a:solidFill>
            </a:rPr>
            <a:t>2013 &amp; 2010 Int. Design Standard</a:t>
          </a:r>
          <a:r>
            <a:rPr lang="en-US" sz="1100">
              <a:solidFill>
                <a:sysClr val="windowText" lastClr="000000"/>
              </a:solidFill>
            </a:rPr>
            <a:t>  -  </a:t>
          </a:r>
          <a:r>
            <a:rPr lang="en-US" sz="1100">
              <a:solidFill>
                <a:srgbClr val="0000FF"/>
              </a:solidFill>
            </a:rPr>
            <a:t>STEEL STRAIN POLE </a:t>
          </a:r>
          <a:r>
            <a:rPr lang="en-US" sz="1100">
              <a:solidFill>
                <a:sysClr val="windowText" lastClr="000000"/>
              </a:solidFill>
            </a:rPr>
            <a:t> -  I</a:t>
          </a:r>
          <a:r>
            <a:rPr lang="en-US" sz="1100" baseline="0">
              <a:solidFill>
                <a:sysClr val="windowText" lastClr="000000"/>
              </a:solidFill>
            </a:rPr>
            <a:t>ndex 17723</a:t>
          </a:r>
          <a:endParaRPr lang="en-US" sz="1100">
            <a:solidFill>
              <a:sysClr val="windowText" lastClr="000000"/>
            </a:solidFill>
          </a:endParaRPr>
        </a:p>
        <a:p>
          <a:endParaRPr lang="en-US" sz="1100">
            <a:solidFill>
              <a:sysClr val="windowText" lastClr="000000"/>
            </a:solidFill>
          </a:endParaRPr>
        </a:p>
        <a:p>
          <a:r>
            <a:rPr lang="en-US" sz="1100">
              <a:solidFill>
                <a:sysClr val="windowText" lastClr="000000"/>
              </a:solidFill>
              <a:latin typeface="+mn-lt"/>
              <a:ea typeface="+mn-ea"/>
              <a:cs typeface="+mn-cs"/>
            </a:rPr>
            <a:t>5" top cover (to 1st #5 Tie Bar),</a:t>
          </a:r>
          <a:endParaRPr lang="en-US">
            <a:solidFill>
              <a:sysClr val="windowText" lastClr="000000"/>
            </a:solidFill>
          </a:endParaRPr>
        </a:p>
        <a:p>
          <a:r>
            <a:rPr lang="en-US" sz="1100">
              <a:solidFill>
                <a:sysClr val="windowText" lastClr="000000"/>
              </a:solidFill>
              <a:latin typeface="+mn-lt"/>
              <a:ea typeface="+mn-ea"/>
              <a:cs typeface="+mn-cs"/>
            </a:rPr>
            <a:t>7" bottom cover (to bottom #5 Tie Bar)</a:t>
          </a:r>
          <a:endParaRPr lang="en-US">
            <a:solidFill>
              <a:sysClr val="windowText" lastClr="000000"/>
            </a:solidFill>
          </a:endParaRPr>
        </a:p>
        <a:p>
          <a:endParaRPr lang="en-US" sz="1100">
            <a:solidFill>
              <a:sysClr val="windowText" lastClr="000000"/>
            </a:solidFill>
            <a:latin typeface="+mn-lt"/>
            <a:ea typeface="+mn-ea"/>
            <a:cs typeface="+mn-cs"/>
          </a:endParaRPr>
        </a:p>
        <a:p>
          <a:pPr fontAlgn="base"/>
          <a:r>
            <a:rPr lang="en-US" sz="1100">
              <a:solidFill>
                <a:sysClr val="windowText" lastClr="000000"/>
              </a:solidFill>
              <a:latin typeface="+mn-lt"/>
              <a:ea typeface="+mn-ea"/>
              <a:cs typeface="+mn-cs"/>
            </a:rPr>
            <a:t>DB =  shaft dia.</a:t>
          </a:r>
          <a:endParaRPr lang="en-US" sz="1100" baseline="0">
            <a:solidFill>
              <a:sysClr val="windowText" lastClr="000000"/>
            </a:solidFill>
            <a:latin typeface="+mn-lt"/>
            <a:ea typeface="+mn-ea"/>
            <a:cs typeface="+mn-cs"/>
          </a:endParaRPr>
        </a:p>
        <a:p>
          <a:r>
            <a:rPr lang="en-US" sz="1100">
              <a:solidFill>
                <a:sysClr val="windowText" lastClr="000000"/>
              </a:solidFill>
              <a:latin typeface="+mn-lt"/>
              <a:ea typeface="+mn-ea"/>
              <a:cs typeface="+mn-cs"/>
            </a:rPr>
            <a:t>DA =  shaft length</a:t>
          </a:r>
          <a:endParaRPr lang="en-US">
            <a:solidFill>
              <a:sysClr val="windowText" lastClr="000000"/>
            </a:solidFill>
          </a:endParaRPr>
        </a:p>
        <a:p>
          <a:endParaRPr lang="en-US" sz="1100">
            <a:solidFill>
              <a:sysClr val="windowText" lastClr="000000"/>
            </a:solidFill>
            <a:latin typeface="+mn-lt"/>
            <a:ea typeface="+mn-ea"/>
            <a:cs typeface="+mn-cs"/>
          </a:endParaRPr>
        </a:p>
        <a:p>
          <a:r>
            <a:rPr lang="en-US" sz="1100">
              <a:solidFill>
                <a:sysClr val="windowText" lastClr="000000"/>
              </a:solidFill>
              <a:latin typeface="+mn-lt"/>
              <a:ea typeface="+mn-ea"/>
              <a:cs typeface="+mn-cs"/>
            </a:rPr>
            <a:t>Top 2' of cage - #5 Tie Bars - 6 sp. @ 4"</a:t>
          </a:r>
          <a:endParaRPr lang="en-US">
            <a:solidFill>
              <a:sysClr val="windowText" lastClr="000000"/>
            </a:solidFill>
          </a:endParaRPr>
        </a:p>
        <a:p>
          <a:endParaRPr lang="en-US" sz="1100">
            <a:solidFill>
              <a:sysClr val="windowText" lastClr="000000"/>
            </a:solidFill>
            <a:latin typeface="+mn-lt"/>
            <a:ea typeface="+mn-ea"/>
            <a:cs typeface="+mn-cs"/>
          </a:endParaRPr>
        </a:p>
        <a:p>
          <a:r>
            <a:rPr lang="en-US" sz="1100">
              <a:solidFill>
                <a:sysClr val="windowText" lastClr="000000"/>
              </a:solidFill>
              <a:latin typeface="+mn-lt"/>
              <a:ea typeface="+mn-ea"/>
              <a:cs typeface="+mn-cs"/>
            </a:rPr>
            <a:t>2' 2" Lap on each Tie Bar</a:t>
          </a:r>
          <a:endParaRPr lang="en-US">
            <a:solidFill>
              <a:sysClr val="windowText" lastClr="000000"/>
            </a:solidFill>
          </a:endParaRPr>
        </a:p>
        <a:p>
          <a:endParaRPr lang="en-US" sz="1100">
            <a:solidFill>
              <a:sysClr val="windowText" lastClr="000000"/>
            </a:solidFill>
            <a:latin typeface="+mn-lt"/>
            <a:ea typeface="+mn-ea"/>
            <a:cs typeface="+mn-cs"/>
          </a:endParaRPr>
        </a:p>
        <a:p>
          <a:r>
            <a:rPr lang="en-US" sz="1100">
              <a:solidFill>
                <a:sysClr val="windowText" lastClr="000000"/>
              </a:solidFill>
              <a:latin typeface="+mn-lt"/>
              <a:ea typeface="+mn-ea"/>
              <a:cs typeface="+mn-cs"/>
            </a:rPr>
            <a:t>Tie Bars</a:t>
          </a:r>
          <a:r>
            <a:rPr lang="en-US" sz="1100" baseline="0">
              <a:solidFill>
                <a:sysClr val="windowText" lastClr="000000"/>
              </a:solidFill>
              <a:latin typeface="+mn-lt"/>
              <a:ea typeface="+mn-ea"/>
              <a:cs typeface="+mn-cs"/>
            </a:rPr>
            <a:t> - f</a:t>
          </a:r>
          <a:r>
            <a:rPr lang="en-US" sz="1100">
              <a:solidFill>
                <a:sysClr val="windowText" lastClr="000000"/>
              </a:solidFill>
              <a:latin typeface="+mn-lt"/>
              <a:ea typeface="+mn-ea"/>
              <a:cs typeface="+mn-cs"/>
            </a:rPr>
            <a:t>rom 2-ft down to  cage bottom (7" above</a:t>
          </a:r>
          <a:r>
            <a:rPr lang="en-US" sz="1100" baseline="0">
              <a:solidFill>
                <a:sysClr val="windowText" lastClr="000000"/>
              </a:solidFill>
              <a:latin typeface="+mn-lt"/>
              <a:ea typeface="+mn-ea"/>
              <a:cs typeface="+mn-cs"/>
            </a:rPr>
            <a:t> shaft bottom):</a:t>
          </a:r>
          <a:endParaRPr lang="en-US" sz="1100">
            <a:solidFill>
              <a:sysClr val="windowText" lastClr="000000"/>
            </a:solidFill>
            <a:latin typeface="+mn-lt"/>
            <a:ea typeface="+mn-ea"/>
            <a:cs typeface="+mn-cs"/>
          </a:endParaRPr>
        </a:p>
        <a:p>
          <a:r>
            <a:rPr lang="en-US" sz="1100">
              <a:solidFill>
                <a:sysClr val="windowText" lastClr="000000"/>
              </a:solidFill>
              <a:latin typeface="+mn-lt"/>
              <a:ea typeface="+mn-ea"/>
              <a:cs typeface="+mn-cs"/>
            </a:rPr>
            <a:t>#5  Tie Bars spaced at  1.0 -ft  (12.0 in) max.  </a:t>
          </a:r>
        </a:p>
        <a:p>
          <a:endParaRPr lang="en-US" sz="1100">
            <a:solidFill>
              <a:sysClr val="windowText" lastClr="000000"/>
            </a:solidFill>
            <a:latin typeface="+mn-lt"/>
            <a:ea typeface="+mn-ea"/>
            <a:cs typeface="+mn-cs"/>
          </a:endParaRPr>
        </a:p>
        <a:p>
          <a:r>
            <a:rPr lang="en-US" sz="1100">
              <a:solidFill>
                <a:sysClr val="windowText" lastClr="000000"/>
              </a:solidFill>
              <a:latin typeface="+mn-lt"/>
              <a:ea typeface="+mn-ea"/>
              <a:cs typeface="+mn-cs"/>
            </a:rPr>
            <a:t>Vertical #11 Bars  (spaced equally around</a:t>
          </a:r>
          <a:r>
            <a:rPr lang="en-US" sz="1100" baseline="0">
              <a:solidFill>
                <a:sysClr val="windowText" lastClr="000000"/>
              </a:solidFill>
              <a:latin typeface="+mn-lt"/>
              <a:ea typeface="+mn-ea"/>
              <a:cs typeface="+mn-cs"/>
            </a:rPr>
            <a:t> cage perimeter)</a:t>
          </a:r>
          <a:endParaRPr lang="en-US">
            <a:solidFill>
              <a:sysClr val="windowText" lastClr="000000"/>
            </a:solidFill>
          </a:endParaRPr>
        </a:p>
        <a:p>
          <a:r>
            <a:rPr lang="en-US" sz="1100">
              <a:solidFill>
                <a:sysClr val="windowText" lastClr="000000"/>
              </a:solidFill>
              <a:latin typeface="+mn-lt"/>
              <a:ea typeface="+mn-ea"/>
              <a:cs typeface="+mn-cs"/>
            </a:rPr>
            <a:t>"No. of #11 bars" - listed on Table (Sht. 2) for various DA-DB configurations.</a:t>
          </a:r>
        </a:p>
        <a:p>
          <a:r>
            <a:rPr lang="en-US" sz="1100">
              <a:solidFill>
                <a:sysClr val="windowText" lastClr="000000"/>
              </a:solidFill>
              <a:latin typeface="+mn-lt"/>
              <a:ea typeface="+mn-ea"/>
              <a:cs typeface="+mn-cs"/>
            </a:rPr>
            <a:t>DA (ft)	DB (ft)	</a:t>
          </a:r>
          <a:r>
            <a:rPr lang="en-US" sz="1100" b="0">
              <a:solidFill>
                <a:sysClr val="windowText" lastClr="000000"/>
              </a:solidFill>
              <a:latin typeface="+mn-lt"/>
              <a:ea typeface="+mn-ea"/>
              <a:cs typeface="+mn-cs"/>
            </a:rPr>
            <a:t>No. of #11 bars</a:t>
          </a:r>
        </a:p>
        <a:p>
          <a:r>
            <a:rPr lang="en-US" sz="1100" b="0">
              <a:solidFill>
                <a:sysClr val="windowText" lastClr="000000"/>
              </a:solidFill>
              <a:latin typeface="+mn-lt"/>
              <a:ea typeface="+mn-ea"/>
              <a:cs typeface="+mn-cs"/>
            </a:rPr>
            <a:t>(Tables for 2013 &amp; 2010 Int. DS</a:t>
          </a:r>
          <a:r>
            <a:rPr lang="en-US" sz="1100" b="0" baseline="0">
              <a:solidFill>
                <a:sysClr val="windowText" lastClr="000000"/>
              </a:solidFill>
              <a:latin typeface="+mn-lt"/>
              <a:ea typeface="+mn-ea"/>
              <a:cs typeface="+mn-cs"/>
            </a:rPr>
            <a:t> are identical for the above 3 variables.)</a:t>
          </a:r>
        </a:p>
        <a:p>
          <a:endParaRPr lang="en-US" sz="1100" b="1" baseline="0">
            <a:solidFill>
              <a:sysClr val="windowText" lastClr="000000"/>
            </a:solidFill>
            <a:latin typeface="+mn-lt"/>
            <a:ea typeface="+mn-ea"/>
            <a:cs typeface="+mn-cs"/>
          </a:endParaRPr>
        </a:p>
        <a:p>
          <a:r>
            <a:rPr lang="en-US" sz="1100" b="1" baseline="0">
              <a:solidFill>
                <a:sysClr val="windowText" lastClr="000000"/>
              </a:solidFill>
              <a:latin typeface="+mn-lt"/>
              <a:ea typeface="+mn-ea"/>
              <a:cs typeface="+mn-cs"/>
            </a:rPr>
            <a:t>For 2010 DS:</a:t>
          </a:r>
        </a:p>
        <a:p>
          <a:r>
            <a:rPr lang="en-US" sz="1100" b="0" baseline="0">
              <a:solidFill>
                <a:sysClr val="windowText" lastClr="000000"/>
              </a:solidFill>
              <a:latin typeface="+mn-lt"/>
              <a:ea typeface="+mn-ea"/>
              <a:cs typeface="+mn-cs"/>
            </a:rPr>
            <a:t>#5 Tie Bar spacing is 1.5 ft  (18.0 in) max  (below std top 2' Tie Bar configuration).</a:t>
          </a:r>
        </a:p>
        <a:p>
          <a:endParaRPr lang="en-US" sz="1100" b="0" baseline="0">
            <a:solidFill>
              <a:sysClr val="windowText" lastClr="000000"/>
            </a:solidFill>
            <a:latin typeface="+mn-lt"/>
            <a:ea typeface="+mn-ea"/>
            <a:cs typeface="+mn-cs"/>
          </a:endParaRPr>
        </a:p>
        <a:p>
          <a:r>
            <a:rPr lang="en-US" sz="1100">
              <a:solidFill>
                <a:schemeClr val="dk1"/>
              </a:solidFill>
              <a:effectLst/>
              <a:latin typeface="+mn-lt"/>
              <a:ea typeface="+mn-ea"/>
              <a:cs typeface="+mn-cs"/>
            </a:rPr>
            <a:t>DA (ft)	DB (ft)	</a:t>
          </a:r>
          <a:r>
            <a:rPr lang="en-US" sz="1100" b="0">
              <a:solidFill>
                <a:schemeClr val="dk1"/>
              </a:solidFill>
              <a:effectLst/>
              <a:latin typeface="+mn-lt"/>
              <a:ea typeface="+mn-ea"/>
              <a:cs typeface="+mn-cs"/>
            </a:rPr>
            <a:t>No. of #11 bars</a:t>
          </a:r>
          <a:endParaRPr lang="en-US">
            <a:effectLst/>
          </a:endParaRPr>
        </a:p>
        <a:p>
          <a:r>
            <a:rPr lang="en-US" sz="1100" b="0" baseline="0">
              <a:solidFill>
                <a:sysClr val="windowText" lastClr="000000"/>
              </a:solidFill>
              <a:latin typeface="+mn-lt"/>
              <a:ea typeface="+mn-ea"/>
              <a:cs typeface="+mn-cs"/>
            </a:rPr>
            <a:t>2010 DS table variables differ from 2013 &amp; 2010 Int. DS tables. </a:t>
          </a:r>
          <a:endParaRPr lang="en-US" sz="1100" b="0">
            <a:solidFill>
              <a:sysClr val="windowText" lastClr="000000"/>
            </a:solidFill>
            <a:latin typeface="+mn-lt"/>
            <a:ea typeface="+mn-ea"/>
            <a:cs typeface="+mn-cs"/>
          </a:endParaRPr>
        </a:p>
      </xdr:txBody>
    </xdr:sp>
    <xdr:clientData/>
  </xdr:twoCellAnchor>
  <xdr:twoCellAnchor>
    <xdr:from>
      <xdr:col>0</xdr:col>
      <xdr:colOff>593912</xdr:colOff>
      <xdr:row>256</xdr:row>
      <xdr:rowOff>11206</xdr:rowOff>
    </xdr:from>
    <xdr:to>
      <xdr:col>8</xdr:col>
      <xdr:colOff>593911</xdr:colOff>
      <xdr:row>281</xdr:row>
      <xdr:rowOff>134470</xdr:rowOff>
    </xdr:to>
    <xdr:sp macro="" textlink="">
      <xdr:nvSpPr>
        <xdr:cNvPr id="7" name="TextBox 6">
          <a:extLst>
            <a:ext uri="{FF2B5EF4-FFF2-40B4-BE49-F238E27FC236}">
              <a16:creationId xmlns:a16="http://schemas.microsoft.com/office/drawing/2014/main" id="{00000000-0008-0000-0700-000007000000}"/>
            </a:ext>
          </a:extLst>
        </xdr:cNvPr>
        <xdr:cNvSpPr txBox="1"/>
      </xdr:nvSpPr>
      <xdr:spPr>
        <a:xfrm>
          <a:off x="251012" y="45616906"/>
          <a:ext cx="6743699" cy="4481904"/>
        </a:xfrm>
        <a:prstGeom prst="rect">
          <a:avLst/>
        </a:prstGeom>
        <a:solidFill>
          <a:srgbClr val="FFFFCC"/>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t"/>
        <a:lstStyle/>
        <a:p>
          <a:r>
            <a:rPr lang="en-US" sz="1100" b="1"/>
            <a:t>2013 &amp; 2010 Design Standards</a:t>
          </a:r>
          <a:r>
            <a:rPr lang="en-US" sz="1100"/>
            <a:t> -  </a:t>
          </a:r>
          <a:r>
            <a:rPr lang="en-US" sz="1100">
              <a:solidFill>
                <a:srgbClr val="0000FF"/>
              </a:solidFill>
            </a:rPr>
            <a:t>HIGH</a:t>
          </a:r>
          <a:r>
            <a:rPr lang="en-US" sz="1100" baseline="0">
              <a:solidFill>
                <a:srgbClr val="0000FF"/>
              </a:solidFill>
            </a:rPr>
            <a:t>MAST LIGHTING  </a:t>
          </a:r>
          <a:r>
            <a:rPr lang="en-US" sz="1100" baseline="0"/>
            <a:t>-</a:t>
          </a:r>
          <a:r>
            <a:rPr lang="en-US" sz="1100"/>
            <a:t>  I</a:t>
          </a:r>
          <a:r>
            <a:rPr lang="en-US" sz="1100" baseline="0"/>
            <a:t>ndex 17502</a:t>
          </a:r>
          <a:endParaRPr lang="en-US" sz="1100"/>
        </a:p>
        <a:p>
          <a:endParaRPr lang="en-US" sz="1100"/>
        </a:p>
        <a:p>
          <a:r>
            <a:rPr lang="en-US" sz="1100">
              <a:solidFill>
                <a:sysClr val="windowText" lastClr="000000"/>
              </a:solidFill>
              <a:latin typeface="+mn-lt"/>
              <a:ea typeface="+mn-ea"/>
              <a:cs typeface="+mn-cs"/>
            </a:rPr>
            <a:t>5" top cover (to 1st #5 Tie Bar),</a:t>
          </a:r>
          <a:endParaRPr lang="en-US">
            <a:solidFill>
              <a:sysClr val="windowText" lastClr="000000"/>
            </a:solidFill>
          </a:endParaRPr>
        </a:p>
        <a:p>
          <a:r>
            <a:rPr lang="en-US" sz="1100">
              <a:solidFill>
                <a:sysClr val="windowText" lastClr="000000"/>
              </a:solidFill>
              <a:latin typeface="+mn-lt"/>
              <a:ea typeface="+mn-ea"/>
              <a:cs typeface="+mn-cs"/>
            </a:rPr>
            <a:t>7" bottom cover (to bottom #5 Tie Bar)</a:t>
          </a:r>
          <a:endParaRPr lang="en-US">
            <a:solidFill>
              <a:sysClr val="windowText" lastClr="000000"/>
            </a:solidFill>
          </a:endParaRPr>
        </a:p>
        <a:p>
          <a:endParaRPr lang="en-US" sz="1100">
            <a:solidFill>
              <a:sysClr val="windowText" lastClr="000000"/>
            </a:solidFill>
            <a:latin typeface="+mn-lt"/>
            <a:ea typeface="+mn-ea"/>
            <a:cs typeface="+mn-cs"/>
          </a:endParaRPr>
        </a:p>
        <a:p>
          <a:pPr fontAlgn="base"/>
          <a:r>
            <a:rPr lang="en-US" sz="1100">
              <a:solidFill>
                <a:sysClr val="windowText" lastClr="000000"/>
              </a:solidFill>
              <a:latin typeface="+mn-lt"/>
              <a:ea typeface="+mn-ea"/>
              <a:cs typeface="+mn-cs"/>
            </a:rPr>
            <a:t>TABLE, Index 17502,</a:t>
          </a:r>
          <a:r>
            <a:rPr lang="en-US" sz="1100" baseline="0">
              <a:solidFill>
                <a:sysClr val="windowText" lastClr="000000"/>
              </a:solidFill>
              <a:latin typeface="+mn-lt"/>
              <a:ea typeface="+mn-ea"/>
              <a:cs typeface="+mn-cs"/>
            </a:rPr>
            <a:t> sht. 2</a:t>
          </a:r>
          <a:r>
            <a:rPr lang="en-US" sz="1100">
              <a:solidFill>
                <a:sysClr val="windowText" lastClr="000000"/>
              </a:solidFill>
              <a:latin typeface="+mn-lt"/>
              <a:ea typeface="+mn-ea"/>
              <a:cs typeface="+mn-cs"/>
            </a:rPr>
            <a:t>:</a:t>
          </a:r>
        </a:p>
        <a:p>
          <a:pPr fontAlgn="base"/>
          <a:r>
            <a:rPr lang="en-US" sz="1100">
              <a:solidFill>
                <a:sysClr val="windowText" lastClr="000000"/>
              </a:solidFill>
              <a:latin typeface="+mn-lt"/>
              <a:ea typeface="+mn-ea"/>
              <a:cs typeface="+mn-cs"/>
            </a:rPr>
            <a:t>"Shaft Diameter" =  shaft dia.</a:t>
          </a:r>
          <a:endParaRPr lang="en-US" sz="1100" baseline="0">
            <a:solidFill>
              <a:sysClr val="windowText" lastClr="000000"/>
            </a:solidFill>
            <a:latin typeface="+mn-lt"/>
            <a:ea typeface="+mn-ea"/>
            <a:cs typeface="+mn-cs"/>
          </a:endParaRPr>
        </a:p>
        <a:p>
          <a:r>
            <a:rPr lang="en-US" sz="1100">
              <a:solidFill>
                <a:sysClr val="windowText" lastClr="000000"/>
              </a:solidFill>
              <a:latin typeface="+mn-lt"/>
              <a:ea typeface="+mn-ea"/>
              <a:cs typeface="+mn-cs"/>
            </a:rPr>
            <a:t>"Shaft Length" =  shaft length</a:t>
          </a:r>
        </a:p>
        <a:p>
          <a:r>
            <a:rPr lang="en-US" sz="1100">
              <a:solidFill>
                <a:sysClr val="windowText" lastClr="000000"/>
              </a:solidFill>
              <a:latin typeface="+mn-lt"/>
              <a:ea typeface="+mn-ea"/>
              <a:cs typeface="+mn-cs"/>
            </a:rPr>
            <a:t>"Longitudinal</a:t>
          </a:r>
          <a:r>
            <a:rPr lang="en-US" sz="1100" baseline="0">
              <a:solidFill>
                <a:sysClr val="windowText" lastClr="000000"/>
              </a:solidFill>
              <a:latin typeface="+mn-lt"/>
              <a:ea typeface="+mn-ea"/>
              <a:cs typeface="+mn-cs"/>
            </a:rPr>
            <a:t> Reinforcement"  No of #11 vertical bars</a:t>
          </a:r>
          <a:endParaRPr lang="en-US">
            <a:solidFill>
              <a:sysClr val="windowText" lastClr="000000"/>
            </a:solidFill>
          </a:endParaRPr>
        </a:p>
        <a:p>
          <a:endParaRPr lang="en-US" sz="1100">
            <a:solidFill>
              <a:sysClr val="windowText" lastClr="000000"/>
            </a:solidFill>
            <a:latin typeface="+mn-lt"/>
            <a:ea typeface="+mn-ea"/>
            <a:cs typeface="+mn-cs"/>
          </a:endParaRPr>
        </a:p>
        <a:p>
          <a:r>
            <a:rPr lang="en-US" sz="1100">
              <a:solidFill>
                <a:sysClr val="windowText" lastClr="000000"/>
              </a:solidFill>
              <a:latin typeface="+mn-lt"/>
              <a:ea typeface="+mn-ea"/>
              <a:cs typeface="+mn-cs"/>
            </a:rPr>
            <a:t>Top 2' of cage - #5 Tie Bars - 6 sp. @ 4"</a:t>
          </a:r>
          <a:endParaRPr lang="en-US">
            <a:solidFill>
              <a:sysClr val="windowText" lastClr="000000"/>
            </a:solidFill>
          </a:endParaRPr>
        </a:p>
        <a:p>
          <a:endParaRPr lang="en-US" sz="1100">
            <a:solidFill>
              <a:sysClr val="windowText" lastClr="000000"/>
            </a:solidFill>
            <a:latin typeface="+mn-lt"/>
            <a:ea typeface="+mn-ea"/>
            <a:cs typeface="+mn-cs"/>
          </a:endParaRPr>
        </a:p>
        <a:p>
          <a:r>
            <a:rPr lang="en-US" sz="1100">
              <a:solidFill>
                <a:sysClr val="windowText" lastClr="000000"/>
              </a:solidFill>
              <a:latin typeface="+mn-lt"/>
              <a:ea typeface="+mn-ea"/>
              <a:cs typeface="+mn-cs"/>
            </a:rPr>
            <a:t>2' 2" Lap on each Tie Bar</a:t>
          </a:r>
          <a:endParaRPr lang="en-US">
            <a:solidFill>
              <a:sysClr val="windowText" lastClr="000000"/>
            </a:solidFill>
          </a:endParaRPr>
        </a:p>
        <a:p>
          <a:endParaRPr lang="en-US" sz="1100">
            <a:solidFill>
              <a:sysClr val="windowText" lastClr="000000"/>
            </a:solidFill>
            <a:latin typeface="+mn-lt"/>
            <a:ea typeface="+mn-ea"/>
            <a:cs typeface="+mn-cs"/>
          </a:endParaRPr>
        </a:p>
        <a:p>
          <a:r>
            <a:rPr lang="en-US" sz="1100">
              <a:solidFill>
                <a:sysClr val="windowText" lastClr="000000"/>
              </a:solidFill>
              <a:latin typeface="+mn-lt"/>
              <a:ea typeface="+mn-ea"/>
              <a:cs typeface="+mn-cs"/>
            </a:rPr>
            <a:t>Tie Bars</a:t>
          </a:r>
          <a:r>
            <a:rPr lang="en-US" sz="1100" baseline="0">
              <a:solidFill>
                <a:sysClr val="windowText" lastClr="000000"/>
              </a:solidFill>
              <a:latin typeface="+mn-lt"/>
              <a:ea typeface="+mn-ea"/>
              <a:cs typeface="+mn-cs"/>
            </a:rPr>
            <a:t> - f</a:t>
          </a:r>
          <a:r>
            <a:rPr lang="en-US" sz="1100">
              <a:solidFill>
                <a:sysClr val="windowText" lastClr="000000"/>
              </a:solidFill>
              <a:latin typeface="+mn-lt"/>
              <a:ea typeface="+mn-ea"/>
              <a:cs typeface="+mn-cs"/>
            </a:rPr>
            <a:t>rom 2-ft down to  bottom of cage (7" above</a:t>
          </a:r>
          <a:r>
            <a:rPr lang="en-US" sz="1100" baseline="0">
              <a:solidFill>
                <a:sysClr val="windowText" lastClr="000000"/>
              </a:solidFill>
              <a:latin typeface="+mn-lt"/>
              <a:ea typeface="+mn-ea"/>
              <a:cs typeface="+mn-cs"/>
            </a:rPr>
            <a:t> shaft bottom):</a:t>
          </a:r>
          <a:endParaRPr lang="en-US" sz="1100">
            <a:solidFill>
              <a:sysClr val="windowText" lastClr="000000"/>
            </a:solidFill>
            <a:latin typeface="+mn-lt"/>
            <a:ea typeface="+mn-ea"/>
            <a:cs typeface="+mn-cs"/>
          </a:endParaRPr>
        </a:p>
        <a:p>
          <a:r>
            <a:rPr lang="en-US" sz="1100">
              <a:solidFill>
                <a:sysClr val="windowText" lastClr="000000"/>
              </a:solidFill>
              <a:latin typeface="+mn-lt"/>
              <a:ea typeface="+mn-ea"/>
              <a:cs typeface="+mn-cs"/>
            </a:rPr>
            <a:t>#5  Tie Bars spacing =   </a:t>
          </a:r>
          <a:r>
            <a:rPr lang="en-US" sz="1100" b="1">
              <a:solidFill>
                <a:sysClr val="windowText" lastClr="000000"/>
              </a:solidFill>
              <a:latin typeface="+mn-lt"/>
              <a:ea typeface="+mn-ea"/>
              <a:cs typeface="+mn-cs"/>
            </a:rPr>
            <a:t>18"</a:t>
          </a:r>
          <a:r>
            <a:rPr lang="en-US" sz="1100">
              <a:solidFill>
                <a:sysClr val="windowText" lastClr="000000"/>
              </a:solidFill>
              <a:latin typeface="+mn-lt"/>
              <a:ea typeface="+mn-ea"/>
              <a:cs typeface="+mn-cs"/>
            </a:rPr>
            <a:t> (</a:t>
          </a:r>
          <a:r>
            <a:rPr lang="en-US" sz="1100" b="0">
              <a:solidFill>
                <a:sysClr val="windowText" lastClr="000000"/>
              </a:solidFill>
              <a:latin typeface="+mn-lt"/>
              <a:ea typeface="+mn-ea"/>
              <a:cs typeface="+mn-cs"/>
            </a:rPr>
            <a:t>1.5 ft) </a:t>
          </a:r>
          <a:r>
            <a:rPr lang="en-US" sz="1100" b="1">
              <a:solidFill>
                <a:sysClr val="windowText" lastClr="000000"/>
              </a:solidFill>
              <a:latin typeface="+mn-lt"/>
              <a:ea typeface="+mn-ea"/>
              <a:cs typeface="+mn-cs"/>
            </a:rPr>
            <a:t>max</a:t>
          </a:r>
          <a:r>
            <a:rPr lang="en-US" sz="1100" b="0">
              <a:solidFill>
                <a:sysClr val="windowText" lastClr="000000"/>
              </a:solidFill>
              <a:latin typeface="+mn-lt"/>
              <a:ea typeface="+mn-ea"/>
              <a:cs typeface="+mn-cs"/>
            </a:rPr>
            <a:t>.</a:t>
          </a:r>
        </a:p>
        <a:p>
          <a:endParaRPr lang="en-US" sz="1100">
            <a:solidFill>
              <a:sysClr val="windowText" lastClr="000000"/>
            </a:solidFill>
            <a:latin typeface="+mn-lt"/>
            <a:ea typeface="+mn-ea"/>
            <a:cs typeface="+mn-cs"/>
          </a:endParaRPr>
        </a:p>
        <a:p>
          <a:r>
            <a:rPr lang="en-US" sz="1100">
              <a:solidFill>
                <a:sysClr val="windowText" lastClr="000000"/>
              </a:solidFill>
              <a:latin typeface="+mn-lt"/>
              <a:ea typeface="+mn-ea"/>
              <a:cs typeface="+mn-cs"/>
            </a:rPr>
            <a:t>Vertical #11 Bars  (spaced equally around</a:t>
          </a:r>
          <a:r>
            <a:rPr lang="en-US" sz="1100" baseline="0">
              <a:solidFill>
                <a:sysClr val="windowText" lastClr="000000"/>
              </a:solidFill>
              <a:latin typeface="+mn-lt"/>
              <a:ea typeface="+mn-ea"/>
              <a:cs typeface="+mn-cs"/>
            </a:rPr>
            <a:t> cage perimeter)</a:t>
          </a:r>
          <a:endParaRPr lang="en-US">
            <a:solidFill>
              <a:sysClr val="windowText" lastClr="000000"/>
            </a:solidFill>
          </a:endParaRPr>
        </a:p>
        <a:p>
          <a:r>
            <a:rPr lang="en-US" sz="1100">
              <a:solidFill>
                <a:sysClr val="windowText" lastClr="000000"/>
              </a:solidFill>
              <a:latin typeface="+mn-lt"/>
              <a:ea typeface="+mn-ea"/>
              <a:cs typeface="+mn-cs"/>
            </a:rPr>
            <a:t>"No. of #11 bars" - listed on Table (Sht. 2) for various Length-Dia configurations.</a:t>
          </a:r>
        </a:p>
        <a:p>
          <a:r>
            <a:rPr lang="en-US" sz="1100">
              <a:solidFill>
                <a:sysClr val="windowText" lastClr="000000"/>
              </a:solidFill>
              <a:latin typeface="+mn-lt"/>
              <a:ea typeface="+mn-ea"/>
              <a:cs typeface="+mn-cs"/>
            </a:rPr>
            <a:t>Dia. (ft)	Length (ft)	</a:t>
          </a:r>
          <a:r>
            <a:rPr lang="en-US" sz="1100" b="0">
              <a:solidFill>
                <a:sysClr val="windowText" lastClr="000000"/>
              </a:solidFill>
              <a:latin typeface="+mn-lt"/>
              <a:ea typeface="+mn-ea"/>
              <a:cs typeface="+mn-cs"/>
            </a:rPr>
            <a:t>No. of #11 bars</a:t>
          </a:r>
        </a:p>
        <a:p>
          <a:endParaRPr lang="en-US" sz="1100" b="0">
            <a:solidFill>
              <a:sysClr val="windowText" lastClr="000000"/>
            </a:solidFill>
            <a:latin typeface="+mn-lt"/>
            <a:ea typeface="+mn-ea"/>
            <a:cs typeface="+mn-cs"/>
          </a:endParaRPr>
        </a:p>
        <a:p>
          <a:r>
            <a:rPr lang="en-US" sz="1100" b="1">
              <a:solidFill>
                <a:sysClr val="windowText" lastClr="000000"/>
              </a:solidFill>
              <a:latin typeface="+mn-lt"/>
              <a:ea typeface="+mn-ea"/>
              <a:cs typeface="+mn-cs"/>
            </a:rPr>
            <a:t>2010 Int.</a:t>
          </a:r>
          <a:r>
            <a:rPr lang="en-US" sz="1100" b="1" baseline="0">
              <a:solidFill>
                <a:sysClr val="windowText" lastClr="000000"/>
              </a:solidFill>
              <a:latin typeface="+mn-lt"/>
              <a:ea typeface="+mn-ea"/>
              <a:cs typeface="+mn-cs"/>
            </a:rPr>
            <a:t> </a:t>
          </a:r>
          <a:r>
            <a:rPr lang="en-US" sz="1100" b="1">
              <a:solidFill>
                <a:schemeClr val="dk1"/>
              </a:solidFill>
              <a:effectLst/>
              <a:latin typeface="+mn-lt"/>
              <a:ea typeface="+mn-ea"/>
              <a:cs typeface="+mn-cs"/>
            </a:rPr>
            <a:t>Design Standard</a:t>
          </a:r>
          <a:r>
            <a:rPr lang="en-US" sz="1100">
              <a:solidFill>
                <a:schemeClr val="dk1"/>
              </a:solidFill>
              <a:effectLst/>
              <a:latin typeface="+mn-lt"/>
              <a:ea typeface="+mn-ea"/>
              <a:cs typeface="+mn-cs"/>
            </a:rPr>
            <a:t> -  </a:t>
          </a:r>
          <a:r>
            <a:rPr lang="en-US" sz="1100">
              <a:solidFill>
                <a:srgbClr val="0000FF"/>
              </a:solidFill>
              <a:effectLst/>
              <a:latin typeface="+mn-lt"/>
              <a:ea typeface="+mn-ea"/>
              <a:cs typeface="+mn-cs"/>
            </a:rPr>
            <a:t>HIGH</a:t>
          </a:r>
          <a:r>
            <a:rPr lang="en-US" sz="1100" baseline="0">
              <a:solidFill>
                <a:srgbClr val="0000FF"/>
              </a:solidFill>
              <a:effectLst/>
              <a:latin typeface="+mn-lt"/>
              <a:ea typeface="+mn-ea"/>
              <a:cs typeface="+mn-cs"/>
            </a:rPr>
            <a:t>MAST LIGHTING  </a:t>
          </a:r>
          <a:r>
            <a:rPr lang="en-US" sz="1100" baseline="0">
              <a:solidFill>
                <a:schemeClr val="dk1"/>
              </a:solidFill>
              <a:effectLst/>
              <a:latin typeface="+mn-lt"/>
              <a:ea typeface="+mn-ea"/>
              <a:cs typeface="+mn-cs"/>
            </a:rPr>
            <a:t>-</a:t>
          </a:r>
          <a:r>
            <a:rPr lang="en-US" sz="1100">
              <a:solidFill>
                <a:schemeClr val="dk1"/>
              </a:solidFill>
              <a:effectLst/>
              <a:latin typeface="+mn-lt"/>
              <a:ea typeface="+mn-ea"/>
              <a:cs typeface="+mn-cs"/>
            </a:rPr>
            <a:t>  I</a:t>
          </a:r>
          <a:r>
            <a:rPr lang="en-US" sz="1100" baseline="0">
              <a:solidFill>
                <a:schemeClr val="dk1"/>
              </a:solidFill>
              <a:effectLst/>
              <a:latin typeface="+mn-lt"/>
              <a:ea typeface="+mn-ea"/>
              <a:cs typeface="+mn-cs"/>
            </a:rPr>
            <a:t>ndex 17502</a:t>
          </a:r>
          <a:endParaRPr lang="en-US" sz="1100" b="1" baseline="0">
            <a:solidFill>
              <a:sysClr val="windowText" lastClr="000000"/>
            </a:solidFill>
            <a:latin typeface="+mn-lt"/>
            <a:ea typeface="+mn-ea"/>
            <a:cs typeface="+mn-cs"/>
          </a:endParaRPr>
        </a:p>
        <a:p>
          <a:r>
            <a:rPr lang="en-US" sz="1100" b="0" baseline="0">
              <a:solidFill>
                <a:sysClr val="windowText" lastClr="000000"/>
              </a:solidFill>
              <a:latin typeface="+mn-lt"/>
              <a:ea typeface="+mn-ea"/>
              <a:cs typeface="+mn-cs"/>
            </a:rPr>
            <a:t>Tie Bar spacing =  </a:t>
          </a:r>
          <a:r>
            <a:rPr lang="en-US" sz="1100" b="1" baseline="0">
              <a:solidFill>
                <a:sysClr val="windowText" lastClr="000000"/>
              </a:solidFill>
              <a:latin typeface="+mn-lt"/>
              <a:ea typeface="+mn-ea"/>
              <a:cs typeface="+mn-cs"/>
            </a:rPr>
            <a:t>12" </a:t>
          </a:r>
          <a:r>
            <a:rPr lang="en-US" sz="1100" b="0" baseline="0">
              <a:solidFill>
                <a:sysClr val="windowText" lastClr="000000"/>
              </a:solidFill>
              <a:latin typeface="+mn-lt"/>
              <a:ea typeface="+mn-ea"/>
              <a:cs typeface="+mn-cs"/>
            </a:rPr>
            <a:t>1.0 ft) </a:t>
          </a:r>
          <a:r>
            <a:rPr lang="en-US" sz="1100" b="1" baseline="0">
              <a:solidFill>
                <a:sysClr val="windowText" lastClr="000000"/>
              </a:solidFill>
              <a:latin typeface="+mn-lt"/>
              <a:ea typeface="+mn-ea"/>
              <a:cs typeface="+mn-cs"/>
            </a:rPr>
            <a:t>max</a:t>
          </a:r>
          <a:r>
            <a:rPr lang="en-US" sz="1100" b="0" baseline="0">
              <a:solidFill>
                <a:sysClr val="windowText" lastClr="000000"/>
              </a:solidFill>
              <a:latin typeface="+mn-lt"/>
              <a:ea typeface="+mn-ea"/>
              <a:cs typeface="+mn-cs"/>
            </a:rPr>
            <a:t>, rather than 18".</a:t>
          </a:r>
          <a:endParaRPr lang="en-US" sz="1100" b="0">
            <a:solidFill>
              <a:sysClr val="windowText" lastClr="000000"/>
            </a:solidFill>
            <a:latin typeface="+mn-lt"/>
            <a:ea typeface="+mn-ea"/>
            <a:cs typeface="+mn-cs"/>
          </a:endParaRPr>
        </a:p>
      </xdr:txBody>
    </xdr:sp>
    <xdr:clientData/>
  </xdr:twoCellAnchor>
  <xdr:twoCellAnchor>
    <xdr:from>
      <xdr:col>1</xdr:col>
      <xdr:colOff>11205</xdr:colOff>
      <xdr:row>136</xdr:row>
      <xdr:rowOff>0</xdr:rowOff>
    </xdr:from>
    <xdr:to>
      <xdr:col>11</xdr:col>
      <xdr:colOff>11206</xdr:colOff>
      <xdr:row>142</xdr:row>
      <xdr:rowOff>112058</xdr:rowOff>
    </xdr:to>
    <xdr:sp macro="" textlink="">
      <xdr:nvSpPr>
        <xdr:cNvPr id="8" name="TextBox 7">
          <a:extLst>
            <a:ext uri="{FF2B5EF4-FFF2-40B4-BE49-F238E27FC236}">
              <a16:creationId xmlns:a16="http://schemas.microsoft.com/office/drawing/2014/main" id="{00000000-0008-0000-0700-000008000000}"/>
            </a:ext>
          </a:extLst>
        </xdr:cNvPr>
        <xdr:cNvSpPr txBox="1"/>
      </xdr:nvSpPr>
      <xdr:spPr>
        <a:xfrm>
          <a:off x="262665" y="24856440"/>
          <a:ext cx="8961121" cy="1300778"/>
        </a:xfrm>
        <a:prstGeom prst="rect">
          <a:avLst/>
        </a:prstGeom>
        <a:solidFill>
          <a:srgbClr val="EEFFEE"/>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t"/>
        <a:lstStyle/>
        <a:p>
          <a:r>
            <a:rPr lang="en-US" sz="1100" b="1"/>
            <a:t>CSL tubes</a:t>
          </a:r>
          <a:r>
            <a:rPr lang="en-US" sz="1100"/>
            <a:t>:  currently required for all  FDOT</a:t>
          </a:r>
          <a:r>
            <a:rPr lang="en-US" sz="1100" baseline="0"/>
            <a:t> d</a:t>
          </a:r>
          <a:r>
            <a:rPr lang="en-US" sz="1100"/>
            <a:t>rilled shafts)</a:t>
          </a:r>
        </a:p>
        <a:p>
          <a:endParaRPr lang="en-US" sz="1100"/>
        </a:p>
        <a:p>
          <a:r>
            <a:rPr lang="en-US" sz="1100"/>
            <a:t>Qty = 4 tubes min.</a:t>
          </a:r>
        </a:p>
        <a:p>
          <a:r>
            <a:rPr lang="en-US" sz="1100"/>
            <a:t>For shafts dia. &gt; 4 ft,  1 CSL tube per 1-ft of diameter.</a:t>
          </a:r>
        </a:p>
        <a:p>
          <a:r>
            <a:rPr lang="en-US" sz="1100"/>
            <a:t>Sched. 40 tubing</a:t>
          </a:r>
          <a:r>
            <a:rPr lang="en-US" sz="1100" baseline="0"/>
            <a:t> </a:t>
          </a:r>
          <a:r>
            <a:rPr lang="en-US" sz="1100"/>
            <a:t>  </a:t>
          </a:r>
          <a:r>
            <a:rPr lang="en-US" sz="1100">
              <a:solidFill>
                <a:schemeClr val="dk1"/>
              </a:solidFill>
              <a:latin typeface="+mn-lt"/>
              <a:ea typeface="+mn-ea"/>
              <a:cs typeface="+mn-cs"/>
            </a:rPr>
            <a:t>O.D. = 1.9 in   </a:t>
          </a:r>
          <a:r>
            <a:rPr lang="en-US" sz="1100"/>
            <a:t>  (OD=1.9"/12 = 0.16 ft)</a:t>
          </a:r>
        </a:p>
        <a:p>
          <a:r>
            <a:rPr lang="en-US" sz="1100"/>
            <a:t>CSL tube Length = full shaft length</a:t>
          </a:r>
          <a:r>
            <a:rPr lang="en-US" sz="1100" baseline="0"/>
            <a:t> </a:t>
          </a:r>
          <a:r>
            <a:rPr lang="en-US" sz="1100"/>
            <a:t>(sheet calcs</a:t>
          </a:r>
          <a:r>
            <a:rPr lang="en-US" sz="1100" baseline="0"/>
            <a:t> do not</a:t>
          </a:r>
          <a:r>
            <a:rPr lang="en-US" sz="1100"/>
            <a:t> include length extending above the top of shaft)</a:t>
          </a:r>
        </a:p>
      </xdr:txBody>
    </xdr:sp>
    <xdr:clientData/>
  </xdr:twoCellAnchor>
  <xdr:twoCellAnchor>
    <xdr:from>
      <xdr:col>32</xdr:col>
      <xdr:colOff>67236</xdr:colOff>
      <xdr:row>99</xdr:row>
      <xdr:rowOff>56028</xdr:rowOff>
    </xdr:from>
    <xdr:to>
      <xdr:col>49</xdr:col>
      <xdr:colOff>549089</xdr:colOff>
      <xdr:row>126</xdr:row>
      <xdr:rowOff>89646</xdr:rowOff>
    </xdr:to>
    <xdr:graphicFrame macro="">
      <xdr:nvGraphicFramePr>
        <xdr:cNvPr id="9" name="Chart 8">
          <a:extLst>
            <a:ext uri="{FF2B5EF4-FFF2-40B4-BE49-F238E27FC236}">
              <a16:creationId xmlns:a16="http://schemas.microsoft.com/office/drawing/2014/main" id="{00000000-0008-0000-07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31751</xdr:colOff>
      <xdr:row>23</xdr:row>
      <xdr:rowOff>163285</xdr:rowOff>
    </xdr:from>
    <xdr:to>
      <xdr:col>15</xdr:col>
      <xdr:colOff>158751</xdr:colOff>
      <xdr:row>59</xdr:row>
      <xdr:rowOff>13073</xdr:rowOff>
    </xdr:to>
    <xdr:graphicFrame macro="">
      <xdr:nvGraphicFramePr>
        <xdr:cNvPr id="10" name="Chart 9">
          <a:extLst>
            <a:ext uri="{FF2B5EF4-FFF2-40B4-BE49-F238E27FC236}">
              <a16:creationId xmlns:a16="http://schemas.microsoft.com/office/drawing/2014/main" id="{00000000-0008-0000-07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123</xdr:col>
      <xdr:colOff>25400</xdr:colOff>
      <xdr:row>17</xdr:row>
      <xdr:rowOff>12700</xdr:rowOff>
    </xdr:from>
    <xdr:to>
      <xdr:col>132</xdr:col>
      <xdr:colOff>53975</xdr:colOff>
      <xdr:row>52</xdr:row>
      <xdr:rowOff>82551</xdr:rowOff>
    </xdr:to>
    <xdr:sp macro="" textlink="">
      <xdr:nvSpPr>
        <xdr:cNvPr id="11" name="TextBox 10">
          <a:extLst>
            <a:ext uri="{FF2B5EF4-FFF2-40B4-BE49-F238E27FC236}">
              <a16:creationId xmlns:a16="http://schemas.microsoft.com/office/drawing/2014/main" id="{00000000-0008-0000-0700-00000B000000}"/>
            </a:ext>
          </a:extLst>
        </xdr:cNvPr>
        <xdr:cNvSpPr txBox="1"/>
      </xdr:nvSpPr>
      <xdr:spPr>
        <a:xfrm>
          <a:off x="88874600" y="3670300"/>
          <a:ext cx="5652135" cy="6623051"/>
        </a:xfrm>
        <a:prstGeom prst="rect">
          <a:avLst/>
        </a:prstGeom>
        <a:solidFill>
          <a:srgbClr val="FFFFCC"/>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t"/>
        <a:lstStyle/>
        <a:p>
          <a:r>
            <a:rPr lang="en-US" sz="1100" b="1">
              <a:solidFill>
                <a:schemeClr val="dk1"/>
              </a:solidFill>
              <a:effectLst/>
              <a:latin typeface="+mn-lt"/>
              <a:ea typeface="+mn-ea"/>
              <a:cs typeface="+mn-cs"/>
            </a:rPr>
            <a:t>2016 </a:t>
          </a:r>
          <a:r>
            <a:rPr lang="en-US" sz="1100" b="1"/>
            <a:t>Design Standards (DS)</a:t>
          </a:r>
          <a:r>
            <a:rPr lang="en-US" sz="1100"/>
            <a:t>  -   </a:t>
          </a:r>
          <a:r>
            <a:rPr lang="en-US" sz="1100">
              <a:solidFill>
                <a:srgbClr val="0000FF"/>
              </a:solidFill>
            </a:rPr>
            <a:t>MAST ARMS  </a:t>
          </a:r>
          <a:r>
            <a:rPr lang="en-US" sz="1100"/>
            <a:t>-  Index 17745 &amp; 17743    </a:t>
          </a:r>
          <a:r>
            <a:rPr lang="en-US" sz="1100">
              <a:solidFill>
                <a:srgbClr val="FF0000"/>
              </a:solidFill>
            </a:rPr>
            <a:t>rev 11/29/16</a:t>
          </a:r>
        </a:p>
        <a:p>
          <a:endParaRPr lang="en-US" sz="1100"/>
        </a:p>
        <a:p>
          <a:r>
            <a:rPr lang="en-US" sz="1100">
              <a:solidFill>
                <a:schemeClr val="dk1"/>
              </a:solidFill>
              <a:latin typeface="+mn-lt"/>
              <a:ea typeface="+mn-ea"/>
              <a:cs typeface="+mn-cs"/>
            </a:rPr>
            <a:t>DA =  shaft length (ft)</a:t>
          </a:r>
          <a:endParaRPr lang="en-US" sz="1100"/>
        </a:p>
        <a:p>
          <a:r>
            <a:rPr lang="en-US" sz="1100"/>
            <a:t>DB =  shaft dia. (ft)</a:t>
          </a:r>
        </a:p>
        <a:p>
          <a:endParaRPr lang="en-US" sz="1100"/>
        </a:p>
        <a:p>
          <a:r>
            <a:rPr lang="en-US" sz="1100">
              <a:solidFill>
                <a:schemeClr val="dk1"/>
              </a:solidFill>
              <a:effectLst/>
              <a:latin typeface="+mn-lt"/>
              <a:ea typeface="+mn-ea"/>
              <a:cs typeface="+mn-cs"/>
            </a:rPr>
            <a:t>VERT. BARS:</a:t>
          </a:r>
        </a:p>
        <a:p>
          <a:r>
            <a:rPr lang="en-US" sz="1100">
              <a:solidFill>
                <a:schemeClr val="dk1"/>
              </a:solidFill>
              <a:effectLst/>
              <a:latin typeface="+mn-lt"/>
              <a:ea typeface="+mn-ea"/>
              <a:cs typeface="+mn-cs"/>
            </a:rPr>
            <a:t>RB  #RA bars,</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equally spaced</a:t>
          </a:r>
          <a:endParaRPr lang="en-US">
            <a:effectLst/>
          </a:endParaRPr>
        </a:p>
        <a:p>
          <a:r>
            <a:rPr lang="en-US" sz="1100" baseline="0">
              <a:solidFill>
                <a:schemeClr val="bg1">
                  <a:lumMod val="50000"/>
                </a:schemeClr>
              </a:solidFill>
              <a:effectLst/>
              <a:latin typeface="+mn-lt"/>
              <a:ea typeface="+mn-ea"/>
              <a:cs typeface="+mn-cs"/>
            </a:rPr>
            <a:t>(where RB = qty of V. Bars, and RA is V. Bar #)</a:t>
          </a:r>
          <a:endParaRPr lang="en-US">
            <a:solidFill>
              <a:schemeClr val="bg1">
                <a:lumMod val="50000"/>
              </a:schemeClr>
            </a:solidFill>
            <a:effectLst/>
          </a:endParaRPr>
        </a:p>
        <a:p>
          <a:endParaRPr lang="en-US" sz="1100"/>
        </a:p>
        <a:p>
          <a:r>
            <a:rPr lang="en-US" sz="1100"/>
            <a:t>TIE BARS (#5):</a:t>
          </a:r>
        </a:p>
        <a:p>
          <a:r>
            <a:rPr lang="en-US" sz="1100">
              <a:solidFill>
                <a:schemeClr val="dk1"/>
              </a:solidFill>
              <a:effectLst/>
              <a:latin typeface="+mn-lt"/>
              <a:ea typeface="+mn-ea"/>
              <a:cs typeface="+mn-cs"/>
            </a:rPr>
            <a:t>5" top cover (to 1st #5 Tie Bar),</a:t>
          </a:r>
          <a:endParaRPr lang="en-US">
            <a:effectLst/>
          </a:endParaRPr>
        </a:p>
        <a:p>
          <a:r>
            <a:rPr lang="en-US" sz="1100">
              <a:solidFill>
                <a:schemeClr val="dk1"/>
              </a:solidFill>
              <a:effectLst/>
              <a:latin typeface="+mn-lt"/>
              <a:ea typeface="+mn-ea"/>
              <a:cs typeface="+mn-cs"/>
            </a:rPr>
            <a:t>7" bottom cover (to bottom #5 Tie Bar)</a:t>
          </a:r>
        </a:p>
        <a:p>
          <a:pPr marL="0" marR="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2' 2" Lap on each #5 tie bars.</a:t>
          </a:r>
          <a:endParaRPr lang="en-US">
            <a:effectLst/>
          </a:endParaRPr>
        </a:p>
        <a:p>
          <a:endParaRPr lang="en-US" sz="1100"/>
        </a:p>
        <a:p>
          <a:r>
            <a:rPr lang="en-US" sz="1100"/>
            <a:t>(1)  </a:t>
          </a:r>
          <a:r>
            <a:rPr lang="en-US" sz="1100">
              <a:solidFill>
                <a:srgbClr val="FF0000"/>
              </a:solidFill>
            </a:rPr>
            <a:t>Top 2' of cage:</a:t>
          </a:r>
          <a:r>
            <a:rPr lang="en-US" sz="1100" baseline="0">
              <a:solidFill>
                <a:srgbClr val="FF0000"/>
              </a:solidFill>
            </a:rPr>
            <a:t>  </a:t>
          </a:r>
          <a:r>
            <a:rPr lang="en-US" sz="1100">
              <a:solidFill>
                <a:srgbClr val="FF0000"/>
              </a:solidFill>
            </a:rPr>
            <a:t>#5 Tie Bars,  6 spaces @ 4"</a:t>
          </a:r>
        </a:p>
        <a:p>
          <a:r>
            <a:rPr lang="en-US" sz="1100">
              <a:solidFill>
                <a:schemeClr val="bg1">
                  <a:lumMod val="50000"/>
                </a:schemeClr>
              </a:solidFill>
            </a:rPr>
            <a:t>Qty</a:t>
          </a:r>
          <a:r>
            <a:rPr lang="en-US" sz="1100" baseline="0">
              <a:solidFill>
                <a:schemeClr val="bg1">
                  <a:lumMod val="50000"/>
                </a:schemeClr>
              </a:solidFill>
            </a:rPr>
            <a:t> of 7 #5 bars </a:t>
          </a:r>
          <a:r>
            <a:rPr lang="en-US" sz="1100">
              <a:solidFill>
                <a:schemeClr val="bg1">
                  <a:lumMod val="50000"/>
                </a:schemeClr>
              </a:solidFill>
            </a:rPr>
            <a:t>(incl. bottom bar, 2-ft from top)</a:t>
          </a:r>
        </a:p>
        <a:p>
          <a:endParaRPr lang="en-US" sz="1100"/>
        </a:p>
        <a:p>
          <a:r>
            <a:rPr lang="en-US" sz="1100"/>
            <a:t>(2)  RC #5 bars spaced at RD"</a:t>
          </a:r>
        </a:p>
        <a:p>
          <a:r>
            <a:rPr lang="en-US" sz="1100">
              <a:solidFill>
                <a:schemeClr val="bg1">
                  <a:lumMod val="50000"/>
                </a:schemeClr>
              </a:solidFill>
            </a:rPr>
            <a:t>-</a:t>
          </a:r>
          <a:r>
            <a:rPr lang="en-US" sz="1100" baseline="0">
              <a:solidFill>
                <a:schemeClr val="bg1">
                  <a:lumMod val="50000"/>
                </a:schemeClr>
              </a:solidFill>
            </a:rPr>
            <a:t>  </a:t>
          </a:r>
          <a:r>
            <a:rPr lang="en-US" sz="1100">
              <a:solidFill>
                <a:schemeClr val="bg1">
                  <a:lumMod val="50000"/>
                </a:schemeClr>
              </a:solidFill>
            </a:rPr>
            <a:t>For Standard MA Assemblies, the RC &amp; RD variables are included on the </a:t>
          </a:r>
          <a:r>
            <a:rPr lang="en-US" sz="1100" baseline="0">
              <a:solidFill>
                <a:schemeClr val="bg1">
                  <a:lumMod val="50000"/>
                </a:schemeClr>
              </a:solidFill>
            </a:rPr>
            <a:t>DS Standard Mast Arm Assemblies Data Table (ref. IDS &amp; Index 17743).  </a:t>
          </a:r>
          <a:r>
            <a:rPr lang="en-US" sz="1100" baseline="0">
              <a:solidFill>
                <a:schemeClr val="bg1">
                  <a:lumMod val="50000"/>
                </a:schemeClr>
              </a:solidFill>
              <a:effectLst/>
              <a:latin typeface="+mn-lt"/>
              <a:ea typeface="+mn-ea"/>
              <a:cs typeface="+mn-cs"/>
            </a:rPr>
            <a:t>T</a:t>
          </a:r>
          <a:r>
            <a:rPr lang="en-US" sz="1100">
              <a:solidFill>
                <a:schemeClr val="bg1">
                  <a:lumMod val="50000"/>
                </a:schemeClr>
              </a:solidFill>
              <a:effectLst/>
              <a:latin typeface="+mn-lt"/>
              <a:ea typeface="+mn-ea"/>
              <a:cs typeface="+mn-cs"/>
            </a:rPr>
            <a:t>he Special Drilled Shaft Data area of </a:t>
          </a:r>
          <a:r>
            <a:rPr lang="en-US" sz="1100" baseline="0">
              <a:solidFill>
                <a:schemeClr val="bg1">
                  <a:lumMod val="50000"/>
                </a:schemeClr>
              </a:solidFill>
              <a:effectLst/>
              <a:latin typeface="+mn-lt"/>
              <a:ea typeface="+mn-ea"/>
              <a:cs typeface="+mn-cs"/>
            </a:rPr>
            <a:t>Standard Mast Arm Assemblies Data Table would be left blank.</a:t>
          </a:r>
          <a:endParaRPr lang="en-US" sz="1100">
            <a:solidFill>
              <a:schemeClr val="bg1">
                <a:lumMod val="50000"/>
              </a:schemeClr>
            </a:solidFill>
          </a:endParaRPr>
        </a:p>
        <a:p>
          <a:pPr marL="0" marR="0" indent="0" defTabSz="914400" eaLnBrk="1" fontAlgn="auto" latinLnBrk="0" hangingPunct="1">
            <a:lnSpc>
              <a:spcPct val="100000"/>
            </a:lnSpc>
            <a:spcBef>
              <a:spcPts val="0"/>
            </a:spcBef>
            <a:spcAft>
              <a:spcPts val="0"/>
            </a:spcAft>
            <a:buClrTx/>
            <a:buSzTx/>
            <a:buFontTx/>
            <a:buNone/>
            <a:tabLst/>
            <a:defRPr/>
          </a:pPr>
          <a:r>
            <a:rPr lang="en-US" sz="1100">
              <a:solidFill>
                <a:schemeClr val="bg1">
                  <a:lumMod val="50000"/>
                </a:schemeClr>
              </a:solidFill>
              <a:effectLst/>
              <a:latin typeface="+mn-lt"/>
              <a:ea typeface="+mn-ea"/>
              <a:cs typeface="+mn-cs"/>
            </a:rPr>
            <a:t>-  If design criteria (ex. soils) is such that analysis is required (ref.</a:t>
          </a:r>
          <a:r>
            <a:rPr lang="en-US" sz="1100" baseline="0">
              <a:solidFill>
                <a:schemeClr val="bg1">
                  <a:lumMod val="50000"/>
                </a:schemeClr>
              </a:solidFill>
              <a:effectLst/>
              <a:latin typeface="+mn-lt"/>
              <a:ea typeface="+mn-ea"/>
              <a:cs typeface="+mn-cs"/>
            </a:rPr>
            <a:t> IDS &amp; Index 17743)</a:t>
          </a:r>
          <a:r>
            <a:rPr lang="en-US" sz="1100">
              <a:solidFill>
                <a:schemeClr val="bg1">
                  <a:lumMod val="50000"/>
                </a:schemeClr>
              </a:solidFill>
              <a:effectLst/>
              <a:latin typeface="+mn-lt"/>
              <a:ea typeface="+mn-ea"/>
              <a:cs typeface="+mn-cs"/>
            </a:rPr>
            <a:t>, modified foundation variables, incl. RC &amp; RD etc., would be added to the Special Drilled Shaft Data area of </a:t>
          </a:r>
          <a:r>
            <a:rPr lang="en-US" sz="1100" baseline="0">
              <a:solidFill>
                <a:schemeClr val="bg1">
                  <a:lumMod val="50000"/>
                </a:schemeClr>
              </a:solidFill>
              <a:effectLst/>
              <a:latin typeface="+mn-lt"/>
              <a:ea typeface="+mn-ea"/>
              <a:cs typeface="+mn-cs"/>
            </a:rPr>
            <a:t>Standard Mast Arm Assemblies Data Table.</a:t>
          </a:r>
          <a:endParaRPr lang="en-US" sz="1100">
            <a:solidFill>
              <a:schemeClr val="bg1">
                <a:lumMod val="50000"/>
              </a:schemeClr>
            </a:solidFill>
          </a:endParaRPr>
        </a:p>
        <a:p>
          <a:endParaRPr lang="en-US" sz="1100"/>
        </a:p>
        <a:p>
          <a:pPr marL="0" marR="0" indent="0" defTabSz="914400" eaLnBrk="1" fontAlgn="auto" latinLnBrk="0" hangingPunct="1">
            <a:lnSpc>
              <a:spcPct val="100000"/>
            </a:lnSpc>
            <a:spcBef>
              <a:spcPts val="0"/>
            </a:spcBef>
            <a:spcAft>
              <a:spcPts val="0"/>
            </a:spcAft>
            <a:buClrTx/>
            <a:buSzTx/>
            <a:buFontTx/>
            <a:buNone/>
            <a:tabLst/>
            <a:defRPr/>
          </a:pPr>
          <a:r>
            <a:rPr lang="en-US" sz="1100" baseline="0">
              <a:solidFill>
                <a:schemeClr val="dk1"/>
              </a:solidFill>
              <a:effectLst/>
              <a:latin typeface="+mn-lt"/>
              <a:ea typeface="+mn-ea"/>
              <a:cs typeface="+mn-cs"/>
            </a:rPr>
            <a:t>(3)  RE #5 bars spaced at RF"  (if applicable)</a:t>
          </a:r>
        </a:p>
        <a:p>
          <a:pPr marL="0" marR="0" indent="0" defTabSz="914400" eaLnBrk="1" fontAlgn="auto" latinLnBrk="0" hangingPunct="1">
            <a:lnSpc>
              <a:spcPct val="100000"/>
            </a:lnSpc>
            <a:spcBef>
              <a:spcPts val="0"/>
            </a:spcBef>
            <a:spcAft>
              <a:spcPts val="0"/>
            </a:spcAft>
            <a:buClrTx/>
            <a:buSzTx/>
            <a:buFontTx/>
            <a:buNone/>
            <a:tabLst/>
            <a:defRPr/>
          </a:pPr>
          <a:r>
            <a:rPr lang="en-US" sz="1100">
              <a:solidFill>
                <a:schemeClr val="bg1">
                  <a:lumMod val="50000"/>
                </a:schemeClr>
              </a:solidFill>
              <a:effectLst/>
              <a:latin typeface="+mn-lt"/>
              <a:ea typeface="+mn-ea"/>
              <a:cs typeface="+mn-cs"/>
            </a:rPr>
            <a:t>-</a:t>
          </a:r>
          <a:r>
            <a:rPr lang="en-US" sz="1100" baseline="0">
              <a:solidFill>
                <a:schemeClr val="bg1">
                  <a:lumMod val="50000"/>
                </a:schemeClr>
              </a:solidFill>
              <a:effectLst/>
              <a:latin typeface="+mn-lt"/>
              <a:ea typeface="+mn-ea"/>
              <a:cs typeface="+mn-cs"/>
            </a:rPr>
            <a:t>  </a:t>
          </a:r>
          <a:r>
            <a:rPr lang="en-US" sz="1100">
              <a:solidFill>
                <a:schemeClr val="bg1">
                  <a:lumMod val="50000"/>
                </a:schemeClr>
              </a:solidFill>
              <a:effectLst/>
              <a:latin typeface="+mn-lt"/>
              <a:ea typeface="+mn-ea"/>
              <a:cs typeface="+mn-cs"/>
            </a:rPr>
            <a:t>For Custom Non-Standard MA Assemblies, the FDOT MA Program will provide the RE &amp; RF variables that</a:t>
          </a:r>
          <a:r>
            <a:rPr lang="en-US" sz="1100" baseline="0">
              <a:solidFill>
                <a:schemeClr val="bg1">
                  <a:lumMod val="50000"/>
                </a:schemeClr>
              </a:solidFill>
              <a:effectLst/>
              <a:latin typeface="+mn-lt"/>
              <a:ea typeface="+mn-ea"/>
              <a:cs typeface="+mn-cs"/>
            </a:rPr>
            <a:t> </a:t>
          </a:r>
          <a:r>
            <a:rPr lang="en-US" sz="1100">
              <a:solidFill>
                <a:schemeClr val="bg1">
                  <a:lumMod val="50000"/>
                </a:schemeClr>
              </a:solidFill>
              <a:effectLst/>
              <a:latin typeface="+mn-lt"/>
              <a:ea typeface="+mn-ea"/>
              <a:cs typeface="+mn-cs"/>
            </a:rPr>
            <a:t>are to be included on the </a:t>
          </a:r>
          <a:r>
            <a:rPr lang="en-US" sz="1100" baseline="0">
              <a:solidFill>
                <a:schemeClr val="bg1">
                  <a:lumMod val="50000"/>
                </a:schemeClr>
              </a:solidFill>
              <a:effectLst/>
              <a:latin typeface="+mn-lt"/>
              <a:ea typeface="+mn-ea"/>
              <a:cs typeface="+mn-cs"/>
            </a:rPr>
            <a:t>Special Mast Arm Assemblies Data Table (ref. IDS &amp; Index 17745).  The variables (incl. RE &amp; RF) are added to the "Shaft and Reinf." area of the </a:t>
          </a:r>
          <a:r>
            <a:rPr lang="en-US" sz="1100">
              <a:solidFill>
                <a:schemeClr val="bg1">
                  <a:lumMod val="50000"/>
                </a:schemeClr>
              </a:solidFill>
              <a:effectLst/>
              <a:latin typeface="+mn-lt"/>
              <a:ea typeface="+mn-ea"/>
              <a:cs typeface="+mn-cs"/>
            </a:rPr>
            <a:t>Special MA Assemblies Data Table</a:t>
          </a:r>
          <a:r>
            <a:rPr lang="en-US" sz="1100" baseline="0">
              <a:solidFill>
                <a:schemeClr val="bg1">
                  <a:lumMod val="50000"/>
                </a:schemeClr>
              </a:solidFill>
              <a:effectLst/>
              <a:latin typeface="+mn-lt"/>
              <a:ea typeface="+mn-ea"/>
              <a:cs typeface="+mn-cs"/>
            </a:rPr>
            <a:t> (ref. IDS &amp; Index 17745).</a:t>
          </a:r>
          <a:endParaRPr lang="en-US">
            <a:solidFill>
              <a:schemeClr val="bg1">
                <a:lumMod val="50000"/>
              </a:schemeClr>
            </a:solidFill>
            <a:effectLst/>
          </a:endParaRPr>
        </a:p>
        <a:p>
          <a:pPr marL="0" marR="0" indent="0" defTabSz="914400" eaLnBrk="1" fontAlgn="auto" latinLnBrk="0" hangingPunct="1">
            <a:lnSpc>
              <a:spcPct val="100000"/>
            </a:lnSpc>
            <a:spcBef>
              <a:spcPts val="0"/>
            </a:spcBef>
            <a:spcAft>
              <a:spcPts val="0"/>
            </a:spcAft>
            <a:buClrTx/>
            <a:buSzTx/>
            <a:buFontTx/>
            <a:buNone/>
            <a:tabLst/>
            <a:defRPr/>
          </a:pP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   </a:t>
          </a:r>
          <a:endParaRPr lang="en-US">
            <a:effectLst/>
          </a:endParaRPr>
        </a:p>
        <a:p>
          <a:r>
            <a:rPr lang="en-US" sz="1100"/>
            <a:t>(4)  As</a:t>
          </a:r>
          <a:r>
            <a:rPr lang="en-US" sz="1100" baseline="0"/>
            <a:t> applicable, the </a:t>
          </a:r>
          <a:r>
            <a:rPr lang="en-US" sz="1100" baseline="0">
              <a:solidFill>
                <a:srgbClr val="FF0000"/>
              </a:solidFill>
            </a:rPr>
            <a:t>r</a:t>
          </a:r>
          <a:r>
            <a:rPr lang="en-US" sz="1100">
              <a:solidFill>
                <a:srgbClr val="FF0000"/>
              </a:solidFill>
            </a:rPr>
            <a:t>emaining bottom</a:t>
          </a:r>
          <a:r>
            <a:rPr lang="en-US" sz="1100" baseline="0">
              <a:solidFill>
                <a:srgbClr val="FF0000"/>
              </a:solidFill>
            </a:rPr>
            <a:t> T</a:t>
          </a:r>
          <a:r>
            <a:rPr lang="en-US" sz="1100">
              <a:solidFill>
                <a:srgbClr val="FF0000"/>
              </a:solidFill>
            </a:rPr>
            <a:t>ie Bars are spaced</a:t>
          </a:r>
          <a:r>
            <a:rPr lang="en-US" sz="1100" baseline="0">
              <a:solidFill>
                <a:srgbClr val="FF0000"/>
              </a:solidFill>
            </a:rPr>
            <a:t> </a:t>
          </a:r>
          <a:r>
            <a:rPr lang="en-US" sz="1100">
              <a:solidFill>
                <a:srgbClr val="FF0000"/>
              </a:solidFill>
            </a:rPr>
            <a:t>at 12" (1 ft)</a:t>
          </a:r>
          <a:r>
            <a:rPr lang="en-US" sz="1100" baseline="0">
              <a:solidFill>
                <a:srgbClr val="FF0000"/>
              </a:solidFill>
            </a:rPr>
            <a:t> </a:t>
          </a:r>
          <a:r>
            <a:rPr lang="en-US" sz="1100">
              <a:solidFill>
                <a:srgbClr val="FF0000"/>
              </a:solidFill>
            </a:rPr>
            <a:t>Max.</a:t>
          </a:r>
        </a:p>
        <a:p>
          <a:endParaRPr lang="en-US" sz="1100"/>
        </a:p>
        <a:p>
          <a:endParaRPr lang="en-US" sz="1100"/>
        </a:p>
        <a:p>
          <a:r>
            <a:rPr lang="en-US" sz="1100"/>
            <a:t>If soil criteria is less than that used to generate the pre-designed Standard MA Assembies</a:t>
          </a:r>
          <a:r>
            <a:rPr lang="en-US" sz="1100" baseline="0"/>
            <a:t> Data Tables (DS 17743), an analysis would be required, and Special Drilled Shaft data would then be added to revise the Standard MA Assemblies Data Table variables.</a:t>
          </a:r>
        </a:p>
        <a:p>
          <a:endParaRPr lang="en-US" sz="1100" baseline="0"/>
        </a:p>
        <a:p>
          <a:endParaRPr lang="en-US" sz="1100"/>
        </a:p>
        <a:p>
          <a:endParaRPr lang="en-US" sz="1100"/>
        </a:p>
        <a:p>
          <a:endParaRPr lang="en-US" sz="1100">
            <a:solidFill>
              <a:schemeClr val="dk1"/>
            </a:solidFill>
            <a:effectLst/>
            <a:latin typeface="+mn-lt"/>
            <a:ea typeface="+mn-ea"/>
            <a:cs typeface="+mn-cs"/>
          </a:endParaRPr>
        </a:p>
        <a:p>
          <a:endParaRPr lang="en-US" sz="1100"/>
        </a:p>
        <a:p>
          <a:endParaRPr lang="en-US" sz="1100"/>
        </a:p>
        <a:p>
          <a:endParaRPr lang="en-US" sz="1100"/>
        </a:p>
      </xdr:txBody>
    </xdr:sp>
    <xdr:clientData/>
  </xdr:twoCellAnchor>
</xdr:wsDr>
</file>

<file path=xl/drawings/drawing8.xml><?xml version="1.0" encoding="utf-8"?>
<c:userShapes xmlns:c="http://schemas.openxmlformats.org/drawingml/2006/chart">
  <cdr:relSizeAnchor xmlns:cdr="http://schemas.openxmlformats.org/drawingml/2006/chartDrawing">
    <cdr:from>
      <cdr:x>0</cdr:x>
      <cdr:y>0</cdr:y>
    </cdr:from>
    <cdr:to>
      <cdr:x>0.00442</cdr:x>
      <cdr:y>0.00746</cdr:y>
    </cdr:to>
    <cdr:pic>
      <cdr:nvPicPr>
        <cdr:cNvPr id="3" name="chart">
          <a:extLst xmlns:a="http://schemas.openxmlformats.org/drawingml/2006/main">
            <a:ext uri="{FF2B5EF4-FFF2-40B4-BE49-F238E27FC236}">
              <a16:creationId xmlns:a16="http://schemas.microsoft.com/office/drawing/2014/main" id="{5F9A29A3-1A8C-4967-8543-3D04BF18BACF}"/>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0.06734</cdr:x>
      <cdr:y>0.01025</cdr:y>
    </cdr:from>
    <cdr:to>
      <cdr:x>0.95791</cdr:x>
      <cdr:y>0.06277</cdr:y>
    </cdr:to>
    <cdr:sp macro="" textlink="">
      <cdr:nvSpPr>
        <cdr:cNvPr id="4" name="TextBox 3"/>
        <cdr:cNvSpPr txBox="1"/>
      </cdr:nvSpPr>
      <cdr:spPr>
        <a:xfrm xmlns:a="http://schemas.openxmlformats.org/drawingml/2006/main">
          <a:off x="896472" y="66619"/>
          <a:ext cx="11855822" cy="34134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sz="1200"/>
            <a:t>ESTIMATED</a:t>
          </a:r>
          <a:r>
            <a:rPr lang="en-US" sz="1200" baseline="0"/>
            <a:t> </a:t>
          </a:r>
          <a:r>
            <a:rPr lang="en-US" sz="1200"/>
            <a:t> STEEL  VOLUME  (cy</a:t>
          </a:r>
          <a:r>
            <a:rPr lang="en-US" sz="1000"/>
            <a:t>)   </a:t>
          </a:r>
          <a:r>
            <a:rPr lang="en-US" sz="1000" baseline="0"/>
            <a:t>-   for various Drilled Shaft Dia.'s  &amp; Lengths   ( based upon FL DOT  </a:t>
          </a:r>
          <a:r>
            <a:rPr lang="en-US" sz="1000"/>
            <a:t>2013,</a:t>
          </a:r>
          <a:r>
            <a:rPr lang="en-US" sz="1000" baseline="0"/>
            <a:t> 2010 Int. &amp; 2010 DS )</a:t>
          </a:r>
          <a:r>
            <a:rPr lang="en-US" sz="1000"/>
            <a:t> </a:t>
          </a:r>
        </a:p>
      </cdr:txBody>
    </cdr:sp>
  </cdr:relSizeAnchor>
</c:userShapes>
</file>

<file path=xl/drawings/drawing9.xml><?xml version="1.0" encoding="utf-8"?>
<c:userShapes xmlns:c="http://schemas.openxmlformats.org/drawingml/2006/chart">
  <cdr:relSizeAnchor xmlns:cdr="http://schemas.openxmlformats.org/drawingml/2006/chartDrawing">
    <cdr:from>
      <cdr:x>0</cdr:x>
      <cdr:y>0</cdr:y>
    </cdr:from>
    <cdr:to>
      <cdr:x>0.00442</cdr:x>
      <cdr:y>0.00746</cdr:y>
    </cdr:to>
    <cdr:pic>
      <cdr:nvPicPr>
        <cdr:cNvPr id="3" name="chart">
          <a:extLst xmlns:a="http://schemas.openxmlformats.org/drawingml/2006/main">
            <a:ext uri="{FF2B5EF4-FFF2-40B4-BE49-F238E27FC236}">
              <a16:creationId xmlns:a16="http://schemas.microsoft.com/office/drawing/2014/main" id="{EBAA8BFA-DCE5-4AC9-AA8B-810EE898E3AB}"/>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0.15236</cdr:x>
      <cdr:y>0.01025</cdr:y>
    </cdr:from>
    <cdr:to>
      <cdr:x>0.86311</cdr:x>
      <cdr:y>0.06277</cdr:y>
    </cdr:to>
    <cdr:sp macro="" textlink="">
      <cdr:nvSpPr>
        <cdr:cNvPr id="4" name="TextBox 3"/>
        <cdr:cNvSpPr txBox="1"/>
      </cdr:nvSpPr>
      <cdr:spPr>
        <a:xfrm xmlns:a="http://schemas.openxmlformats.org/drawingml/2006/main">
          <a:off x="1591827" y="66906"/>
          <a:ext cx="7425777" cy="3428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sz="1200"/>
            <a:t>Est. Steel Vol. (cy)   </a:t>
          </a:r>
          <a:r>
            <a:rPr lang="en-US" sz="1200" baseline="0"/>
            <a:t>-   for various  Dia.'s  &amp; Lengths   ( based upon FL DOT  </a:t>
          </a:r>
          <a:r>
            <a:rPr lang="en-US" sz="1200"/>
            <a:t>2013,</a:t>
          </a:r>
          <a:r>
            <a:rPr lang="en-US" sz="1200" baseline="0"/>
            <a:t> 2010 Interim &amp; 2010 D</a:t>
          </a:r>
          <a:r>
            <a:rPr lang="en-US" sz="1200"/>
            <a:t>esign Standards ) </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http://procnet.co.dot.state.fl.us/Users/cn982jc/Desktop/forms%20DS/miscellaneous%20structures%20workbook%2010-26-1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S Log Pg 1"/>
      <sheetName val="DS Log Pg 2"/>
      <sheetName val="Fluid-Slurry "/>
      <sheetName val="reinf.&amp;spacers "/>
      <sheetName val="Concr. Pg 1"/>
      <sheetName val="Concr. Curve"/>
      <sheetName val="Blank Curve"/>
      <sheetName val="Est Steel Vol"/>
      <sheetName val="Pay Summary"/>
      <sheetName val="List"/>
      <sheetName val="Concr. Pg 2"/>
      <sheetName val="Concr. Pg 3"/>
    </sheetNames>
    <sheetDataSet>
      <sheetData sheetId="0">
        <row r="7">
          <cell r="R7" t="str">
            <v>3 L</v>
          </cell>
        </row>
      </sheetData>
      <sheetData sheetId="1"/>
      <sheetData sheetId="2"/>
      <sheetData sheetId="3"/>
      <sheetData sheetId="4"/>
      <sheetData sheetId="5"/>
      <sheetData sheetId="6"/>
      <sheetData sheetId="7"/>
      <sheetData sheetId="8"/>
      <sheetData sheetId="9">
        <row r="1">
          <cell r="E1" t="str">
            <v>steel  inspector</v>
          </cell>
        </row>
      </sheetData>
      <sheetData sheetId="10"/>
      <sheetData sheetId="1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1.xml"/><Relationship Id="rId1" Type="http://schemas.openxmlformats.org/officeDocument/2006/relationships/printerSettings" Target="../printerSettings/printerSettings10.bin"/><Relationship Id="rId4" Type="http://schemas.openxmlformats.org/officeDocument/2006/relationships/comments" Target="../comments8.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2.xml"/><Relationship Id="rId1" Type="http://schemas.openxmlformats.org/officeDocument/2006/relationships/printerSettings" Target="../printerSettings/printerSettings13.bin"/><Relationship Id="rId4" Type="http://schemas.openxmlformats.org/officeDocument/2006/relationships/comments" Target="../comments9.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6.xml"/><Relationship Id="rId1" Type="http://schemas.openxmlformats.org/officeDocument/2006/relationships/printerSettings" Target="../printerSettings/printerSettings16.bin"/><Relationship Id="rId4" Type="http://schemas.openxmlformats.org/officeDocument/2006/relationships/comments" Target="../comments11.xm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7.xml"/><Relationship Id="rId1" Type="http://schemas.openxmlformats.org/officeDocument/2006/relationships/printerSettings" Target="../printerSettings/printerSettings23.bin"/><Relationship Id="rId4" Type="http://schemas.openxmlformats.org/officeDocument/2006/relationships/comments" Target="../comments1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8.bin"/><Relationship Id="rId4" Type="http://schemas.openxmlformats.org/officeDocument/2006/relationships/comments" Target="../comments6.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9.bin"/><Relationship Id="rId4" Type="http://schemas.openxmlformats.org/officeDocument/2006/relationships/comments" Target="../comments7.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51"/>
  <dimension ref="A1:T278"/>
  <sheetViews>
    <sheetView zoomScale="98" zoomScaleNormal="98" workbookViewId="0">
      <selection activeCell="X8" sqref="X8"/>
    </sheetView>
  </sheetViews>
  <sheetFormatPr defaultRowHeight="14.4"/>
  <sheetData>
    <row r="1" spans="1:20">
      <c r="A1" s="1372" t="s">
        <v>1111</v>
      </c>
      <c r="B1" s="1372"/>
      <c r="C1" s="1372"/>
      <c r="D1" s="1372"/>
      <c r="E1" s="1372"/>
      <c r="F1" s="1372"/>
      <c r="G1" s="1372"/>
      <c r="H1" s="1372"/>
      <c r="I1" s="1372"/>
      <c r="J1" s="1372"/>
      <c r="K1" s="1372"/>
      <c r="L1" s="595"/>
      <c r="M1" s="595"/>
      <c r="N1" s="595"/>
      <c r="O1" s="595"/>
      <c r="P1" s="595"/>
      <c r="Q1" s="595"/>
      <c r="R1" s="595"/>
      <c r="S1" s="595"/>
      <c r="T1" s="595"/>
    </row>
    <row r="2" spans="1:20">
      <c r="A2" s="1372" t="s">
        <v>1131</v>
      </c>
      <c r="B2" s="1372"/>
      <c r="C2" s="1372"/>
      <c r="D2" s="1372"/>
      <c r="E2" s="1372"/>
      <c r="F2" s="1372"/>
      <c r="G2" s="1372"/>
      <c r="H2" s="1372"/>
      <c r="I2" s="1372"/>
      <c r="J2" s="1372"/>
      <c r="K2" s="1372"/>
      <c r="L2" s="595"/>
      <c r="M2" s="595"/>
      <c r="N2" s="595"/>
      <c r="O2" s="595"/>
      <c r="P2" s="595"/>
      <c r="Q2" s="595"/>
      <c r="R2" s="595"/>
      <c r="S2" s="595"/>
      <c r="T2" s="595"/>
    </row>
    <row r="3" spans="1:20">
      <c r="A3" s="1372" t="s">
        <v>1130</v>
      </c>
      <c r="B3" s="1372"/>
      <c r="C3" s="1372"/>
      <c r="D3" s="1372"/>
      <c r="E3" s="1372"/>
      <c r="F3" s="1372"/>
      <c r="G3" s="1372"/>
      <c r="H3" s="1372"/>
      <c r="I3" s="1372"/>
      <c r="J3" s="1372"/>
      <c r="K3" s="1372"/>
      <c r="L3" s="595"/>
      <c r="M3" s="595"/>
      <c r="N3" s="595"/>
      <c r="O3" s="595"/>
      <c r="P3" s="595"/>
      <c r="Q3" s="595"/>
      <c r="R3" s="595"/>
      <c r="S3" s="595"/>
      <c r="T3" s="595"/>
    </row>
    <row r="4" spans="1:20">
      <c r="A4" s="1112"/>
      <c r="B4" s="1112"/>
      <c r="C4" s="1112"/>
      <c r="D4" s="1112"/>
      <c r="E4" s="1112"/>
      <c r="F4" s="1112"/>
      <c r="G4" s="1112"/>
      <c r="H4" s="1112"/>
      <c r="I4" s="1112"/>
      <c r="J4" s="1112"/>
      <c r="K4" s="1112"/>
      <c r="L4" s="595"/>
      <c r="M4" s="595"/>
      <c r="N4" s="595"/>
      <c r="O4" s="595"/>
      <c r="P4" s="595"/>
      <c r="Q4" s="595"/>
      <c r="R4" s="595"/>
      <c r="S4" s="595"/>
      <c r="T4" s="595"/>
    </row>
    <row r="5" spans="1:20">
      <c r="A5" s="595"/>
      <c r="B5" s="1103" t="s">
        <v>1139</v>
      </c>
      <c r="C5" s="595"/>
      <c r="D5" s="595"/>
      <c r="E5" s="595"/>
      <c r="F5" s="595"/>
      <c r="G5" s="595"/>
      <c r="H5" s="595"/>
      <c r="I5" s="595"/>
      <c r="J5" s="595"/>
      <c r="K5" s="595"/>
      <c r="L5" s="595"/>
      <c r="M5" s="595"/>
      <c r="N5" s="595"/>
      <c r="O5" s="595"/>
      <c r="P5" s="595"/>
      <c r="Q5" s="595"/>
      <c r="R5" s="595"/>
      <c r="S5" s="595"/>
      <c r="T5" s="595"/>
    </row>
    <row r="6" spans="1:20">
      <c r="A6" s="595"/>
      <c r="B6" s="1103" t="s">
        <v>1140</v>
      </c>
      <c r="C6" s="595"/>
      <c r="D6" s="595"/>
      <c r="E6" s="595"/>
      <c r="F6" s="595"/>
      <c r="G6" s="595"/>
      <c r="H6" s="595"/>
      <c r="I6" s="595"/>
      <c r="J6" s="595"/>
      <c r="K6" s="595"/>
      <c r="L6" s="595"/>
      <c r="M6" s="595"/>
      <c r="N6" s="595"/>
      <c r="O6" s="595"/>
      <c r="P6" s="595"/>
      <c r="Q6" s="595"/>
      <c r="R6" s="595"/>
      <c r="S6" s="595"/>
      <c r="T6" s="595"/>
    </row>
    <row r="7" spans="1:20">
      <c r="A7" s="595"/>
      <c r="B7" s="1103"/>
      <c r="C7" s="595"/>
      <c r="D7" s="595"/>
      <c r="E7" s="595"/>
      <c r="F7" s="595"/>
      <c r="G7" s="595"/>
      <c r="H7" s="595"/>
      <c r="I7" s="595"/>
      <c r="J7" s="595"/>
      <c r="K7" s="595"/>
      <c r="L7" s="595"/>
      <c r="M7" s="595"/>
      <c r="N7" s="595"/>
      <c r="O7" s="595"/>
      <c r="P7" s="595"/>
      <c r="Q7" s="595"/>
      <c r="R7" s="595"/>
      <c r="S7" s="595"/>
      <c r="T7" s="595"/>
    </row>
    <row r="8" spans="1:20">
      <c r="A8" s="595"/>
      <c r="B8" s="1104" t="s">
        <v>1098</v>
      </c>
      <c r="C8" s="595"/>
      <c r="D8" s="595"/>
      <c r="E8" s="595"/>
      <c r="F8" s="595"/>
      <c r="G8" s="595"/>
      <c r="H8" s="595"/>
      <c r="I8" s="595"/>
      <c r="J8" s="595"/>
      <c r="K8" s="595"/>
      <c r="L8" s="595"/>
      <c r="M8" s="595"/>
      <c r="N8" s="595"/>
      <c r="O8" s="595"/>
      <c r="P8" s="595"/>
      <c r="Q8" s="595"/>
      <c r="R8" s="595"/>
      <c r="S8" s="595"/>
      <c r="T8" s="595"/>
    </row>
    <row r="9" spans="1:20">
      <c r="A9" s="595"/>
      <c r="B9" s="1104" t="s">
        <v>1099</v>
      </c>
      <c r="C9" s="595"/>
      <c r="D9" s="595"/>
      <c r="E9" s="595"/>
      <c r="F9" s="595"/>
      <c r="G9" s="595"/>
      <c r="H9" s="595"/>
      <c r="I9" s="595"/>
      <c r="J9" s="595"/>
      <c r="K9" s="595"/>
      <c r="L9" s="595"/>
      <c r="M9" s="595"/>
      <c r="N9" s="595"/>
      <c r="O9" s="595"/>
      <c r="P9" s="595"/>
      <c r="Q9" s="595"/>
      <c r="R9" s="595"/>
      <c r="S9" s="595"/>
      <c r="T9" s="595"/>
    </row>
    <row r="10" spans="1:20">
      <c r="A10" s="595"/>
      <c r="B10" s="1103"/>
      <c r="C10" s="595"/>
      <c r="D10" s="595"/>
      <c r="E10" s="595"/>
      <c r="F10" s="595"/>
      <c r="G10" s="595"/>
      <c r="H10" s="595"/>
      <c r="I10" s="595"/>
      <c r="J10" s="595"/>
      <c r="K10" s="595"/>
      <c r="L10" s="595"/>
      <c r="M10" s="595"/>
      <c r="N10" s="595"/>
      <c r="O10" s="595"/>
      <c r="P10" s="595"/>
      <c r="Q10" s="595"/>
      <c r="R10" s="595"/>
      <c r="S10" s="595"/>
      <c r="T10" s="595"/>
    </row>
    <row r="11" spans="1:20">
      <c r="A11" s="595"/>
      <c r="B11" s="1103" t="s">
        <v>1100</v>
      </c>
      <c r="C11" s="595"/>
      <c r="D11" s="595"/>
      <c r="E11" s="595"/>
      <c r="F11" s="595"/>
      <c r="G11" s="595"/>
      <c r="H11" s="595"/>
      <c r="I11" s="595"/>
      <c r="J11" s="595"/>
      <c r="K11" s="595"/>
      <c r="L11" s="595"/>
      <c r="M11" s="595"/>
      <c r="N11" s="595"/>
      <c r="O11" s="595"/>
      <c r="P11" s="595"/>
      <c r="Q11" s="595"/>
      <c r="R11" s="595"/>
      <c r="S11" s="595"/>
      <c r="T11" s="595"/>
    </row>
    <row r="12" spans="1:20">
      <c r="A12" s="595"/>
      <c r="B12" s="1103"/>
      <c r="C12" s="595"/>
      <c r="D12" s="595"/>
      <c r="E12" s="595"/>
      <c r="F12" s="595"/>
      <c r="G12" s="595"/>
      <c r="H12" s="595"/>
      <c r="I12" s="595"/>
      <c r="J12" s="595"/>
      <c r="K12" s="595"/>
      <c r="L12" s="595"/>
      <c r="M12" s="595"/>
      <c r="N12" s="595"/>
      <c r="O12" s="595"/>
      <c r="P12" s="595"/>
      <c r="Q12" s="595"/>
      <c r="R12" s="595"/>
      <c r="S12" s="595"/>
      <c r="T12" s="595"/>
    </row>
    <row r="13" spans="1:20">
      <c r="A13" s="595"/>
      <c r="B13" s="1104" t="s">
        <v>1101</v>
      </c>
      <c r="C13" s="595"/>
      <c r="D13" s="595"/>
      <c r="E13" s="595"/>
      <c r="F13" s="595"/>
      <c r="G13" s="595"/>
      <c r="H13" s="595"/>
      <c r="I13" s="595"/>
      <c r="J13" s="595"/>
      <c r="K13" s="595"/>
      <c r="L13" s="595"/>
      <c r="M13" s="595"/>
      <c r="N13" s="595"/>
      <c r="O13" s="595"/>
      <c r="P13" s="595"/>
      <c r="Q13" s="595"/>
      <c r="R13" s="595"/>
      <c r="S13" s="595"/>
      <c r="T13" s="595"/>
    </row>
    <row r="14" spans="1:20">
      <c r="A14" s="595"/>
      <c r="B14" s="1104" t="s">
        <v>1102</v>
      </c>
      <c r="C14" s="595"/>
      <c r="D14" s="595"/>
      <c r="E14" s="595"/>
      <c r="F14" s="595"/>
      <c r="G14" s="595"/>
      <c r="H14" s="595"/>
      <c r="I14" s="595"/>
      <c r="J14" s="595"/>
      <c r="K14" s="595"/>
      <c r="L14" s="595"/>
      <c r="M14" s="595"/>
      <c r="N14" s="595"/>
      <c r="O14" s="595"/>
      <c r="P14" s="595"/>
      <c r="Q14" s="595"/>
      <c r="R14" s="595"/>
      <c r="S14" s="595"/>
      <c r="T14" s="595"/>
    </row>
    <row r="15" spans="1:20">
      <c r="A15" s="595"/>
      <c r="B15" s="1104" t="s">
        <v>1103</v>
      </c>
      <c r="C15" s="595"/>
      <c r="D15" s="595"/>
      <c r="E15" s="595"/>
      <c r="F15" s="595"/>
      <c r="G15" s="595"/>
      <c r="H15" s="595"/>
      <c r="I15" s="595"/>
      <c r="J15" s="595"/>
      <c r="K15" s="595"/>
      <c r="L15" s="595"/>
      <c r="M15" s="595"/>
      <c r="N15" s="595"/>
      <c r="O15" s="595"/>
      <c r="P15" s="595"/>
      <c r="Q15" s="595"/>
      <c r="R15" s="595"/>
      <c r="S15" s="595"/>
      <c r="T15" s="595"/>
    </row>
    <row r="16" spans="1:20">
      <c r="A16" s="595"/>
      <c r="B16" s="1104" t="s">
        <v>1104</v>
      </c>
      <c r="C16" s="595"/>
      <c r="D16" s="595"/>
      <c r="E16" s="595"/>
      <c r="F16" s="595"/>
      <c r="G16" s="595"/>
      <c r="H16" s="595"/>
      <c r="I16" s="595"/>
      <c r="J16" s="595"/>
      <c r="K16" s="595"/>
      <c r="L16" s="595"/>
      <c r="M16" s="595"/>
      <c r="N16" s="595"/>
      <c r="O16" s="595"/>
      <c r="P16" s="595"/>
      <c r="Q16" s="595"/>
      <c r="R16" s="595"/>
      <c r="S16" s="595"/>
      <c r="T16" s="595"/>
    </row>
    <row r="17" spans="1:20">
      <c r="A17" s="595"/>
      <c r="B17" s="1104" t="s">
        <v>1105</v>
      </c>
      <c r="C17" s="595"/>
      <c r="D17" s="595"/>
      <c r="E17" s="595"/>
      <c r="F17" s="595"/>
      <c r="G17" s="595"/>
      <c r="H17" s="595"/>
      <c r="I17" s="595"/>
      <c r="J17" s="595"/>
      <c r="K17" s="595"/>
      <c r="L17" s="595"/>
      <c r="M17" s="595"/>
      <c r="N17" s="595"/>
      <c r="O17" s="595"/>
      <c r="P17" s="595"/>
      <c r="Q17" s="595"/>
      <c r="R17" s="595"/>
      <c r="S17" s="595"/>
      <c r="T17" s="595"/>
    </row>
    <row r="18" spans="1:20">
      <c r="A18" s="595"/>
      <c r="B18" s="1104" t="s">
        <v>1106</v>
      </c>
      <c r="C18" s="595"/>
      <c r="D18" s="595"/>
      <c r="E18" s="595"/>
      <c r="F18" s="595"/>
      <c r="G18" s="595"/>
      <c r="H18" s="595"/>
      <c r="I18" s="595"/>
      <c r="J18" s="595"/>
      <c r="K18" s="595"/>
      <c r="L18" s="595"/>
      <c r="M18" s="595"/>
      <c r="N18" s="595"/>
      <c r="O18" s="595"/>
      <c r="P18" s="595"/>
      <c r="Q18" s="595"/>
      <c r="R18" s="595"/>
      <c r="S18" s="595"/>
      <c r="T18" s="595"/>
    </row>
    <row r="19" spans="1:20">
      <c r="A19" s="595"/>
      <c r="B19" s="1104"/>
      <c r="C19" s="595"/>
      <c r="D19" s="595"/>
      <c r="E19" s="595"/>
      <c r="F19" s="595"/>
      <c r="G19" s="595"/>
      <c r="H19" s="595"/>
      <c r="I19" s="595"/>
      <c r="J19" s="595"/>
      <c r="K19" s="595"/>
      <c r="L19" s="595"/>
      <c r="M19" s="595"/>
      <c r="N19" s="595"/>
      <c r="O19" s="595"/>
      <c r="P19" s="595"/>
      <c r="Q19" s="595"/>
      <c r="R19" s="595"/>
      <c r="S19" s="595"/>
      <c r="T19" s="595"/>
    </row>
    <row r="20" spans="1:20">
      <c r="A20" s="595"/>
      <c r="B20" s="1103" t="s">
        <v>1107</v>
      </c>
      <c r="C20" s="595"/>
      <c r="D20" s="595"/>
      <c r="E20" s="595"/>
      <c r="F20" s="595"/>
      <c r="G20" s="595"/>
      <c r="H20" s="595"/>
      <c r="I20" s="595"/>
      <c r="J20" s="595"/>
      <c r="K20" s="595"/>
      <c r="L20" s="595"/>
      <c r="M20" s="595"/>
      <c r="N20" s="595"/>
      <c r="O20" s="595"/>
      <c r="P20" s="595"/>
      <c r="Q20" s="595"/>
      <c r="R20" s="595"/>
      <c r="S20" s="595"/>
      <c r="T20" s="595"/>
    </row>
    <row r="21" spans="1:20">
      <c r="A21" s="595"/>
      <c r="B21" s="1103"/>
      <c r="C21" s="595"/>
      <c r="D21" s="595"/>
      <c r="E21" s="595"/>
      <c r="F21" s="595"/>
      <c r="G21" s="595"/>
      <c r="H21" s="595"/>
      <c r="I21" s="595"/>
      <c r="J21" s="595"/>
      <c r="K21" s="595"/>
      <c r="L21" s="595"/>
      <c r="M21" s="595"/>
      <c r="N21" s="595"/>
      <c r="O21" s="595"/>
      <c r="P21" s="595"/>
      <c r="Q21" s="595"/>
      <c r="R21" s="595"/>
      <c r="S21" s="595"/>
      <c r="T21" s="595"/>
    </row>
    <row r="22" spans="1:20">
      <c r="A22" s="595"/>
      <c r="B22" s="1104" t="s">
        <v>1108</v>
      </c>
      <c r="C22" s="595"/>
      <c r="D22" s="595"/>
      <c r="E22" s="595"/>
      <c r="F22" s="595"/>
      <c r="G22" s="595"/>
      <c r="H22" s="595"/>
      <c r="I22" s="595"/>
      <c r="J22" s="595"/>
      <c r="K22" s="595"/>
      <c r="L22" s="595"/>
      <c r="M22" s="595"/>
      <c r="N22" s="595"/>
      <c r="O22" s="595"/>
      <c r="P22" s="595"/>
      <c r="Q22" s="595"/>
      <c r="R22" s="595"/>
      <c r="S22" s="595"/>
      <c r="T22" s="595"/>
    </row>
    <row r="23" spans="1:20">
      <c r="A23" s="595"/>
      <c r="B23" s="1104" t="s">
        <v>1109</v>
      </c>
      <c r="C23" s="595"/>
      <c r="D23" s="595"/>
      <c r="E23" s="595"/>
      <c r="F23" s="595"/>
      <c r="G23" s="595"/>
      <c r="H23" s="595"/>
      <c r="I23" s="595"/>
      <c r="J23" s="595"/>
      <c r="K23" s="595"/>
      <c r="L23" s="595"/>
      <c r="M23" s="595"/>
      <c r="N23" s="595"/>
      <c r="O23" s="595"/>
      <c r="P23" s="595"/>
      <c r="Q23" s="595"/>
      <c r="R23" s="595"/>
      <c r="S23" s="595"/>
      <c r="T23" s="595"/>
    </row>
    <row r="24" spans="1:20">
      <c r="A24" s="595"/>
      <c r="B24" s="1104" t="s">
        <v>1110</v>
      </c>
      <c r="C24" s="595"/>
      <c r="D24" s="595"/>
      <c r="E24" s="595"/>
      <c r="F24" s="595"/>
      <c r="G24" s="595"/>
      <c r="H24" s="595"/>
      <c r="I24" s="595"/>
      <c r="J24" s="595"/>
      <c r="K24" s="595"/>
      <c r="L24" s="595"/>
      <c r="M24" s="595"/>
      <c r="N24" s="595"/>
      <c r="O24" s="595"/>
      <c r="P24" s="595"/>
      <c r="Q24" s="595"/>
      <c r="R24" s="595"/>
      <c r="S24" s="595"/>
      <c r="T24" s="595"/>
    </row>
    <row r="25" spans="1:20">
      <c r="A25" s="595"/>
      <c r="B25" s="1103"/>
      <c r="C25" s="595"/>
      <c r="D25" s="595"/>
      <c r="E25" s="595"/>
      <c r="F25" s="595"/>
      <c r="G25" s="595"/>
      <c r="H25" s="595"/>
      <c r="I25" s="595"/>
      <c r="J25" s="595"/>
      <c r="K25" s="595"/>
      <c r="L25" s="595"/>
      <c r="M25" s="595"/>
      <c r="N25" s="595"/>
      <c r="O25" s="595"/>
      <c r="P25" s="595"/>
      <c r="Q25" s="595"/>
      <c r="R25" s="595"/>
      <c r="S25" s="595"/>
      <c r="T25" s="595"/>
    </row>
    <row r="26" spans="1:20">
      <c r="A26" s="595"/>
      <c r="B26" s="1103" t="s">
        <v>1112</v>
      </c>
      <c r="C26" s="595"/>
      <c r="D26" s="595"/>
      <c r="E26" s="595"/>
      <c r="F26" s="595"/>
      <c r="G26" s="595"/>
      <c r="H26" s="595"/>
      <c r="I26" s="595"/>
      <c r="J26" s="595"/>
      <c r="K26" s="595"/>
      <c r="L26" s="595"/>
      <c r="M26" s="595"/>
      <c r="N26" s="595"/>
      <c r="O26" s="595"/>
      <c r="P26" s="595"/>
      <c r="Q26" s="595"/>
      <c r="R26" s="595"/>
      <c r="S26" s="595"/>
      <c r="T26" s="595"/>
    </row>
    <row r="27" spans="1:20">
      <c r="A27" s="595"/>
      <c r="B27" s="595"/>
      <c r="C27" s="595"/>
      <c r="D27" s="595"/>
      <c r="E27" s="595"/>
      <c r="F27" s="595"/>
      <c r="G27" s="595"/>
      <c r="H27" s="595"/>
      <c r="I27" s="595"/>
      <c r="J27" s="595"/>
      <c r="K27" s="595"/>
      <c r="L27" s="595"/>
      <c r="M27" s="595"/>
      <c r="N27" s="595"/>
      <c r="O27" s="595"/>
      <c r="P27" s="595"/>
      <c r="Q27" s="595"/>
      <c r="R27" s="595"/>
      <c r="S27" s="595"/>
      <c r="T27" s="595"/>
    </row>
    <row r="28" spans="1:20">
      <c r="A28" s="595"/>
      <c r="B28" s="1375" t="s">
        <v>1113</v>
      </c>
      <c r="C28" s="1375"/>
      <c r="D28" s="1375"/>
      <c r="E28" s="1375"/>
      <c r="F28" s="1375"/>
      <c r="G28" s="1375"/>
      <c r="H28" s="1375"/>
      <c r="I28" s="595"/>
      <c r="J28" s="595"/>
      <c r="K28" s="595"/>
      <c r="L28" s="595"/>
      <c r="M28" s="595"/>
      <c r="N28" s="595"/>
      <c r="O28" s="595"/>
      <c r="P28" s="595"/>
      <c r="Q28" s="595"/>
      <c r="R28" s="595"/>
      <c r="S28" s="595"/>
      <c r="T28" s="595"/>
    </row>
    <row r="29" spans="1:20">
      <c r="A29" s="595"/>
      <c r="B29" s="1375"/>
      <c r="C29" s="1375"/>
      <c r="D29" s="1375"/>
      <c r="E29" s="1375"/>
      <c r="F29" s="1375"/>
      <c r="G29" s="1375"/>
      <c r="H29" s="1375"/>
      <c r="I29" s="595"/>
      <c r="J29" s="595"/>
      <c r="K29" s="595"/>
      <c r="L29" s="595"/>
      <c r="M29" s="595"/>
      <c r="N29" s="595"/>
      <c r="O29" s="595"/>
      <c r="P29" s="595"/>
      <c r="Q29" s="595"/>
      <c r="R29" s="595"/>
      <c r="S29" s="595"/>
      <c r="T29" s="595"/>
    </row>
    <row r="30" spans="1:20">
      <c r="A30" s="982"/>
      <c r="B30" s="1105" t="s">
        <v>1114</v>
      </c>
      <c r="C30" s="595"/>
      <c r="D30" s="595"/>
      <c r="E30" s="595"/>
      <c r="F30" s="595"/>
      <c r="G30" s="595"/>
      <c r="H30" s="595"/>
      <c r="I30" s="595"/>
      <c r="J30" s="595"/>
      <c r="K30" s="595"/>
      <c r="L30" s="595"/>
      <c r="M30" s="595"/>
      <c r="N30" s="595"/>
      <c r="O30" s="595"/>
      <c r="P30" s="595"/>
      <c r="Q30" s="595"/>
      <c r="R30" s="595"/>
      <c r="S30" s="595"/>
      <c r="T30" s="595"/>
    </row>
    <row r="31" spans="1:20">
      <c r="A31" s="1113"/>
      <c r="B31" s="1105" t="s">
        <v>1115</v>
      </c>
      <c r="C31" s="595"/>
      <c r="D31" s="595"/>
      <c r="E31" s="595"/>
      <c r="F31" s="595"/>
      <c r="G31" s="595"/>
      <c r="H31" s="595"/>
      <c r="I31" s="595"/>
      <c r="J31" s="595"/>
      <c r="K31" s="595"/>
      <c r="L31" s="595"/>
      <c r="M31" s="595"/>
      <c r="N31" s="595"/>
      <c r="O31" s="595"/>
      <c r="P31" s="595"/>
      <c r="Q31" s="595"/>
      <c r="R31" s="595"/>
      <c r="S31" s="595"/>
      <c r="T31" s="595"/>
    </row>
    <row r="32" spans="1:20">
      <c r="A32" s="1114"/>
      <c r="B32" s="1374" t="s">
        <v>1122</v>
      </c>
      <c r="C32" s="1374"/>
      <c r="D32" s="1374"/>
      <c r="E32" s="1374"/>
      <c r="F32" s="1374"/>
      <c r="G32" s="1374"/>
      <c r="H32" s="1374"/>
      <c r="I32" s="1374"/>
      <c r="J32" s="1374"/>
      <c r="K32" s="1374"/>
      <c r="L32" s="1374"/>
      <c r="M32" s="1374"/>
      <c r="N32" s="1374"/>
      <c r="O32" s="595"/>
      <c r="P32" s="595"/>
      <c r="Q32" s="595"/>
      <c r="R32" s="595"/>
      <c r="S32" s="595"/>
      <c r="T32" s="595"/>
    </row>
    <row r="33" spans="1:20">
      <c r="A33" s="595"/>
      <c r="B33" s="1374" t="s">
        <v>1125</v>
      </c>
      <c r="C33" s="1374"/>
      <c r="D33" s="1374"/>
      <c r="E33" s="1374"/>
      <c r="F33" s="1374"/>
      <c r="G33" s="1374"/>
      <c r="H33" s="1374"/>
      <c r="I33" s="1374"/>
      <c r="J33" s="1374"/>
      <c r="K33" s="1374"/>
      <c r="L33" s="1374"/>
      <c r="M33" s="1374"/>
      <c r="N33" s="1374"/>
      <c r="O33" s="595"/>
      <c r="P33" s="595"/>
      <c r="Q33" s="595"/>
      <c r="R33" s="595"/>
      <c r="S33" s="595"/>
      <c r="T33" s="595"/>
    </row>
    <row r="34" spans="1:20">
      <c r="A34" s="595"/>
      <c r="B34" s="1105" t="s">
        <v>1123</v>
      </c>
      <c r="C34" s="1106"/>
      <c r="D34" s="1106"/>
      <c r="E34" s="1106"/>
      <c r="F34" s="1106"/>
      <c r="G34" s="1106"/>
      <c r="H34" s="1106"/>
      <c r="I34" s="1106"/>
      <c r="J34" s="1106"/>
      <c r="K34" s="1106"/>
      <c r="L34" s="1106"/>
      <c r="M34" s="1106"/>
      <c r="N34" s="1106"/>
      <c r="O34" s="595"/>
      <c r="P34" s="595"/>
      <c r="Q34" s="595"/>
      <c r="R34" s="595"/>
      <c r="S34" s="595"/>
      <c r="T34" s="595"/>
    </row>
    <row r="35" spans="1:20">
      <c r="A35" s="595"/>
      <c r="B35" s="1374"/>
      <c r="C35" s="1374"/>
      <c r="D35" s="1374"/>
      <c r="E35" s="1374"/>
      <c r="F35" s="1374"/>
      <c r="G35" s="1374"/>
      <c r="H35" s="1374"/>
      <c r="I35" s="1374"/>
      <c r="J35" s="1374"/>
      <c r="K35" s="1374"/>
      <c r="L35" s="1374"/>
      <c r="M35" s="1374"/>
      <c r="N35" s="1374"/>
      <c r="O35" s="595"/>
      <c r="P35" s="595"/>
      <c r="Q35" s="595"/>
      <c r="R35" s="595"/>
      <c r="S35" s="595"/>
      <c r="T35" s="595"/>
    </row>
    <row r="36" spans="1:20">
      <c r="A36" s="595"/>
      <c r="B36" s="1375" t="s">
        <v>1116</v>
      </c>
      <c r="C36" s="1375"/>
      <c r="D36" s="1375"/>
      <c r="E36" s="1375"/>
      <c r="F36" s="1375"/>
      <c r="G36" s="1375"/>
      <c r="H36" s="1375"/>
      <c r="I36" s="1375"/>
      <c r="J36" s="1375"/>
      <c r="K36" s="1375"/>
      <c r="L36" s="1375"/>
      <c r="M36" s="1375"/>
      <c r="N36" s="1375"/>
      <c r="O36" s="595"/>
      <c r="P36" s="595"/>
      <c r="Q36" s="595"/>
      <c r="R36" s="595"/>
      <c r="S36" s="595"/>
      <c r="T36" s="595"/>
    </row>
    <row r="37" spans="1:20">
      <c r="A37" s="595"/>
      <c r="B37" s="1106"/>
      <c r="C37" s="595"/>
      <c r="D37" s="595"/>
      <c r="E37" s="595"/>
      <c r="F37" s="595"/>
      <c r="G37" s="595"/>
      <c r="H37" s="595"/>
      <c r="I37" s="595"/>
      <c r="J37" s="595"/>
      <c r="K37" s="595"/>
      <c r="L37" s="595"/>
      <c r="M37" s="595"/>
      <c r="N37" s="595"/>
      <c r="O37" s="595"/>
      <c r="P37" s="595"/>
      <c r="Q37" s="595"/>
      <c r="R37" s="595"/>
      <c r="S37" s="595"/>
      <c r="T37" s="595"/>
    </row>
    <row r="38" spans="1:20">
      <c r="A38" s="595"/>
      <c r="B38" s="1106"/>
      <c r="C38" s="595"/>
      <c r="D38" s="595"/>
      <c r="E38" s="595"/>
      <c r="F38" s="595"/>
      <c r="G38" s="595"/>
      <c r="H38" s="595"/>
      <c r="I38" s="595"/>
      <c r="J38" s="595"/>
      <c r="K38" s="595"/>
      <c r="L38" s="595"/>
      <c r="M38" s="595"/>
      <c r="N38" s="595"/>
      <c r="O38" s="595"/>
      <c r="P38" s="595"/>
      <c r="Q38" s="595"/>
      <c r="R38" s="595"/>
      <c r="S38" s="595"/>
      <c r="T38" s="595"/>
    </row>
    <row r="39" spans="1:20">
      <c r="A39" s="595"/>
      <c r="B39" s="1107"/>
      <c r="C39" s="595"/>
      <c r="D39" s="595"/>
      <c r="E39" s="595"/>
      <c r="F39" s="595"/>
      <c r="G39" s="595"/>
      <c r="H39" s="595"/>
      <c r="I39" s="595"/>
      <c r="J39" s="595"/>
      <c r="K39" s="595"/>
      <c r="L39" s="595"/>
      <c r="M39" s="595"/>
      <c r="N39" s="595"/>
      <c r="O39" s="595"/>
      <c r="P39" s="595"/>
      <c r="Q39" s="595"/>
      <c r="R39" s="595"/>
      <c r="S39" s="595"/>
      <c r="T39" s="595"/>
    </row>
    <row r="40" spans="1:20">
      <c r="A40" s="595"/>
      <c r="B40" s="1108"/>
      <c r="C40" s="595"/>
      <c r="D40" s="595"/>
      <c r="E40" s="595"/>
      <c r="F40" s="595"/>
      <c r="G40" s="595"/>
      <c r="H40" s="595"/>
      <c r="I40" s="595"/>
      <c r="J40" s="595"/>
      <c r="K40" s="595"/>
      <c r="L40" s="595"/>
      <c r="M40" s="595"/>
      <c r="N40" s="595"/>
      <c r="O40" s="595"/>
      <c r="P40" s="595"/>
      <c r="Q40" s="595"/>
      <c r="R40" s="595"/>
      <c r="S40" s="595"/>
      <c r="T40" s="595"/>
    </row>
    <row r="41" spans="1:20">
      <c r="A41" s="595" t="s">
        <v>1117</v>
      </c>
      <c r="B41" s="595"/>
      <c r="C41" s="595"/>
      <c r="D41" s="595"/>
      <c r="E41" s="595"/>
      <c r="F41" s="595"/>
      <c r="G41" s="595"/>
      <c r="H41" s="595"/>
      <c r="I41" s="595"/>
      <c r="J41" s="595"/>
      <c r="K41" s="595"/>
      <c r="L41" s="595"/>
      <c r="M41" s="595"/>
      <c r="N41" s="595"/>
      <c r="O41" s="595"/>
      <c r="P41" s="595"/>
      <c r="Q41" s="595"/>
      <c r="R41" s="595"/>
      <c r="S41" s="595"/>
      <c r="T41" s="595"/>
    </row>
    <row r="42" spans="1:20">
      <c r="A42" s="595"/>
      <c r="B42" s="1107"/>
      <c r="C42" s="595"/>
      <c r="D42" s="595"/>
      <c r="E42" s="595"/>
      <c r="F42" s="595"/>
      <c r="G42" s="595"/>
      <c r="H42" s="595"/>
      <c r="I42" s="595"/>
      <c r="J42" s="595"/>
      <c r="K42" s="595"/>
      <c r="L42" s="595"/>
      <c r="M42" s="595"/>
      <c r="N42" s="595"/>
      <c r="O42" s="595"/>
      <c r="P42" s="595"/>
      <c r="Q42" s="595"/>
      <c r="R42" s="595"/>
      <c r="S42" s="595"/>
      <c r="T42" s="595"/>
    </row>
    <row r="43" spans="1:20">
      <c r="A43" s="595"/>
      <c r="B43" s="1106"/>
      <c r="C43" s="595"/>
      <c r="D43" s="595"/>
      <c r="E43" s="595"/>
      <c r="F43" s="595"/>
      <c r="G43" s="595"/>
      <c r="H43" s="595"/>
      <c r="I43" s="595"/>
      <c r="J43" s="595"/>
      <c r="K43" s="595"/>
      <c r="L43" s="595"/>
      <c r="M43" s="595"/>
      <c r="N43" s="595"/>
      <c r="O43" s="595"/>
      <c r="P43" s="595"/>
      <c r="Q43" s="595"/>
      <c r="R43" s="595"/>
      <c r="S43" s="595"/>
      <c r="T43" s="595"/>
    </row>
    <row r="44" spans="1:20">
      <c r="A44" s="595"/>
      <c r="B44" s="1106"/>
      <c r="C44" s="595"/>
      <c r="D44" s="595"/>
      <c r="E44" s="595"/>
      <c r="F44" s="595"/>
      <c r="G44" s="595"/>
      <c r="H44" s="595"/>
      <c r="I44" s="595"/>
      <c r="J44" s="595"/>
      <c r="K44" s="595"/>
      <c r="L44" s="595"/>
      <c r="M44" s="595"/>
      <c r="N44" s="595"/>
      <c r="O44" s="595"/>
      <c r="P44" s="595"/>
      <c r="Q44" s="595"/>
      <c r="R44" s="595"/>
      <c r="S44" s="595"/>
      <c r="T44" s="595"/>
    </row>
    <row r="45" spans="1:20">
      <c r="A45" s="595"/>
      <c r="B45" s="1107"/>
      <c r="C45" s="595"/>
      <c r="D45" s="595"/>
      <c r="E45" s="595"/>
      <c r="F45" s="595"/>
      <c r="G45" s="595"/>
      <c r="H45" s="595"/>
      <c r="I45" s="595"/>
      <c r="J45" s="595"/>
      <c r="K45" s="595"/>
      <c r="L45" s="595"/>
      <c r="M45" s="595"/>
      <c r="N45" s="595"/>
      <c r="O45" s="595"/>
      <c r="P45" s="595"/>
      <c r="Q45" s="595"/>
      <c r="R45" s="595"/>
      <c r="S45" s="595"/>
      <c r="T45" s="595"/>
    </row>
    <row r="46" spans="1:20">
      <c r="A46" s="595"/>
      <c r="B46" s="1109"/>
      <c r="C46" s="595"/>
      <c r="D46" s="595"/>
      <c r="E46" s="595"/>
      <c r="F46" s="595"/>
      <c r="G46" s="595"/>
      <c r="H46" s="595"/>
      <c r="I46" s="595"/>
      <c r="J46" s="595"/>
      <c r="K46" s="595"/>
      <c r="L46" s="595"/>
      <c r="M46" s="595"/>
      <c r="N46" s="595"/>
      <c r="O46" s="595"/>
      <c r="P46" s="595"/>
      <c r="Q46" s="595"/>
      <c r="R46" s="595"/>
      <c r="S46" s="595"/>
      <c r="T46" s="595"/>
    </row>
    <row r="47" spans="1:20">
      <c r="A47" s="595" t="s">
        <v>1119</v>
      </c>
      <c r="B47" s="595"/>
      <c r="C47" s="595"/>
      <c r="D47" s="595"/>
      <c r="E47" s="595"/>
      <c r="F47" s="595"/>
      <c r="G47" s="595"/>
      <c r="H47" s="595"/>
      <c r="I47" s="595"/>
      <c r="J47" s="595"/>
      <c r="K47" s="595"/>
      <c r="L47" s="595"/>
      <c r="M47" s="595"/>
      <c r="N47" s="595"/>
      <c r="O47" s="595"/>
      <c r="P47" s="595"/>
      <c r="Q47" s="595"/>
      <c r="R47" s="595"/>
      <c r="S47" s="595"/>
      <c r="T47" s="595"/>
    </row>
    <row r="48" spans="1:20">
      <c r="A48" s="595" t="s">
        <v>1121</v>
      </c>
      <c r="B48" s="1107"/>
      <c r="C48" s="595"/>
      <c r="D48" s="595"/>
      <c r="E48" s="595"/>
      <c r="F48" s="595"/>
      <c r="G48" s="595"/>
      <c r="H48" s="595"/>
      <c r="I48" s="595"/>
      <c r="J48" s="595"/>
      <c r="K48" s="595"/>
      <c r="L48" s="595"/>
      <c r="M48" s="595"/>
      <c r="N48" s="595"/>
      <c r="O48" s="595" t="s">
        <v>1126</v>
      </c>
      <c r="P48" s="595"/>
      <c r="Q48" s="595"/>
      <c r="R48" s="595"/>
      <c r="S48" s="595"/>
      <c r="T48" s="595"/>
    </row>
    <row r="49" spans="1:20">
      <c r="A49" s="595"/>
      <c r="B49" s="1106"/>
      <c r="C49" s="595"/>
      <c r="D49" s="595"/>
      <c r="E49" s="595"/>
      <c r="F49" s="595"/>
      <c r="G49" s="595"/>
      <c r="H49" s="595"/>
      <c r="I49" s="595"/>
      <c r="J49" s="595"/>
      <c r="K49" s="595"/>
      <c r="L49" s="595"/>
      <c r="M49" s="595"/>
      <c r="N49" s="595"/>
      <c r="O49" s="595"/>
      <c r="P49" s="595"/>
      <c r="Q49" s="595"/>
      <c r="R49" s="595"/>
      <c r="S49" s="595"/>
      <c r="T49" s="595"/>
    </row>
    <row r="50" spans="1:20">
      <c r="A50" s="595"/>
      <c r="B50" s="1106"/>
      <c r="C50" s="595"/>
      <c r="D50" s="595"/>
      <c r="E50" s="595"/>
      <c r="F50" s="595"/>
      <c r="G50" s="595"/>
      <c r="H50" s="595"/>
      <c r="I50" s="595"/>
      <c r="J50" s="595"/>
      <c r="K50" s="595"/>
      <c r="L50" s="595"/>
      <c r="M50" s="595"/>
      <c r="N50" s="595"/>
      <c r="O50" s="595"/>
      <c r="P50" s="595"/>
      <c r="Q50" s="595"/>
      <c r="R50" s="595"/>
      <c r="S50" s="595"/>
      <c r="T50" s="595"/>
    </row>
    <row r="51" spans="1:20">
      <c r="A51" s="595" t="s">
        <v>1118</v>
      </c>
      <c r="B51" s="1106"/>
      <c r="C51" s="595"/>
      <c r="D51" s="595"/>
      <c r="E51" s="595"/>
      <c r="F51" s="595"/>
      <c r="G51" s="595"/>
      <c r="H51" s="595"/>
      <c r="I51" s="595"/>
      <c r="J51" s="595"/>
      <c r="K51" s="595"/>
      <c r="L51" s="595"/>
      <c r="M51" s="595"/>
      <c r="N51" s="595"/>
      <c r="O51" s="595"/>
      <c r="P51" s="595"/>
      <c r="Q51" s="595"/>
      <c r="R51" s="595"/>
      <c r="S51" s="595"/>
      <c r="T51" s="595"/>
    </row>
    <row r="52" spans="1:20">
      <c r="A52" s="595" t="s">
        <v>1120</v>
      </c>
      <c r="B52" s="1109"/>
      <c r="C52" s="595"/>
      <c r="D52" s="595"/>
      <c r="E52" s="595"/>
      <c r="F52" s="595"/>
      <c r="G52" s="595"/>
      <c r="H52" s="595"/>
      <c r="I52" s="595"/>
      <c r="J52" s="595"/>
      <c r="K52" s="595"/>
      <c r="L52" s="595"/>
      <c r="M52" s="595"/>
      <c r="N52" s="595"/>
      <c r="O52" s="595"/>
      <c r="P52" s="595"/>
      <c r="Q52" s="595"/>
      <c r="R52" s="595"/>
      <c r="S52" s="595"/>
      <c r="T52" s="595"/>
    </row>
    <row r="53" spans="1:20">
      <c r="A53" s="595"/>
      <c r="B53" s="595"/>
      <c r="C53" s="595"/>
      <c r="D53" s="595"/>
      <c r="E53" s="595"/>
      <c r="F53" s="595"/>
      <c r="G53" s="595"/>
      <c r="H53" s="595"/>
      <c r="I53" s="595"/>
      <c r="J53" s="595"/>
      <c r="K53" s="595"/>
      <c r="L53" s="595"/>
      <c r="M53" s="595"/>
      <c r="N53" s="595"/>
      <c r="O53" s="595"/>
      <c r="P53" s="595"/>
      <c r="Q53" s="595"/>
      <c r="R53" s="595"/>
      <c r="S53" s="595"/>
      <c r="T53" s="595"/>
    </row>
    <row r="54" spans="1:20">
      <c r="A54" s="595"/>
      <c r="B54" s="1106"/>
      <c r="C54" s="595"/>
      <c r="D54" s="595"/>
      <c r="E54" s="595"/>
      <c r="F54" s="595"/>
      <c r="G54" s="595"/>
      <c r="H54" s="595"/>
      <c r="I54" s="595"/>
      <c r="J54" s="595"/>
      <c r="K54" s="595"/>
      <c r="L54" s="595"/>
      <c r="M54" s="595"/>
      <c r="N54" s="595"/>
      <c r="O54" s="595"/>
      <c r="P54" s="595"/>
      <c r="Q54" s="595"/>
      <c r="R54" s="595"/>
      <c r="S54" s="595"/>
      <c r="T54" s="595"/>
    </row>
    <row r="55" spans="1:20">
      <c r="A55" s="595"/>
      <c r="B55" s="1107"/>
      <c r="C55" s="595"/>
      <c r="D55" s="595"/>
      <c r="E55" s="595"/>
      <c r="F55" s="595"/>
      <c r="G55" s="595"/>
      <c r="H55" s="595"/>
      <c r="I55" s="595"/>
      <c r="J55" s="595"/>
      <c r="K55" s="595"/>
      <c r="L55" s="595"/>
      <c r="M55" s="595"/>
      <c r="N55" s="595"/>
      <c r="O55" s="595"/>
      <c r="P55" s="595"/>
      <c r="Q55" s="595"/>
      <c r="R55" s="595"/>
      <c r="S55" s="595"/>
      <c r="T55" s="595"/>
    </row>
    <row r="56" spans="1:20">
      <c r="A56" s="595"/>
      <c r="B56" s="1106"/>
      <c r="C56" s="595"/>
      <c r="D56" s="595"/>
      <c r="E56" s="595"/>
      <c r="F56" s="595"/>
      <c r="G56" s="595"/>
      <c r="H56" s="595"/>
      <c r="I56" s="595"/>
      <c r="J56" s="595"/>
      <c r="K56" s="595"/>
      <c r="L56" s="595"/>
      <c r="M56" s="595"/>
      <c r="N56" s="595"/>
      <c r="O56" s="595"/>
      <c r="P56" s="595"/>
      <c r="Q56" s="595"/>
      <c r="R56" s="595"/>
      <c r="S56" s="595"/>
      <c r="T56" s="595"/>
    </row>
    <row r="57" spans="1:20">
      <c r="A57" s="595"/>
      <c r="B57" s="1106"/>
      <c r="C57" s="595"/>
      <c r="D57" s="595"/>
      <c r="E57" s="595"/>
      <c r="F57" s="595"/>
      <c r="G57" s="595"/>
      <c r="H57" s="595"/>
      <c r="I57" s="595"/>
      <c r="J57" s="595"/>
      <c r="K57" s="595"/>
      <c r="L57" s="595"/>
      <c r="M57" s="595"/>
      <c r="N57" s="595"/>
      <c r="O57" s="595"/>
      <c r="P57" s="595"/>
      <c r="Q57" s="595"/>
      <c r="R57" s="595"/>
      <c r="S57" s="595"/>
      <c r="T57" s="595"/>
    </row>
    <row r="58" spans="1:20">
      <c r="A58" s="595"/>
      <c r="B58" s="1106"/>
      <c r="C58" s="595"/>
      <c r="D58" s="595"/>
      <c r="E58" s="595"/>
      <c r="F58" s="595"/>
      <c r="G58" s="595"/>
      <c r="H58" s="595"/>
      <c r="I58" s="595"/>
      <c r="J58" s="595"/>
      <c r="K58" s="595"/>
      <c r="L58" s="595"/>
      <c r="M58" s="595"/>
      <c r="N58" s="595"/>
      <c r="O58" s="595"/>
      <c r="P58" s="595"/>
      <c r="Q58" s="595"/>
      <c r="R58" s="595"/>
      <c r="S58" s="595"/>
      <c r="T58" s="595"/>
    </row>
    <row r="59" spans="1:20">
      <c r="A59" s="595"/>
      <c r="B59" s="1103"/>
      <c r="C59" s="595"/>
      <c r="D59" s="595"/>
      <c r="E59" s="595"/>
      <c r="F59" s="595"/>
      <c r="G59" s="595"/>
      <c r="H59" s="595"/>
      <c r="I59" s="595"/>
      <c r="J59" s="595"/>
      <c r="K59" s="595"/>
      <c r="L59" s="595"/>
      <c r="M59" s="595"/>
      <c r="N59" s="595"/>
      <c r="O59" s="595"/>
      <c r="P59" s="595"/>
      <c r="Q59" s="595"/>
      <c r="R59" s="595"/>
      <c r="S59" s="595"/>
      <c r="T59" s="595"/>
    </row>
    <row r="60" spans="1:20">
      <c r="A60" s="595"/>
      <c r="B60" s="1110"/>
      <c r="C60" s="595"/>
      <c r="D60" s="595"/>
      <c r="E60" s="595"/>
      <c r="F60" s="595"/>
      <c r="G60" s="595"/>
      <c r="H60" s="595"/>
      <c r="I60" s="595"/>
      <c r="J60" s="595"/>
      <c r="K60" s="595"/>
      <c r="L60" s="595"/>
      <c r="M60" s="595"/>
      <c r="N60" s="595"/>
      <c r="O60" s="595"/>
      <c r="P60" s="595"/>
      <c r="Q60" s="595"/>
      <c r="R60" s="595"/>
      <c r="S60" s="595"/>
      <c r="T60" s="595"/>
    </row>
    <row r="61" spans="1:20">
      <c r="A61" s="595"/>
      <c r="B61" s="1110"/>
      <c r="C61" s="595"/>
      <c r="D61" s="595"/>
      <c r="E61" s="595"/>
      <c r="F61" s="595"/>
      <c r="G61" s="595"/>
      <c r="H61" s="595"/>
      <c r="I61" s="595"/>
      <c r="J61" s="595"/>
      <c r="K61" s="595"/>
      <c r="L61" s="595"/>
      <c r="M61" s="595"/>
      <c r="N61" s="595"/>
      <c r="O61" s="595"/>
      <c r="P61" s="595"/>
      <c r="Q61" s="595"/>
      <c r="R61" s="595"/>
      <c r="S61" s="595"/>
      <c r="T61" s="595"/>
    </row>
    <row r="62" spans="1:20">
      <c r="A62" s="595"/>
      <c r="B62" s="1107"/>
      <c r="C62" s="595"/>
      <c r="D62" s="595"/>
      <c r="E62" s="595"/>
      <c r="F62" s="595"/>
      <c r="G62" s="595"/>
      <c r="H62" s="595"/>
      <c r="I62" s="595"/>
      <c r="J62" s="595"/>
      <c r="K62" s="595"/>
      <c r="L62" s="595"/>
      <c r="M62" s="595"/>
      <c r="N62" s="595"/>
      <c r="O62" s="595"/>
      <c r="P62" s="595"/>
      <c r="Q62" s="595"/>
      <c r="R62" s="595"/>
      <c r="S62" s="595"/>
      <c r="T62" s="595"/>
    </row>
    <row r="63" spans="1:20">
      <c r="A63" s="595" t="s">
        <v>1124</v>
      </c>
      <c r="B63" s="1106"/>
      <c r="C63" s="595"/>
      <c r="D63" s="595"/>
      <c r="E63" s="595"/>
      <c r="F63" s="595"/>
      <c r="G63" s="595"/>
      <c r="H63" s="595"/>
      <c r="I63" s="595"/>
      <c r="J63" s="595"/>
      <c r="K63" s="595"/>
      <c r="L63" s="595"/>
      <c r="M63" s="595"/>
      <c r="N63" s="595"/>
      <c r="O63" s="595"/>
      <c r="P63" s="595"/>
      <c r="Q63" s="595"/>
      <c r="R63" s="595"/>
      <c r="S63" s="595"/>
      <c r="T63" s="595"/>
    </row>
    <row r="64" spans="1:20">
      <c r="A64" s="595"/>
      <c r="B64" s="1107"/>
      <c r="C64" s="595"/>
      <c r="D64" s="595"/>
      <c r="E64" s="595"/>
      <c r="F64" s="595"/>
      <c r="G64" s="595"/>
      <c r="H64" s="595"/>
      <c r="I64" s="595"/>
      <c r="J64" s="595"/>
      <c r="K64" s="595"/>
      <c r="L64" s="595"/>
      <c r="M64" s="595"/>
      <c r="N64" s="595"/>
      <c r="O64" s="595"/>
      <c r="P64" s="595"/>
      <c r="Q64" s="595"/>
      <c r="R64" s="595"/>
      <c r="S64" s="595"/>
      <c r="T64" s="595"/>
    </row>
    <row r="65" spans="1:20">
      <c r="A65" s="595"/>
      <c r="B65" s="595"/>
      <c r="C65" s="595"/>
      <c r="D65" s="1106"/>
      <c r="E65" s="595"/>
      <c r="F65" s="595"/>
      <c r="G65" s="595"/>
      <c r="H65" s="595"/>
      <c r="I65" s="595"/>
      <c r="J65" s="595"/>
      <c r="K65" s="595"/>
      <c r="L65" s="595"/>
      <c r="M65" s="595"/>
      <c r="N65" s="595"/>
      <c r="O65" s="595"/>
      <c r="P65" s="595"/>
      <c r="Q65" s="595"/>
      <c r="R65" s="595"/>
      <c r="S65" s="595"/>
      <c r="T65" s="595"/>
    </row>
    <row r="66" spans="1:20">
      <c r="A66" s="595"/>
      <c r="B66" s="1373" t="s">
        <v>1127</v>
      </c>
      <c r="C66" s="1373"/>
      <c r="D66" s="1373"/>
      <c r="E66" s="595"/>
      <c r="F66" s="595"/>
      <c r="G66" s="595"/>
      <c r="H66" s="595"/>
      <c r="I66" s="595"/>
      <c r="J66" s="595"/>
      <c r="K66" s="595"/>
      <c r="L66" s="595"/>
      <c r="M66" s="595"/>
      <c r="N66" s="595"/>
      <c r="O66" s="595"/>
      <c r="P66" s="595"/>
      <c r="Q66" s="595"/>
      <c r="R66" s="595"/>
      <c r="S66" s="595"/>
      <c r="T66" s="595"/>
    </row>
    <row r="67" spans="1:20">
      <c r="A67" s="595"/>
      <c r="B67" s="1106"/>
      <c r="C67" s="595"/>
      <c r="D67" s="595"/>
      <c r="E67" s="595"/>
      <c r="F67" s="595"/>
      <c r="G67" s="595"/>
      <c r="H67" s="595"/>
      <c r="I67" s="595"/>
      <c r="J67" s="595"/>
      <c r="K67" s="595"/>
      <c r="L67" s="595"/>
      <c r="M67" s="595"/>
      <c r="N67" s="595"/>
      <c r="O67" s="595"/>
      <c r="P67" s="595"/>
      <c r="Q67" s="595"/>
      <c r="R67" s="595"/>
      <c r="S67" s="595"/>
      <c r="T67" s="595"/>
    </row>
    <row r="68" spans="1:20">
      <c r="A68" s="595"/>
      <c r="B68" s="1374" t="s">
        <v>1128</v>
      </c>
      <c r="C68" s="1374"/>
      <c r="D68" s="1374"/>
      <c r="E68" s="1374"/>
      <c r="F68" s="1374"/>
      <c r="G68" s="1374"/>
      <c r="H68" s="1374"/>
      <c r="I68" s="1374"/>
      <c r="J68" s="1374"/>
      <c r="K68" s="1374"/>
      <c r="L68" s="1374"/>
      <c r="M68" s="1374"/>
      <c r="N68" s="1374"/>
      <c r="O68" s="595"/>
      <c r="P68" s="595"/>
      <c r="Q68" s="595"/>
      <c r="R68" s="595"/>
      <c r="S68" s="595"/>
      <c r="T68" s="595"/>
    </row>
    <row r="69" spans="1:20">
      <c r="A69" s="595"/>
      <c r="B69" s="1106"/>
      <c r="C69" s="595"/>
      <c r="D69" s="595"/>
      <c r="E69" s="595"/>
      <c r="F69" s="595"/>
      <c r="G69" s="595"/>
      <c r="H69" s="595"/>
      <c r="I69" s="595"/>
      <c r="J69" s="595"/>
      <c r="K69" s="595"/>
      <c r="L69" s="595"/>
      <c r="M69" s="595"/>
      <c r="N69" s="595"/>
      <c r="O69" s="595"/>
      <c r="P69" s="595"/>
      <c r="Q69" s="595"/>
      <c r="R69" s="595"/>
      <c r="S69" s="595"/>
      <c r="T69" s="595"/>
    </row>
    <row r="70" spans="1:20">
      <c r="A70" s="595"/>
      <c r="B70" s="595"/>
      <c r="C70" s="595"/>
      <c r="D70" s="595"/>
      <c r="E70" s="595"/>
      <c r="F70" s="595"/>
      <c r="G70" s="595"/>
      <c r="H70" s="595"/>
      <c r="I70" s="595"/>
      <c r="J70" s="595"/>
      <c r="K70" s="595"/>
      <c r="L70" s="595"/>
      <c r="M70" s="595"/>
      <c r="N70" s="595"/>
      <c r="O70" s="595"/>
      <c r="P70" s="595"/>
      <c r="Q70" s="595"/>
      <c r="R70" s="595"/>
      <c r="S70" s="595"/>
      <c r="T70" s="595"/>
    </row>
    <row r="71" spans="1:20">
      <c r="A71" s="595"/>
      <c r="B71" s="1111" t="s">
        <v>1129</v>
      </c>
      <c r="C71" s="595"/>
      <c r="D71" s="595"/>
      <c r="E71" s="595"/>
      <c r="F71" s="595"/>
      <c r="G71" s="595"/>
      <c r="H71" s="595"/>
      <c r="I71" s="595"/>
      <c r="J71" s="595"/>
      <c r="K71" s="595"/>
      <c r="L71" s="595"/>
      <c r="M71" s="595"/>
      <c r="N71" s="595"/>
      <c r="O71" s="595"/>
      <c r="P71" s="595"/>
      <c r="Q71" s="595"/>
      <c r="R71" s="595"/>
      <c r="S71" s="595"/>
      <c r="T71" s="595"/>
    </row>
    <row r="72" spans="1:20">
      <c r="A72" s="595"/>
      <c r="B72" s="595"/>
      <c r="C72" s="595"/>
      <c r="D72" s="595"/>
      <c r="E72" s="595"/>
      <c r="F72" s="595"/>
      <c r="G72" s="595"/>
      <c r="H72" s="595"/>
      <c r="I72" s="595"/>
      <c r="J72" s="595"/>
      <c r="K72" s="595"/>
      <c r="L72" s="595"/>
      <c r="M72" s="595"/>
      <c r="N72" s="595"/>
      <c r="O72" s="595"/>
      <c r="P72" s="595"/>
      <c r="Q72" s="595"/>
      <c r="R72" s="595"/>
      <c r="S72" s="595"/>
      <c r="T72" s="595"/>
    </row>
    <row r="73" spans="1:20">
      <c r="A73" s="595"/>
      <c r="B73" s="595"/>
      <c r="C73" s="595"/>
      <c r="D73" s="595"/>
      <c r="E73" s="595"/>
      <c r="F73" s="595"/>
      <c r="G73" s="595"/>
      <c r="H73" s="595"/>
      <c r="I73" s="595"/>
      <c r="J73" s="595"/>
      <c r="K73" s="595"/>
      <c r="L73" s="595"/>
      <c r="M73" s="595"/>
      <c r="N73" s="595"/>
      <c r="O73" s="595"/>
      <c r="P73" s="595"/>
      <c r="Q73" s="595"/>
      <c r="R73" s="595"/>
      <c r="S73" s="595"/>
      <c r="T73" s="595"/>
    </row>
    <row r="74" spans="1:20">
      <c r="A74" s="595"/>
      <c r="B74" s="595"/>
      <c r="C74" s="595"/>
      <c r="D74" s="595"/>
      <c r="E74" s="595"/>
      <c r="F74" s="595"/>
      <c r="G74" s="595"/>
      <c r="H74" s="595"/>
      <c r="I74" s="595"/>
      <c r="J74" s="595"/>
      <c r="K74" s="595"/>
      <c r="L74" s="595"/>
      <c r="M74" s="595"/>
      <c r="N74" s="595"/>
      <c r="O74" s="595"/>
      <c r="P74" s="595"/>
      <c r="Q74" s="595"/>
      <c r="R74" s="595"/>
      <c r="S74" s="595"/>
      <c r="T74" s="595"/>
    </row>
    <row r="75" spans="1:20">
      <c r="A75" s="595"/>
      <c r="B75" s="595"/>
      <c r="C75" s="595"/>
      <c r="D75" s="595"/>
      <c r="E75" s="595"/>
      <c r="F75" s="595"/>
      <c r="G75" s="595"/>
      <c r="H75" s="595"/>
      <c r="I75" s="595"/>
      <c r="J75" s="595"/>
      <c r="K75" s="595"/>
      <c r="L75" s="595"/>
      <c r="M75" s="595"/>
      <c r="N75" s="595"/>
      <c r="O75" s="595"/>
      <c r="P75" s="595"/>
      <c r="Q75" s="595"/>
      <c r="R75" s="595"/>
      <c r="S75" s="595"/>
      <c r="T75" s="595"/>
    </row>
    <row r="76" spans="1:20">
      <c r="A76" s="595"/>
      <c r="B76" s="595"/>
      <c r="C76" s="595"/>
      <c r="D76" s="595"/>
      <c r="E76" s="595"/>
      <c r="F76" s="595"/>
      <c r="G76" s="595"/>
      <c r="H76" s="595"/>
      <c r="I76" s="595"/>
      <c r="J76" s="595"/>
      <c r="K76" s="595"/>
      <c r="L76" s="595"/>
      <c r="M76" s="595"/>
      <c r="N76" s="595"/>
      <c r="O76" s="595"/>
      <c r="P76" s="595"/>
      <c r="Q76" s="595"/>
      <c r="R76" s="595"/>
      <c r="S76" s="595"/>
      <c r="T76" s="595"/>
    </row>
    <row r="77" spans="1:20">
      <c r="A77" s="595"/>
      <c r="B77" s="595"/>
      <c r="C77" s="595"/>
      <c r="D77" s="595"/>
      <c r="E77" s="595"/>
      <c r="F77" s="595"/>
      <c r="G77" s="595"/>
      <c r="H77" s="595"/>
      <c r="I77" s="595"/>
      <c r="J77" s="595"/>
      <c r="K77" s="595"/>
      <c r="L77" s="595"/>
      <c r="M77" s="595"/>
      <c r="N77" s="595"/>
      <c r="O77" s="595"/>
      <c r="P77" s="595"/>
      <c r="Q77" s="595"/>
      <c r="R77" s="595"/>
      <c r="S77" s="595"/>
      <c r="T77" s="595"/>
    </row>
    <row r="78" spans="1:20">
      <c r="A78" s="595"/>
      <c r="B78" s="595"/>
      <c r="C78" s="595"/>
      <c r="D78" s="595"/>
      <c r="E78" s="595"/>
      <c r="F78" s="595"/>
      <c r="G78" s="595"/>
      <c r="H78" s="595"/>
      <c r="I78" s="595"/>
      <c r="J78" s="595"/>
      <c r="K78" s="595"/>
      <c r="L78" s="595"/>
      <c r="M78" s="595"/>
      <c r="N78" s="595"/>
      <c r="O78" s="595"/>
      <c r="P78" s="595"/>
      <c r="Q78" s="595"/>
      <c r="R78" s="595"/>
      <c r="S78" s="595"/>
      <c r="T78" s="595"/>
    </row>
    <row r="79" spans="1:20">
      <c r="A79" s="595"/>
      <c r="B79" s="595"/>
      <c r="C79" s="595"/>
      <c r="D79" s="595"/>
      <c r="E79" s="595"/>
      <c r="F79" s="595"/>
      <c r="G79" s="595"/>
      <c r="H79" s="595"/>
      <c r="I79" s="595"/>
      <c r="J79" s="595"/>
      <c r="K79" s="595"/>
      <c r="L79" s="595"/>
      <c r="M79" s="595"/>
      <c r="N79" s="595"/>
      <c r="O79" s="595"/>
      <c r="P79" s="595"/>
      <c r="Q79" s="595"/>
      <c r="R79" s="595"/>
      <c r="S79" s="595"/>
      <c r="T79" s="595"/>
    </row>
    <row r="80" spans="1:20">
      <c r="A80" s="595"/>
      <c r="B80" s="595"/>
      <c r="C80" s="595"/>
      <c r="D80" s="595"/>
      <c r="E80" s="595"/>
      <c r="F80" s="595"/>
      <c r="G80" s="595"/>
      <c r="H80" s="595"/>
      <c r="I80" s="595"/>
      <c r="J80" s="595"/>
      <c r="K80" s="595"/>
      <c r="L80" s="595"/>
      <c r="M80" s="595"/>
      <c r="N80" s="595"/>
      <c r="O80" s="595"/>
      <c r="P80" s="595"/>
      <c r="Q80" s="595"/>
      <c r="R80" s="595"/>
      <c r="S80" s="595"/>
      <c r="T80" s="595"/>
    </row>
    <row r="81" spans="1:20">
      <c r="A81" s="595"/>
      <c r="B81" s="595"/>
      <c r="C81" s="595"/>
      <c r="D81" s="595"/>
      <c r="E81" s="595"/>
      <c r="F81" s="595"/>
      <c r="G81" s="595"/>
      <c r="H81" s="595"/>
      <c r="I81" s="595"/>
      <c r="J81" s="595"/>
      <c r="K81" s="595"/>
      <c r="L81" s="595"/>
      <c r="M81" s="595"/>
      <c r="N81" s="595"/>
      <c r="O81" s="595"/>
      <c r="P81" s="595"/>
      <c r="Q81" s="595"/>
      <c r="R81" s="595"/>
      <c r="S81" s="595"/>
      <c r="T81" s="595"/>
    </row>
    <row r="82" spans="1:20">
      <c r="A82" s="595"/>
      <c r="B82" s="595"/>
      <c r="C82" s="595"/>
      <c r="D82" s="595"/>
      <c r="E82" s="595"/>
      <c r="F82" s="595"/>
      <c r="G82" s="595"/>
      <c r="H82" s="595"/>
      <c r="I82" s="595"/>
      <c r="J82" s="595"/>
      <c r="K82" s="595"/>
      <c r="L82" s="595"/>
      <c r="M82" s="595"/>
      <c r="N82" s="595"/>
      <c r="O82" s="595"/>
      <c r="P82" s="595"/>
      <c r="Q82" s="595"/>
      <c r="R82" s="595"/>
      <c r="S82" s="595"/>
      <c r="T82" s="595"/>
    </row>
    <row r="83" spans="1:20">
      <c r="A83" s="595"/>
      <c r="B83" s="595"/>
      <c r="C83" s="595"/>
      <c r="D83" s="595"/>
      <c r="E83" s="595"/>
      <c r="F83" s="595"/>
      <c r="G83" s="595"/>
      <c r="H83" s="595"/>
      <c r="I83" s="595"/>
      <c r="J83" s="595"/>
      <c r="K83" s="595"/>
      <c r="L83" s="595"/>
      <c r="M83" s="595"/>
      <c r="N83" s="595"/>
      <c r="O83" s="595"/>
      <c r="P83" s="595"/>
      <c r="Q83" s="595"/>
      <c r="R83" s="595"/>
      <c r="S83" s="595"/>
      <c r="T83" s="595"/>
    </row>
    <row r="84" spans="1:20">
      <c r="A84" s="595"/>
      <c r="B84" s="595"/>
      <c r="C84" s="595"/>
      <c r="D84" s="595"/>
      <c r="E84" s="595"/>
      <c r="F84" s="595"/>
      <c r="G84" s="595"/>
      <c r="H84" s="595"/>
      <c r="I84" s="595"/>
      <c r="J84" s="595"/>
      <c r="K84" s="595"/>
      <c r="L84" s="595"/>
      <c r="M84" s="595"/>
      <c r="N84" s="595"/>
      <c r="O84" s="595"/>
      <c r="P84" s="595"/>
      <c r="Q84" s="595"/>
      <c r="R84" s="595"/>
      <c r="S84" s="595"/>
      <c r="T84" s="595"/>
    </row>
    <row r="85" spans="1:20">
      <c r="A85" s="595"/>
      <c r="B85" s="595"/>
      <c r="C85" s="595"/>
      <c r="D85" s="595"/>
      <c r="E85" s="595"/>
      <c r="F85" s="595"/>
      <c r="G85" s="595"/>
      <c r="H85" s="595"/>
      <c r="I85" s="595"/>
      <c r="J85" s="595"/>
      <c r="K85" s="595"/>
      <c r="L85" s="595"/>
      <c r="M85" s="595"/>
      <c r="N85" s="595"/>
      <c r="O85" s="595"/>
      <c r="P85" s="595"/>
      <c r="Q85" s="595"/>
      <c r="R85" s="595"/>
      <c r="S85" s="595"/>
      <c r="T85" s="595"/>
    </row>
    <row r="86" spans="1:20">
      <c r="A86" s="595"/>
      <c r="B86" s="595"/>
      <c r="C86" s="595"/>
      <c r="D86" s="595"/>
      <c r="E86" s="595"/>
      <c r="F86" s="595"/>
      <c r="G86" s="595"/>
      <c r="H86" s="595"/>
      <c r="I86" s="595"/>
      <c r="J86" s="595"/>
      <c r="K86" s="595"/>
      <c r="L86" s="595"/>
      <c r="M86" s="595"/>
      <c r="N86" s="595"/>
      <c r="O86" s="595"/>
      <c r="P86" s="595"/>
      <c r="Q86" s="595"/>
      <c r="R86" s="595"/>
      <c r="S86" s="595"/>
      <c r="T86" s="595"/>
    </row>
    <row r="87" spans="1:20">
      <c r="A87" s="595"/>
      <c r="B87" s="595"/>
      <c r="C87" s="595"/>
      <c r="D87" s="595"/>
      <c r="E87" s="595"/>
      <c r="F87" s="595"/>
      <c r="G87" s="595"/>
      <c r="H87" s="595"/>
      <c r="I87" s="595"/>
      <c r="J87" s="595"/>
      <c r="K87" s="595"/>
      <c r="L87" s="595"/>
      <c r="M87" s="595"/>
      <c r="N87" s="595"/>
      <c r="O87" s="595"/>
      <c r="P87" s="595"/>
      <c r="Q87" s="595"/>
      <c r="R87" s="595"/>
      <c r="S87" s="595"/>
      <c r="T87" s="595"/>
    </row>
    <row r="88" spans="1:20">
      <c r="A88" s="595"/>
      <c r="B88" s="595"/>
      <c r="C88" s="595"/>
      <c r="D88" s="595"/>
      <c r="E88" s="595"/>
      <c r="F88" s="595"/>
      <c r="G88" s="595"/>
      <c r="H88" s="595"/>
      <c r="I88" s="595"/>
      <c r="J88" s="595"/>
      <c r="K88" s="595"/>
      <c r="L88" s="595"/>
      <c r="M88" s="595"/>
      <c r="N88" s="595"/>
      <c r="O88" s="595"/>
      <c r="P88" s="595"/>
      <c r="Q88" s="595"/>
      <c r="R88" s="595"/>
      <c r="S88" s="595"/>
      <c r="T88" s="595"/>
    </row>
    <row r="89" spans="1:20">
      <c r="A89" s="595"/>
      <c r="B89" s="595"/>
      <c r="C89" s="595"/>
      <c r="D89" s="595"/>
      <c r="E89" s="595"/>
      <c r="F89" s="595"/>
      <c r="G89" s="595"/>
      <c r="H89" s="595"/>
      <c r="I89" s="595"/>
      <c r="J89" s="595"/>
      <c r="K89" s="595"/>
      <c r="L89" s="595"/>
      <c r="M89" s="595"/>
      <c r="N89" s="595"/>
      <c r="O89" s="595"/>
      <c r="P89" s="595"/>
      <c r="Q89" s="595"/>
      <c r="R89" s="595"/>
      <c r="S89" s="595"/>
      <c r="T89" s="595"/>
    </row>
    <row r="90" spans="1:20">
      <c r="A90" s="595"/>
      <c r="B90" s="595"/>
      <c r="C90" s="595"/>
      <c r="D90" s="595"/>
      <c r="E90" s="595"/>
      <c r="F90" s="595"/>
      <c r="G90" s="595"/>
      <c r="H90" s="595"/>
      <c r="I90" s="595"/>
      <c r="J90" s="595"/>
      <c r="K90" s="595"/>
      <c r="L90" s="595"/>
      <c r="M90" s="595"/>
      <c r="N90" s="595"/>
      <c r="O90" s="595"/>
      <c r="P90" s="595"/>
      <c r="Q90" s="595"/>
      <c r="R90" s="595"/>
      <c r="S90" s="595"/>
      <c r="T90" s="595"/>
    </row>
    <row r="91" spans="1:20">
      <c r="A91" s="595"/>
      <c r="B91" s="595"/>
      <c r="C91" s="595"/>
      <c r="D91" s="595"/>
      <c r="E91" s="595"/>
      <c r="F91" s="595"/>
      <c r="G91" s="595"/>
      <c r="H91" s="595"/>
      <c r="I91" s="595"/>
      <c r="J91" s="595"/>
      <c r="K91" s="595"/>
      <c r="L91" s="595"/>
      <c r="M91" s="595"/>
      <c r="N91" s="595"/>
      <c r="O91" s="595"/>
      <c r="P91" s="595"/>
      <c r="Q91" s="595"/>
      <c r="R91" s="595"/>
      <c r="S91" s="595"/>
      <c r="T91" s="595"/>
    </row>
    <row r="92" spans="1:20">
      <c r="A92" s="595"/>
      <c r="B92" s="595"/>
      <c r="C92" s="595"/>
      <c r="D92" s="595"/>
      <c r="E92" s="595"/>
      <c r="F92" s="595"/>
      <c r="G92" s="595"/>
      <c r="H92" s="595"/>
      <c r="I92" s="595"/>
      <c r="J92" s="595"/>
      <c r="K92" s="595"/>
      <c r="L92" s="595"/>
      <c r="M92" s="595"/>
      <c r="N92" s="595"/>
      <c r="O92" s="595"/>
      <c r="P92" s="595"/>
      <c r="Q92" s="595"/>
      <c r="R92" s="595"/>
      <c r="S92" s="595"/>
      <c r="T92" s="595"/>
    </row>
    <row r="93" spans="1:20">
      <c r="A93" s="595"/>
      <c r="B93" s="595"/>
      <c r="C93" s="595"/>
      <c r="D93" s="595"/>
      <c r="E93" s="595"/>
      <c r="F93" s="595"/>
      <c r="G93" s="595"/>
      <c r="H93" s="595"/>
      <c r="I93" s="595"/>
      <c r="J93" s="595"/>
      <c r="K93" s="595"/>
      <c r="L93" s="595"/>
      <c r="M93" s="595"/>
      <c r="N93" s="595"/>
      <c r="O93" s="595"/>
      <c r="P93" s="595"/>
      <c r="Q93" s="595"/>
      <c r="R93" s="595"/>
      <c r="S93" s="595"/>
      <c r="T93" s="595"/>
    </row>
    <row r="94" spans="1:20">
      <c r="A94" s="595"/>
      <c r="B94" s="595"/>
      <c r="C94" s="595"/>
      <c r="D94" s="595"/>
      <c r="E94" s="595"/>
      <c r="F94" s="595"/>
      <c r="G94" s="595"/>
      <c r="H94" s="595"/>
      <c r="I94" s="595"/>
      <c r="J94" s="595"/>
      <c r="K94" s="595"/>
      <c r="L94" s="595"/>
      <c r="M94" s="595"/>
      <c r="N94" s="595"/>
      <c r="O94" s="595"/>
      <c r="P94" s="595"/>
      <c r="Q94" s="595"/>
      <c r="R94" s="595"/>
      <c r="S94" s="595"/>
      <c r="T94" s="595"/>
    </row>
    <row r="95" spans="1:20">
      <c r="A95" s="595"/>
      <c r="B95" s="595"/>
      <c r="C95" s="595"/>
      <c r="D95" s="595"/>
      <c r="E95" s="595"/>
      <c r="F95" s="595"/>
      <c r="G95" s="595"/>
      <c r="H95" s="595"/>
      <c r="I95" s="595"/>
      <c r="J95" s="595"/>
      <c r="K95" s="595"/>
      <c r="L95" s="595"/>
      <c r="M95" s="595"/>
      <c r="N95" s="595"/>
      <c r="O95" s="595"/>
      <c r="P95" s="595"/>
      <c r="Q95" s="595"/>
      <c r="R95" s="595"/>
      <c r="S95" s="595"/>
      <c r="T95" s="595"/>
    </row>
    <row r="96" spans="1:20">
      <c r="A96" s="595"/>
      <c r="B96" s="595"/>
      <c r="C96" s="595"/>
      <c r="D96" s="595"/>
      <c r="E96" s="595"/>
      <c r="F96" s="595"/>
      <c r="G96" s="595"/>
      <c r="H96" s="595"/>
      <c r="I96" s="595"/>
      <c r="J96" s="595"/>
      <c r="K96" s="595"/>
      <c r="L96" s="595"/>
      <c r="M96" s="595"/>
      <c r="N96" s="595"/>
      <c r="O96" s="595"/>
      <c r="P96" s="595"/>
      <c r="Q96" s="595"/>
      <c r="R96" s="595"/>
      <c r="S96" s="595"/>
      <c r="T96" s="595"/>
    </row>
    <row r="97" spans="1:20">
      <c r="A97" s="595"/>
      <c r="B97" s="595"/>
      <c r="C97" s="595"/>
      <c r="D97" s="595"/>
      <c r="E97" s="595"/>
      <c r="F97" s="595"/>
      <c r="G97" s="595"/>
      <c r="H97" s="595"/>
      <c r="I97" s="595"/>
      <c r="J97" s="595"/>
      <c r="K97" s="595"/>
      <c r="L97" s="595"/>
      <c r="M97" s="595"/>
      <c r="N97" s="595"/>
      <c r="O97" s="595"/>
      <c r="P97" s="595"/>
      <c r="Q97" s="595"/>
      <c r="R97" s="595"/>
      <c r="S97" s="595"/>
      <c r="T97" s="595"/>
    </row>
    <row r="98" spans="1:20">
      <c r="A98" s="595"/>
      <c r="B98" s="595"/>
      <c r="C98" s="595"/>
      <c r="D98" s="595"/>
      <c r="E98" s="595"/>
      <c r="F98" s="595"/>
      <c r="G98" s="595"/>
      <c r="H98" s="595"/>
      <c r="I98" s="595"/>
      <c r="J98" s="595"/>
      <c r="K98" s="595"/>
      <c r="L98" s="595"/>
      <c r="M98" s="595"/>
      <c r="N98" s="595"/>
      <c r="O98" s="595"/>
      <c r="P98" s="595"/>
      <c r="Q98" s="595"/>
      <c r="R98" s="595"/>
      <c r="S98" s="595"/>
      <c r="T98" s="595"/>
    </row>
    <row r="99" spans="1:20">
      <c r="A99" s="595"/>
      <c r="B99" s="595"/>
      <c r="C99" s="595"/>
      <c r="D99" s="595"/>
      <c r="E99" s="595"/>
      <c r="F99" s="595"/>
      <c r="G99" s="595"/>
      <c r="H99" s="595"/>
      <c r="I99" s="595"/>
      <c r="J99" s="595"/>
      <c r="K99" s="595"/>
      <c r="L99" s="595"/>
      <c r="M99" s="595"/>
      <c r="N99" s="595"/>
      <c r="O99" s="595"/>
      <c r="P99" s="595"/>
      <c r="Q99" s="595"/>
      <c r="R99" s="595"/>
      <c r="S99" s="595"/>
      <c r="T99" s="595"/>
    </row>
    <row r="100" spans="1:20">
      <c r="A100" s="595"/>
      <c r="B100" s="595"/>
      <c r="C100" s="595"/>
      <c r="D100" s="595"/>
      <c r="E100" s="595"/>
      <c r="F100" s="595"/>
      <c r="G100" s="595"/>
      <c r="H100" s="595"/>
      <c r="I100" s="595"/>
      <c r="J100" s="595"/>
      <c r="K100" s="595"/>
      <c r="L100" s="595"/>
      <c r="M100" s="595"/>
      <c r="N100" s="595"/>
      <c r="O100" s="595"/>
      <c r="P100" s="595"/>
      <c r="Q100" s="595"/>
      <c r="R100" s="595"/>
      <c r="S100" s="595"/>
      <c r="T100" s="595"/>
    </row>
    <row r="101" spans="1:20">
      <c r="A101" s="595"/>
      <c r="B101" s="595"/>
      <c r="C101" s="595"/>
      <c r="D101" s="595"/>
      <c r="E101" s="595"/>
      <c r="F101" s="595"/>
      <c r="G101" s="595"/>
      <c r="H101" s="595"/>
      <c r="I101" s="595"/>
      <c r="J101" s="595"/>
      <c r="K101" s="595"/>
      <c r="L101" s="595"/>
      <c r="M101" s="595"/>
      <c r="N101" s="595"/>
      <c r="O101" s="595"/>
      <c r="P101" s="595"/>
      <c r="Q101" s="595"/>
      <c r="R101" s="595"/>
      <c r="S101" s="595"/>
      <c r="T101" s="595"/>
    </row>
    <row r="102" spans="1:20">
      <c r="A102" s="595"/>
      <c r="B102" s="595"/>
      <c r="C102" s="595"/>
      <c r="D102" s="595"/>
      <c r="E102" s="595"/>
      <c r="F102" s="595"/>
      <c r="G102" s="595"/>
      <c r="H102" s="595"/>
      <c r="I102" s="595"/>
      <c r="J102" s="595"/>
      <c r="K102" s="595"/>
      <c r="L102" s="595"/>
      <c r="M102" s="595"/>
      <c r="N102" s="595"/>
      <c r="O102" s="595"/>
      <c r="P102" s="595"/>
      <c r="Q102" s="595"/>
      <c r="R102" s="595"/>
      <c r="S102" s="595"/>
      <c r="T102" s="595"/>
    </row>
    <row r="103" spans="1:20">
      <c r="A103" s="595"/>
      <c r="B103" s="595"/>
      <c r="C103" s="595"/>
      <c r="D103" s="595"/>
      <c r="E103" s="595"/>
      <c r="F103" s="595"/>
      <c r="G103" s="595"/>
      <c r="H103" s="595"/>
      <c r="I103" s="595"/>
      <c r="J103" s="595"/>
      <c r="K103" s="595"/>
      <c r="L103" s="595"/>
      <c r="M103" s="595"/>
      <c r="N103" s="595"/>
      <c r="O103" s="595"/>
      <c r="P103" s="595"/>
      <c r="Q103" s="595"/>
      <c r="R103" s="595"/>
      <c r="S103" s="595"/>
      <c r="T103" s="595"/>
    </row>
    <row r="104" spans="1:20">
      <c r="A104" s="595"/>
      <c r="B104" s="595"/>
      <c r="C104" s="595"/>
      <c r="D104" s="595"/>
      <c r="E104" s="595"/>
      <c r="F104" s="595"/>
      <c r="G104" s="595"/>
      <c r="H104" s="595"/>
      <c r="I104" s="595"/>
      <c r="J104" s="595"/>
      <c r="K104" s="595"/>
      <c r="L104" s="595"/>
      <c r="M104" s="595"/>
      <c r="N104" s="595"/>
      <c r="O104" s="595"/>
      <c r="P104" s="595"/>
      <c r="Q104" s="595"/>
      <c r="R104" s="595"/>
      <c r="S104" s="595"/>
      <c r="T104" s="595"/>
    </row>
    <row r="105" spans="1:20">
      <c r="A105" s="595"/>
      <c r="B105" s="595"/>
      <c r="C105" s="595"/>
      <c r="D105" s="595"/>
      <c r="E105" s="595"/>
      <c r="F105" s="595"/>
      <c r="G105" s="595"/>
      <c r="H105" s="595"/>
      <c r="I105" s="595"/>
      <c r="J105" s="595"/>
      <c r="K105" s="595"/>
      <c r="L105" s="595"/>
      <c r="M105" s="595"/>
      <c r="N105" s="595"/>
      <c r="O105" s="595"/>
      <c r="P105" s="595"/>
      <c r="Q105" s="595"/>
      <c r="R105" s="595"/>
      <c r="S105" s="595"/>
      <c r="T105" s="595"/>
    </row>
    <row r="106" spans="1:20">
      <c r="A106" s="595"/>
      <c r="B106" s="595"/>
      <c r="C106" s="595"/>
      <c r="D106" s="595"/>
      <c r="E106" s="595"/>
      <c r="F106" s="595"/>
      <c r="G106" s="595"/>
      <c r="H106" s="595"/>
      <c r="I106" s="595"/>
      <c r="J106" s="595"/>
      <c r="K106" s="595"/>
      <c r="L106" s="595"/>
      <c r="M106" s="595"/>
      <c r="N106" s="595"/>
      <c r="O106" s="595"/>
      <c r="P106" s="595"/>
      <c r="Q106" s="595"/>
      <c r="R106" s="595"/>
      <c r="S106" s="595"/>
      <c r="T106" s="595"/>
    </row>
    <row r="107" spans="1:20">
      <c r="A107" s="595"/>
      <c r="B107" s="595"/>
      <c r="C107" s="595"/>
      <c r="D107" s="595"/>
      <c r="E107" s="595"/>
      <c r="F107" s="595"/>
      <c r="G107" s="595"/>
      <c r="H107" s="595"/>
      <c r="I107" s="595"/>
      <c r="J107" s="595"/>
      <c r="K107" s="595"/>
      <c r="L107" s="595"/>
      <c r="M107" s="595"/>
      <c r="N107" s="595"/>
      <c r="O107" s="595"/>
      <c r="P107" s="595"/>
      <c r="Q107" s="595"/>
      <c r="R107" s="595"/>
      <c r="S107" s="595"/>
      <c r="T107" s="595"/>
    </row>
    <row r="108" spans="1:20">
      <c r="A108" s="595"/>
      <c r="B108" s="595"/>
      <c r="C108" s="595"/>
      <c r="D108" s="595"/>
      <c r="E108" s="595"/>
      <c r="F108" s="595"/>
      <c r="G108" s="595"/>
      <c r="H108" s="595"/>
      <c r="I108" s="595"/>
      <c r="J108" s="595"/>
      <c r="K108" s="595"/>
      <c r="L108" s="595"/>
      <c r="M108" s="595"/>
      <c r="N108" s="595"/>
      <c r="O108" s="595"/>
      <c r="P108" s="595"/>
      <c r="Q108" s="595"/>
      <c r="R108" s="595"/>
      <c r="S108" s="595"/>
      <c r="T108" s="595"/>
    </row>
    <row r="109" spans="1:20">
      <c r="A109" s="595"/>
      <c r="B109" s="595"/>
      <c r="C109" s="595"/>
      <c r="D109" s="595"/>
      <c r="E109" s="595"/>
      <c r="F109" s="595"/>
      <c r="G109" s="595"/>
      <c r="H109" s="595"/>
      <c r="I109" s="595"/>
      <c r="J109" s="595"/>
      <c r="K109" s="595"/>
      <c r="L109" s="595"/>
      <c r="M109" s="595"/>
      <c r="N109" s="595"/>
      <c r="O109" s="595"/>
      <c r="P109" s="595"/>
      <c r="Q109" s="595"/>
      <c r="R109" s="595"/>
      <c r="S109" s="595"/>
      <c r="T109" s="595"/>
    </row>
    <row r="110" spans="1:20">
      <c r="A110" s="595"/>
      <c r="B110" s="595"/>
      <c r="C110" s="595"/>
      <c r="D110" s="595"/>
      <c r="E110" s="595"/>
      <c r="F110" s="595"/>
      <c r="G110" s="595"/>
      <c r="H110" s="595"/>
      <c r="I110" s="595"/>
      <c r="J110" s="595"/>
      <c r="K110" s="595"/>
      <c r="L110" s="595"/>
      <c r="M110" s="595"/>
      <c r="N110" s="595"/>
      <c r="O110" s="595"/>
      <c r="P110" s="595"/>
      <c r="Q110" s="595"/>
      <c r="R110" s="595"/>
      <c r="S110" s="595"/>
      <c r="T110" s="595"/>
    </row>
    <row r="111" spans="1:20">
      <c r="A111" s="595"/>
      <c r="B111" s="595"/>
      <c r="C111" s="595"/>
      <c r="D111" s="595"/>
      <c r="E111" s="595"/>
      <c r="F111" s="595"/>
      <c r="G111" s="595"/>
      <c r="H111" s="595"/>
      <c r="I111" s="595"/>
      <c r="J111" s="595"/>
      <c r="K111" s="595"/>
      <c r="L111" s="595"/>
      <c r="M111" s="595"/>
      <c r="N111" s="595"/>
      <c r="O111" s="595"/>
      <c r="P111" s="595"/>
      <c r="Q111" s="595"/>
      <c r="R111" s="595"/>
      <c r="S111" s="595"/>
      <c r="T111" s="595"/>
    </row>
    <row r="112" spans="1:20">
      <c r="A112" s="595"/>
      <c r="B112" s="595"/>
      <c r="C112" s="595"/>
      <c r="D112" s="595"/>
      <c r="E112" s="595"/>
      <c r="F112" s="595"/>
      <c r="G112" s="595"/>
      <c r="H112" s="595"/>
      <c r="I112" s="595"/>
      <c r="J112" s="595"/>
      <c r="K112" s="595"/>
      <c r="L112" s="595"/>
      <c r="M112" s="595"/>
      <c r="N112" s="595"/>
      <c r="O112" s="595"/>
      <c r="P112" s="595"/>
      <c r="Q112" s="595"/>
      <c r="R112" s="595"/>
      <c r="S112" s="595"/>
      <c r="T112" s="595"/>
    </row>
    <row r="113" spans="1:20">
      <c r="A113" s="595"/>
      <c r="B113" s="595"/>
      <c r="C113" s="595"/>
      <c r="D113" s="595"/>
      <c r="E113" s="595"/>
      <c r="F113" s="595"/>
      <c r="G113" s="595"/>
      <c r="H113" s="595"/>
      <c r="I113" s="595"/>
      <c r="J113" s="595"/>
      <c r="K113" s="595"/>
      <c r="L113" s="595"/>
      <c r="M113" s="595"/>
      <c r="N113" s="595"/>
      <c r="O113" s="595"/>
      <c r="P113" s="595"/>
      <c r="Q113" s="595"/>
      <c r="R113" s="595"/>
      <c r="S113" s="595"/>
      <c r="T113" s="595"/>
    </row>
    <row r="114" spans="1:20">
      <c r="A114" s="595"/>
      <c r="B114" s="595"/>
      <c r="C114" s="595"/>
      <c r="D114" s="595"/>
      <c r="E114" s="595"/>
      <c r="F114" s="595"/>
      <c r="G114" s="595"/>
      <c r="H114" s="595"/>
      <c r="I114" s="595"/>
      <c r="J114" s="595"/>
      <c r="K114" s="595"/>
      <c r="L114" s="595"/>
      <c r="M114" s="595"/>
      <c r="N114" s="595"/>
      <c r="O114" s="595"/>
      <c r="P114" s="595"/>
      <c r="Q114" s="595"/>
      <c r="R114" s="595"/>
      <c r="S114" s="595"/>
      <c r="T114" s="595"/>
    </row>
    <row r="115" spans="1:20">
      <c r="A115" s="595"/>
      <c r="B115" s="595"/>
      <c r="C115" s="595"/>
      <c r="D115" s="595"/>
      <c r="E115" s="595"/>
      <c r="F115" s="595"/>
      <c r="G115" s="595"/>
      <c r="H115" s="595"/>
      <c r="I115" s="595"/>
      <c r="J115" s="595"/>
      <c r="K115" s="595"/>
      <c r="L115" s="595"/>
      <c r="M115" s="595"/>
      <c r="N115" s="595"/>
      <c r="O115" s="595"/>
      <c r="P115" s="595"/>
      <c r="Q115" s="595"/>
      <c r="R115" s="595"/>
      <c r="S115" s="595"/>
      <c r="T115" s="595"/>
    </row>
    <row r="116" spans="1:20">
      <c r="A116" s="595"/>
      <c r="B116" s="595"/>
      <c r="C116" s="595"/>
      <c r="D116" s="595"/>
      <c r="E116" s="595"/>
      <c r="F116" s="595"/>
      <c r="G116" s="595"/>
      <c r="H116" s="595"/>
      <c r="I116" s="595"/>
      <c r="J116" s="595"/>
      <c r="K116" s="595"/>
      <c r="L116" s="595"/>
      <c r="M116" s="595"/>
      <c r="N116" s="595"/>
      <c r="O116" s="595"/>
      <c r="P116" s="595"/>
      <c r="Q116" s="595"/>
      <c r="R116" s="595"/>
      <c r="S116" s="595"/>
      <c r="T116" s="595"/>
    </row>
    <row r="117" spans="1:20">
      <c r="A117" s="595"/>
      <c r="B117" s="595"/>
      <c r="C117" s="595"/>
      <c r="D117" s="595"/>
      <c r="E117" s="595"/>
      <c r="F117" s="595"/>
      <c r="G117" s="595"/>
      <c r="H117" s="595"/>
      <c r="I117" s="595"/>
      <c r="J117" s="595"/>
      <c r="K117" s="595"/>
      <c r="L117" s="595"/>
      <c r="M117" s="595"/>
      <c r="N117" s="595"/>
      <c r="O117" s="595"/>
      <c r="P117" s="595"/>
      <c r="Q117" s="595"/>
      <c r="R117" s="595"/>
      <c r="S117" s="595"/>
      <c r="T117" s="595"/>
    </row>
    <row r="118" spans="1:20">
      <c r="A118" s="595"/>
      <c r="B118" s="595"/>
      <c r="C118" s="595"/>
      <c r="D118" s="595"/>
      <c r="E118" s="595"/>
      <c r="F118" s="595"/>
      <c r="G118" s="595"/>
      <c r="H118" s="595"/>
      <c r="I118" s="595"/>
      <c r="J118" s="595"/>
      <c r="K118" s="595"/>
      <c r="L118" s="595"/>
      <c r="M118" s="595"/>
      <c r="N118" s="595"/>
      <c r="O118" s="595"/>
      <c r="P118" s="595"/>
      <c r="Q118" s="595"/>
      <c r="R118" s="595"/>
      <c r="S118" s="595"/>
      <c r="T118" s="595"/>
    </row>
    <row r="119" spans="1:20">
      <c r="A119" s="595"/>
      <c r="B119" s="595"/>
      <c r="C119" s="595"/>
      <c r="D119" s="595"/>
      <c r="E119" s="595"/>
      <c r="F119" s="595"/>
      <c r="G119" s="595"/>
      <c r="H119" s="595"/>
      <c r="I119" s="595"/>
      <c r="J119" s="595"/>
      <c r="K119" s="595"/>
      <c r="L119" s="595"/>
      <c r="M119" s="595"/>
      <c r="N119" s="595"/>
      <c r="O119" s="595"/>
      <c r="P119" s="595"/>
      <c r="Q119" s="595"/>
      <c r="R119" s="595"/>
      <c r="S119" s="595"/>
      <c r="T119" s="595"/>
    </row>
    <row r="120" spans="1:20">
      <c r="A120" s="595"/>
      <c r="B120" s="595"/>
      <c r="C120" s="595"/>
      <c r="D120" s="595"/>
      <c r="E120" s="595"/>
      <c r="F120" s="595"/>
      <c r="G120" s="595"/>
      <c r="H120" s="595"/>
      <c r="I120" s="595"/>
      <c r="J120" s="595"/>
      <c r="K120" s="595"/>
      <c r="L120" s="595"/>
      <c r="M120" s="595"/>
      <c r="N120" s="595"/>
      <c r="O120" s="595"/>
      <c r="P120" s="595"/>
      <c r="Q120" s="595"/>
      <c r="R120" s="595"/>
      <c r="S120" s="595"/>
      <c r="T120" s="595"/>
    </row>
    <row r="121" spans="1:20">
      <c r="A121" s="595"/>
      <c r="B121" s="595"/>
      <c r="C121" s="595"/>
      <c r="D121" s="595"/>
      <c r="E121" s="595"/>
      <c r="F121" s="595"/>
      <c r="G121" s="595"/>
      <c r="H121" s="595"/>
      <c r="I121" s="595"/>
      <c r="J121" s="595"/>
      <c r="K121" s="595"/>
      <c r="L121" s="595"/>
      <c r="M121" s="595"/>
      <c r="N121" s="595"/>
      <c r="O121" s="595"/>
      <c r="P121" s="595"/>
      <c r="Q121" s="595"/>
      <c r="R121" s="595"/>
      <c r="S121" s="595"/>
      <c r="T121" s="595"/>
    </row>
    <row r="122" spans="1:20">
      <c r="A122" s="595"/>
      <c r="B122" s="595"/>
      <c r="C122" s="595"/>
      <c r="D122" s="595"/>
      <c r="E122" s="595"/>
      <c r="F122" s="595"/>
      <c r="G122" s="595"/>
      <c r="H122" s="595"/>
      <c r="I122" s="595"/>
      <c r="J122" s="595"/>
      <c r="K122" s="595"/>
      <c r="L122" s="595"/>
      <c r="M122" s="595"/>
      <c r="N122" s="595"/>
      <c r="O122" s="595"/>
      <c r="P122" s="595"/>
      <c r="Q122" s="595"/>
      <c r="R122" s="595"/>
      <c r="S122" s="595"/>
      <c r="T122" s="595"/>
    </row>
    <row r="123" spans="1:20">
      <c r="A123" s="595"/>
      <c r="B123" s="595"/>
      <c r="C123" s="595"/>
      <c r="D123" s="595"/>
      <c r="E123" s="595"/>
      <c r="F123" s="595"/>
      <c r="G123" s="595"/>
      <c r="H123" s="595"/>
      <c r="I123" s="595"/>
      <c r="J123" s="595"/>
      <c r="K123" s="595"/>
      <c r="L123" s="595"/>
      <c r="M123" s="595"/>
      <c r="N123" s="595"/>
      <c r="O123" s="595"/>
      <c r="P123" s="595"/>
      <c r="Q123" s="595"/>
      <c r="R123" s="595"/>
      <c r="S123" s="595"/>
      <c r="T123" s="595"/>
    </row>
    <row r="124" spans="1:20">
      <c r="A124" s="595"/>
      <c r="B124" s="595"/>
      <c r="C124" s="595"/>
      <c r="D124" s="595"/>
      <c r="E124" s="595"/>
      <c r="F124" s="595"/>
      <c r="G124" s="595"/>
      <c r="H124" s="595"/>
      <c r="I124" s="595"/>
      <c r="J124" s="595"/>
      <c r="K124" s="595"/>
      <c r="L124" s="595"/>
      <c r="M124" s="595"/>
      <c r="N124" s="595"/>
      <c r="O124" s="595"/>
      <c r="P124" s="595"/>
      <c r="Q124" s="595"/>
      <c r="R124" s="595"/>
      <c r="S124" s="595"/>
      <c r="T124" s="595"/>
    </row>
    <row r="125" spans="1:20">
      <c r="A125" s="595"/>
      <c r="B125" s="595"/>
      <c r="C125" s="595"/>
      <c r="D125" s="595"/>
      <c r="E125" s="595"/>
      <c r="F125" s="595"/>
      <c r="G125" s="595"/>
      <c r="H125" s="595"/>
      <c r="I125" s="595"/>
      <c r="J125" s="595"/>
      <c r="K125" s="595"/>
      <c r="L125" s="595"/>
      <c r="M125" s="595"/>
      <c r="N125" s="595"/>
      <c r="O125" s="595"/>
      <c r="P125" s="595"/>
      <c r="Q125" s="595"/>
      <c r="R125" s="595"/>
      <c r="S125" s="595"/>
      <c r="T125" s="595"/>
    </row>
    <row r="126" spans="1:20">
      <c r="A126" s="595"/>
      <c r="B126" s="595"/>
      <c r="C126" s="595"/>
      <c r="D126" s="595"/>
      <c r="E126" s="595"/>
      <c r="F126" s="595"/>
      <c r="G126" s="595"/>
      <c r="H126" s="595"/>
      <c r="I126" s="595"/>
      <c r="J126" s="595"/>
      <c r="K126" s="595"/>
      <c r="L126" s="595"/>
      <c r="M126" s="595"/>
      <c r="N126" s="595"/>
      <c r="O126" s="595"/>
      <c r="P126" s="595"/>
      <c r="Q126" s="595"/>
      <c r="R126" s="595"/>
      <c r="S126" s="595"/>
      <c r="T126" s="595"/>
    </row>
    <row r="127" spans="1:20">
      <c r="A127" s="595"/>
      <c r="B127" s="595"/>
      <c r="C127" s="595"/>
      <c r="D127" s="595"/>
      <c r="E127" s="595"/>
      <c r="F127" s="595"/>
      <c r="G127" s="595"/>
      <c r="H127" s="595"/>
      <c r="I127" s="595"/>
      <c r="J127" s="595"/>
      <c r="K127" s="595"/>
      <c r="L127" s="595"/>
      <c r="M127" s="595"/>
      <c r="N127" s="595"/>
      <c r="O127" s="595"/>
      <c r="P127" s="595"/>
      <c r="Q127" s="595"/>
      <c r="R127" s="595"/>
      <c r="S127" s="595"/>
      <c r="T127" s="595"/>
    </row>
    <row r="128" spans="1:20">
      <c r="A128" s="595"/>
      <c r="B128" s="595"/>
      <c r="C128" s="595"/>
      <c r="D128" s="595"/>
      <c r="E128" s="595"/>
      <c r="F128" s="595"/>
      <c r="G128" s="595"/>
      <c r="H128" s="595"/>
      <c r="I128" s="595"/>
      <c r="J128" s="595"/>
      <c r="K128" s="595"/>
      <c r="L128" s="595"/>
      <c r="M128" s="595"/>
      <c r="N128" s="595"/>
      <c r="O128" s="595"/>
      <c r="P128" s="595"/>
      <c r="Q128" s="595"/>
      <c r="R128" s="595"/>
      <c r="S128" s="595"/>
      <c r="T128" s="595"/>
    </row>
    <row r="129" spans="1:20">
      <c r="A129" s="595"/>
      <c r="B129" s="595"/>
      <c r="C129" s="595"/>
      <c r="D129" s="595"/>
      <c r="E129" s="595"/>
      <c r="F129" s="595"/>
      <c r="G129" s="595"/>
      <c r="H129" s="595"/>
      <c r="I129" s="595"/>
      <c r="J129" s="595"/>
      <c r="K129" s="595"/>
      <c r="L129" s="595"/>
      <c r="M129" s="595"/>
      <c r="N129" s="595"/>
      <c r="O129" s="595"/>
      <c r="P129" s="595"/>
      <c r="Q129" s="595"/>
      <c r="R129" s="595"/>
      <c r="S129" s="595"/>
      <c r="T129" s="595"/>
    </row>
    <row r="130" spans="1:20">
      <c r="A130" s="595"/>
      <c r="B130" s="595"/>
      <c r="C130" s="595"/>
      <c r="D130" s="595"/>
      <c r="E130" s="595"/>
      <c r="F130" s="595"/>
      <c r="G130" s="595"/>
      <c r="H130" s="595"/>
      <c r="I130" s="595"/>
      <c r="J130" s="595"/>
      <c r="K130" s="595"/>
      <c r="L130" s="595"/>
      <c r="M130" s="595"/>
      <c r="N130" s="595"/>
      <c r="O130" s="595"/>
      <c r="P130" s="595"/>
      <c r="Q130" s="595"/>
      <c r="R130" s="595"/>
      <c r="S130" s="595"/>
      <c r="T130" s="595"/>
    </row>
    <row r="131" spans="1:20">
      <c r="A131" s="595"/>
      <c r="B131" s="595"/>
      <c r="C131" s="595"/>
      <c r="D131" s="595"/>
      <c r="E131" s="595"/>
      <c r="F131" s="595"/>
      <c r="G131" s="595"/>
      <c r="H131" s="595"/>
      <c r="I131" s="595"/>
      <c r="J131" s="595"/>
      <c r="K131" s="595"/>
      <c r="L131" s="595"/>
      <c r="M131" s="595"/>
      <c r="N131" s="595"/>
      <c r="O131" s="595"/>
      <c r="P131" s="595"/>
      <c r="Q131" s="595"/>
      <c r="R131" s="595"/>
      <c r="S131" s="595"/>
      <c r="T131" s="595"/>
    </row>
    <row r="132" spans="1:20">
      <c r="A132" s="595"/>
      <c r="B132" s="595"/>
      <c r="C132" s="595"/>
      <c r="D132" s="595"/>
      <c r="E132" s="595"/>
      <c r="F132" s="595"/>
      <c r="G132" s="595"/>
      <c r="H132" s="595"/>
      <c r="I132" s="595"/>
      <c r="J132" s="595"/>
      <c r="K132" s="595"/>
      <c r="L132" s="595"/>
      <c r="M132" s="595"/>
      <c r="N132" s="595"/>
      <c r="O132" s="595"/>
      <c r="P132" s="595"/>
      <c r="Q132" s="595"/>
      <c r="R132" s="595"/>
      <c r="S132" s="595"/>
      <c r="T132" s="595"/>
    </row>
    <row r="133" spans="1:20">
      <c r="A133" s="595"/>
      <c r="B133" s="595"/>
      <c r="C133" s="595"/>
      <c r="D133" s="595"/>
      <c r="E133" s="595"/>
      <c r="F133" s="595"/>
      <c r="G133" s="595"/>
      <c r="H133" s="595"/>
      <c r="I133" s="595"/>
      <c r="J133" s="595"/>
      <c r="K133" s="595"/>
      <c r="L133" s="595"/>
      <c r="M133" s="595"/>
      <c r="N133" s="595"/>
      <c r="O133" s="595"/>
      <c r="P133" s="595"/>
      <c r="Q133" s="595"/>
      <c r="R133" s="595"/>
      <c r="S133" s="595"/>
      <c r="T133" s="595"/>
    </row>
    <row r="134" spans="1:20">
      <c r="A134" s="595"/>
      <c r="B134" s="595"/>
      <c r="C134" s="595"/>
      <c r="D134" s="595"/>
      <c r="E134" s="595"/>
      <c r="F134" s="595"/>
      <c r="G134" s="595"/>
      <c r="H134" s="595"/>
      <c r="I134" s="595"/>
      <c r="J134" s="595"/>
      <c r="K134" s="595"/>
      <c r="L134" s="595"/>
      <c r="M134" s="595"/>
      <c r="N134" s="595"/>
      <c r="O134" s="595"/>
      <c r="P134" s="595"/>
      <c r="Q134" s="595"/>
      <c r="R134" s="595"/>
      <c r="S134" s="595"/>
      <c r="T134" s="595"/>
    </row>
    <row r="135" spans="1:20">
      <c r="A135" s="595"/>
      <c r="B135" s="595"/>
      <c r="C135" s="595"/>
      <c r="D135" s="595"/>
      <c r="E135" s="595"/>
      <c r="F135" s="595"/>
      <c r="G135" s="595"/>
      <c r="H135" s="595"/>
      <c r="I135" s="595"/>
      <c r="J135" s="595"/>
      <c r="K135" s="595"/>
      <c r="L135" s="595"/>
      <c r="M135" s="595"/>
      <c r="N135" s="595"/>
      <c r="O135" s="595"/>
      <c r="P135" s="595"/>
      <c r="Q135" s="595"/>
      <c r="R135" s="595"/>
      <c r="S135" s="595"/>
      <c r="T135" s="595"/>
    </row>
    <row r="136" spans="1:20">
      <c r="A136" s="595"/>
      <c r="B136" s="595"/>
      <c r="C136" s="595"/>
      <c r="D136" s="595"/>
      <c r="E136" s="595"/>
      <c r="F136" s="595"/>
      <c r="G136" s="595"/>
      <c r="H136" s="595"/>
      <c r="I136" s="595"/>
      <c r="J136" s="595"/>
      <c r="K136" s="595"/>
      <c r="L136" s="595"/>
      <c r="M136" s="595"/>
      <c r="N136" s="595"/>
      <c r="O136" s="595"/>
      <c r="P136" s="595"/>
      <c r="Q136" s="595"/>
      <c r="R136" s="595"/>
      <c r="S136" s="595"/>
      <c r="T136" s="595"/>
    </row>
    <row r="137" spans="1:20">
      <c r="A137" s="595"/>
      <c r="B137" s="595"/>
      <c r="C137" s="595"/>
      <c r="D137" s="595"/>
      <c r="E137" s="595"/>
      <c r="F137" s="595"/>
      <c r="G137" s="595"/>
      <c r="H137" s="595"/>
      <c r="I137" s="595"/>
      <c r="J137" s="595"/>
      <c r="K137" s="595"/>
      <c r="L137" s="595"/>
      <c r="M137" s="595"/>
      <c r="N137" s="595"/>
      <c r="O137" s="595"/>
      <c r="P137" s="595"/>
      <c r="Q137" s="595"/>
      <c r="R137" s="595"/>
      <c r="S137" s="595"/>
      <c r="T137" s="595"/>
    </row>
    <row r="138" spans="1:20">
      <c r="A138" s="595"/>
      <c r="B138" s="595"/>
      <c r="C138" s="595"/>
      <c r="D138" s="595"/>
      <c r="E138" s="595"/>
      <c r="F138" s="595"/>
      <c r="G138" s="595"/>
      <c r="H138" s="595"/>
      <c r="I138" s="595"/>
      <c r="J138" s="595"/>
      <c r="K138" s="595"/>
      <c r="L138" s="595"/>
      <c r="M138" s="595"/>
      <c r="N138" s="595"/>
      <c r="O138" s="595"/>
      <c r="P138" s="595"/>
      <c r="Q138" s="595"/>
      <c r="R138" s="595"/>
      <c r="S138" s="595"/>
      <c r="T138" s="595"/>
    </row>
    <row r="139" spans="1:20">
      <c r="A139" s="595"/>
      <c r="B139" s="595"/>
      <c r="C139" s="595"/>
      <c r="D139" s="595"/>
      <c r="E139" s="595"/>
      <c r="F139" s="595"/>
      <c r="G139" s="595"/>
      <c r="H139" s="595"/>
      <c r="I139" s="595"/>
      <c r="J139" s="595"/>
      <c r="K139" s="595"/>
      <c r="L139" s="595"/>
      <c r="M139" s="595"/>
      <c r="N139" s="595"/>
      <c r="O139" s="595"/>
      <c r="P139" s="595"/>
      <c r="Q139" s="595"/>
      <c r="R139" s="595"/>
      <c r="S139" s="595"/>
      <c r="T139" s="595"/>
    </row>
    <row r="140" spans="1:20">
      <c r="A140" s="595"/>
      <c r="B140" s="595"/>
      <c r="C140" s="595"/>
      <c r="D140" s="595"/>
      <c r="E140" s="595"/>
      <c r="F140" s="595"/>
      <c r="G140" s="595"/>
      <c r="H140" s="595"/>
      <c r="I140" s="595"/>
      <c r="J140" s="595"/>
      <c r="K140" s="595"/>
      <c r="L140" s="595"/>
      <c r="M140" s="595"/>
      <c r="N140" s="595"/>
      <c r="O140" s="595"/>
      <c r="P140" s="595"/>
      <c r="Q140" s="595"/>
      <c r="R140" s="595"/>
      <c r="S140" s="595"/>
      <c r="T140" s="595"/>
    </row>
    <row r="141" spans="1:20">
      <c r="A141" s="595"/>
      <c r="B141" s="595"/>
      <c r="C141" s="595"/>
      <c r="D141" s="595"/>
      <c r="E141" s="595"/>
      <c r="F141" s="595"/>
      <c r="G141" s="595"/>
      <c r="H141" s="595"/>
      <c r="I141" s="595"/>
      <c r="J141" s="595"/>
      <c r="K141" s="595"/>
      <c r="L141" s="595"/>
      <c r="M141" s="595"/>
      <c r="N141" s="595"/>
      <c r="O141" s="595"/>
      <c r="P141" s="595"/>
      <c r="Q141" s="595"/>
      <c r="R141" s="595"/>
      <c r="S141" s="595"/>
      <c r="T141" s="595"/>
    </row>
    <row r="142" spans="1:20">
      <c r="A142" s="595"/>
      <c r="B142" s="595"/>
      <c r="C142" s="595"/>
      <c r="D142" s="595"/>
      <c r="E142" s="595"/>
      <c r="F142" s="595"/>
      <c r="G142" s="595"/>
      <c r="H142" s="595"/>
      <c r="I142" s="595"/>
      <c r="J142" s="595"/>
      <c r="K142" s="595"/>
      <c r="L142" s="595"/>
      <c r="M142" s="595"/>
      <c r="N142" s="595"/>
      <c r="O142" s="595"/>
      <c r="P142" s="595"/>
      <c r="Q142" s="595"/>
      <c r="R142" s="595"/>
      <c r="S142" s="595"/>
      <c r="T142" s="595"/>
    </row>
    <row r="143" spans="1:20">
      <c r="A143" s="595"/>
      <c r="B143" s="595"/>
      <c r="C143" s="595"/>
      <c r="D143" s="595"/>
      <c r="E143" s="595"/>
      <c r="F143" s="595"/>
      <c r="G143" s="595"/>
      <c r="H143" s="595"/>
      <c r="I143" s="595"/>
      <c r="J143" s="595"/>
      <c r="K143" s="595"/>
      <c r="L143" s="595"/>
      <c r="M143" s="595"/>
      <c r="N143" s="595"/>
      <c r="O143" s="595"/>
      <c r="P143" s="595"/>
      <c r="Q143" s="595"/>
      <c r="R143" s="595"/>
      <c r="S143" s="595"/>
      <c r="T143" s="595"/>
    </row>
    <row r="144" spans="1:20">
      <c r="A144" s="595"/>
      <c r="B144" s="595"/>
      <c r="C144" s="595"/>
      <c r="D144" s="595"/>
      <c r="E144" s="595"/>
      <c r="F144" s="595"/>
      <c r="G144" s="595"/>
      <c r="H144" s="595"/>
      <c r="I144" s="595"/>
      <c r="J144" s="595"/>
      <c r="K144" s="595"/>
      <c r="L144" s="595"/>
      <c r="M144" s="595"/>
      <c r="N144" s="595"/>
      <c r="O144" s="595"/>
      <c r="P144" s="595"/>
      <c r="Q144" s="595"/>
      <c r="R144" s="595"/>
      <c r="S144" s="595"/>
      <c r="T144" s="595"/>
    </row>
    <row r="145" spans="1:20">
      <c r="A145" s="595"/>
      <c r="B145" s="595"/>
      <c r="C145" s="595"/>
      <c r="D145" s="595"/>
      <c r="E145" s="595"/>
      <c r="F145" s="595"/>
      <c r="G145" s="595"/>
      <c r="H145" s="595"/>
      <c r="I145" s="595"/>
      <c r="J145" s="595"/>
      <c r="K145" s="595"/>
      <c r="L145" s="595"/>
      <c r="M145" s="595"/>
      <c r="N145" s="595"/>
      <c r="O145" s="595"/>
      <c r="P145" s="595"/>
      <c r="Q145" s="595"/>
      <c r="R145" s="595"/>
      <c r="S145" s="595"/>
      <c r="T145" s="595"/>
    </row>
    <row r="146" spans="1:20">
      <c r="A146" s="595"/>
      <c r="B146" s="595"/>
      <c r="C146" s="595"/>
      <c r="D146" s="595"/>
      <c r="E146" s="595"/>
      <c r="F146" s="595"/>
      <c r="G146" s="595"/>
      <c r="H146" s="595"/>
      <c r="I146" s="595"/>
      <c r="J146" s="595"/>
      <c r="K146" s="595"/>
      <c r="L146" s="595"/>
      <c r="M146" s="595"/>
      <c r="N146" s="595"/>
      <c r="O146" s="595"/>
      <c r="P146" s="595"/>
      <c r="Q146" s="595"/>
      <c r="R146" s="595"/>
      <c r="S146" s="595"/>
      <c r="T146" s="595"/>
    </row>
    <row r="147" spans="1:20">
      <c r="A147" s="595"/>
      <c r="B147" s="595"/>
      <c r="C147" s="595"/>
      <c r="D147" s="595"/>
      <c r="E147" s="595"/>
      <c r="F147" s="595"/>
      <c r="G147" s="595"/>
      <c r="H147" s="595"/>
      <c r="I147" s="595"/>
      <c r="J147" s="595"/>
      <c r="K147" s="595"/>
      <c r="L147" s="595"/>
      <c r="M147" s="595"/>
      <c r="N147" s="595"/>
      <c r="O147" s="595"/>
      <c r="P147" s="595"/>
      <c r="Q147" s="595"/>
      <c r="R147" s="595"/>
      <c r="S147" s="595"/>
      <c r="T147" s="595"/>
    </row>
    <row r="148" spans="1:20">
      <c r="A148" s="595"/>
      <c r="B148" s="595"/>
      <c r="C148" s="595"/>
      <c r="D148" s="595"/>
      <c r="E148" s="595"/>
      <c r="F148" s="595"/>
      <c r="G148" s="595"/>
      <c r="H148" s="595"/>
      <c r="I148" s="595"/>
      <c r="J148" s="595"/>
      <c r="K148" s="595"/>
      <c r="L148" s="595"/>
      <c r="M148" s="595"/>
      <c r="N148" s="595"/>
      <c r="O148" s="595"/>
      <c r="P148" s="595"/>
      <c r="Q148" s="595"/>
      <c r="R148" s="595"/>
      <c r="S148" s="595"/>
      <c r="T148" s="595"/>
    </row>
    <row r="149" spans="1:20">
      <c r="A149" s="595"/>
      <c r="B149" s="595"/>
      <c r="C149" s="595"/>
      <c r="D149" s="595"/>
      <c r="E149" s="595"/>
      <c r="F149" s="595"/>
      <c r="G149" s="595"/>
      <c r="H149" s="595"/>
      <c r="I149" s="595"/>
      <c r="J149" s="595"/>
      <c r="K149" s="595"/>
      <c r="L149" s="595"/>
      <c r="M149" s="595"/>
      <c r="N149" s="595"/>
      <c r="O149" s="595"/>
      <c r="P149" s="595"/>
      <c r="Q149" s="595"/>
      <c r="R149" s="595"/>
      <c r="S149" s="595"/>
      <c r="T149" s="595"/>
    </row>
    <row r="150" spans="1:20">
      <c r="A150" s="595"/>
      <c r="B150" s="595"/>
      <c r="C150" s="595"/>
      <c r="D150" s="595"/>
      <c r="E150" s="595"/>
      <c r="F150" s="595"/>
      <c r="G150" s="595"/>
      <c r="H150" s="595"/>
      <c r="I150" s="595"/>
      <c r="J150" s="595"/>
      <c r="K150" s="595"/>
      <c r="L150" s="595"/>
      <c r="M150" s="595"/>
      <c r="N150" s="595"/>
      <c r="O150" s="595"/>
      <c r="P150" s="595"/>
      <c r="Q150" s="595"/>
      <c r="R150" s="595"/>
      <c r="S150" s="595"/>
      <c r="T150" s="595"/>
    </row>
    <row r="151" spans="1:20">
      <c r="A151" s="595"/>
      <c r="B151" s="595"/>
      <c r="C151" s="595"/>
      <c r="D151" s="595"/>
      <c r="E151" s="595"/>
      <c r="F151" s="595"/>
      <c r="G151" s="595"/>
      <c r="H151" s="595"/>
      <c r="I151" s="595"/>
      <c r="J151" s="595"/>
      <c r="K151" s="595"/>
      <c r="L151" s="595"/>
      <c r="M151" s="595"/>
      <c r="N151" s="595"/>
      <c r="O151" s="595"/>
      <c r="P151" s="595"/>
      <c r="Q151" s="595"/>
      <c r="R151" s="595"/>
      <c r="S151" s="595"/>
      <c r="T151" s="595"/>
    </row>
    <row r="152" spans="1:20">
      <c r="A152" s="595"/>
      <c r="B152" s="595"/>
      <c r="C152" s="595"/>
      <c r="D152" s="595"/>
      <c r="E152" s="595"/>
      <c r="F152" s="595"/>
      <c r="G152" s="595"/>
      <c r="H152" s="595"/>
      <c r="I152" s="595"/>
      <c r="J152" s="595"/>
      <c r="K152" s="595"/>
      <c r="L152" s="595"/>
      <c r="M152" s="595"/>
      <c r="N152" s="595"/>
      <c r="O152" s="595"/>
      <c r="P152" s="595"/>
      <c r="Q152" s="595"/>
      <c r="R152" s="595"/>
      <c r="S152" s="595"/>
      <c r="T152" s="595"/>
    </row>
    <row r="153" spans="1:20">
      <c r="A153" s="595"/>
      <c r="B153" s="595"/>
      <c r="C153" s="595"/>
      <c r="D153" s="595"/>
      <c r="E153" s="595"/>
      <c r="F153" s="595"/>
      <c r="G153" s="595"/>
      <c r="H153" s="595"/>
      <c r="I153" s="595"/>
      <c r="J153" s="595"/>
      <c r="K153" s="595"/>
      <c r="L153" s="595"/>
      <c r="M153" s="595"/>
      <c r="N153" s="595"/>
      <c r="O153" s="595"/>
      <c r="P153" s="595"/>
      <c r="Q153" s="595"/>
      <c r="R153" s="595"/>
      <c r="S153" s="595"/>
      <c r="T153" s="595"/>
    </row>
    <row r="154" spans="1:20">
      <c r="A154" s="595"/>
      <c r="B154" s="595"/>
      <c r="C154" s="595"/>
      <c r="D154" s="595"/>
      <c r="E154" s="595"/>
      <c r="F154" s="595"/>
      <c r="G154" s="595"/>
      <c r="H154" s="595"/>
      <c r="I154" s="595"/>
      <c r="J154" s="595"/>
      <c r="K154" s="595"/>
      <c r="L154" s="595"/>
      <c r="M154" s="595"/>
      <c r="N154" s="595"/>
      <c r="O154" s="595"/>
      <c r="P154" s="595"/>
      <c r="Q154" s="595"/>
      <c r="R154" s="595"/>
      <c r="S154" s="595"/>
      <c r="T154" s="595"/>
    </row>
    <row r="155" spans="1:20">
      <c r="A155" s="595"/>
      <c r="B155" s="595"/>
      <c r="C155" s="595"/>
      <c r="D155" s="595"/>
      <c r="E155" s="595"/>
      <c r="F155" s="595"/>
      <c r="G155" s="595"/>
      <c r="H155" s="595"/>
      <c r="I155" s="595"/>
      <c r="J155" s="595"/>
      <c r="K155" s="595"/>
      <c r="L155" s="595"/>
      <c r="M155" s="595"/>
      <c r="N155" s="595"/>
      <c r="O155" s="595"/>
      <c r="P155" s="595"/>
      <c r="Q155" s="595"/>
      <c r="R155" s="595"/>
      <c r="S155" s="595"/>
      <c r="T155" s="595"/>
    </row>
    <row r="156" spans="1:20">
      <c r="A156" s="595"/>
      <c r="B156" s="595"/>
      <c r="C156" s="595"/>
      <c r="D156" s="595"/>
      <c r="E156" s="595"/>
      <c r="F156" s="595"/>
      <c r="G156" s="595"/>
      <c r="H156" s="595"/>
      <c r="I156" s="595"/>
      <c r="J156" s="595"/>
      <c r="K156" s="595"/>
      <c r="L156" s="595"/>
      <c r="M156" s="595"/>
      <c r="N156" s="595"/>
      <c r="O156" s="595"/>
      <c r="P156" s="595"/>
      <c r="Q156" s="595"/>
      <c r="R156" s="595"/>
      <c r="S156" s="595"/>
      <c r="T156" s="595"/>
    </row>
    <row r="157" spans="1:20">
      <c r="A157" s="595"/>
      <c r="B157" s="595"/>
      <c r="C157" s="595"/>
      <c r="D157" s="595"/>
      <c r="E157" s="595"/>
      <c r="F157" s="595"/>
      <c r="G157" s="595"/>
      <c r="H157" s="595"/>
      <c r="I157" s="595"/>
      <c r="J157" s="595"/>
      <c r="K157" s="595"/>
      <c r="L157" s="595"/>
      <c r="M157" s="595"/>
      <c r="N157" s="595"/>
      <c r="O157" s="595"/>
      <c r="P157" s="595"/>
      <c r="Q157" s="595"/>
      <c r="R157" s="595"/>
      <c r="S157" s="595"/>
      <c r="T157" s="595"/>
    </row>
    <row r="158" spans="1:20">
      <c r="A158" s="595"/>
      <c r="B158" s="595"/>
      <c r="C158" s="595"/>
      <c r="D158" s="595"/>
      <c r="E158" s="595"/>
      <c r="F158" s="595"/>
      <c r="G158" s="595"/>
      <c r="H158" s="595"/>
      <c r="I158" s="595"/>
      <c r="J158" s="595"/>
      <c r="K158" s="595"/>
      <c r="L158" s="595"/>
      <c r="M158" s="595"/>
      <c r="N158" s="595"/>
      <c r="O158" s="595"/>
      <c r="P158" s="595"/>
      <c r="Q158" s="595"/>
      <c r="R158" s="595"/>
      <c r="S158" s="595"/>
      <c r="T158" s="595"/>
    </row>
    <row r="159" spans="1:20">
      <c r="A159" s="595"/>
      <c r="B159" s="595"/>
      <c r="C159" s="595"/>
      <c r="D159" s="595"/>
      <c r="E159" s="595"/>
      <c r="F159" s="595"/>
      <c r="G159" s="595"/>
      <c r="H159" s="595"/>
      <c r="I159" s="595"/>
      <c r="J159" s="595"/>
      <c r="K159" s="595"/>
      <c r="L159" s="595"/>
      <c r="M159" s="595"/>
      <c r="N159" s="595"/>
      <c r="O159" s="595"/>
      <c r="P159" s="595"/>
      <c r="Q159" s="595"/>
      <c r="R159" s="595"/>
      <c r="S159" s="595"/>
      <c r="T159" s="595"/>
    </row>
    <row r="160" spans="1:20">
      <c r="A160" s="595"/>
      <c r="B160" s="595"/>
      <c r="C160" s="595"/>
      <c r="D160" s="595"/>
      <c r="E160" s="595"/>
      <c r="F160" s="595"/>
      <c r="G160" s="595"/>
      <c r="H160" s="595"/>
      <c r="I160" s="595"/>
      <c r="J160" s="595"/>
      <c r="K160" s="595"/>
      <c r="L160" s="595"/>
      <c r="M160" s="595"/>
      <c r="N160" s="595"/>
      <c r="O160" s="595"/>
      <c r="P160" s="595"/>
      <c r="Q160" s="595"/>
      <c r="R160" s="595"/>
      <c r="S160" s="595"/>
      <c r="T160" s="595"/>
    </row>
    <row r="161" spans="1:20">
      <c r="A161" s="595"/>
      <c r="B161" s="595"/>
      <c r="C161" s="595"/>
      <c r="D161" s="595"/>
      <c r="E161" s="595"/>
      <c r="F161" s="595"/>
      <c r="G161" s="595"/>
      <c r="H161" s="595"/>
      <c r="I161" s="595"/>
      <c r="J161" s="595"/>
      <c r="K161" s="595"/>
      <c r="L161" s="595"/>
      <c r="M161" s="595"/>
      <c r="N161" s="595"/>
      <c r="O161" s="595"/>
      <c r="P161" s="595"/>
      <c r="Q161" s="595"/>
      <c r="R161" s="595"/>
      <c r="S161" s="595"/>
      <c r="T161" s="595"/>
    </row>
    <row r="162" spans="1:20">
      <c r="A162" s="595"/>
      <c r="B162" s="595"/>
      <c r="C162" s="595"/>
      <c r="D162" s="595"/>
      <c r="E162" s="595"/>
      <c r="F162" s="595"/>
      <c r="G162" s="595"/>
      <c r="H162" s="595"/>
      <c r="I162" s="595"/>
      <c r="J162" s="595"/>
      <c r="K162" s="595"/>
      <c r="L162" s="595"/>
      <c r="M162" s="595"/>
      <c r="N162" s="595"/>
      <c r="O162" s="595"/>
      <c r="P162" s="595"/>
      <c r="Q162" s="595"/>
      <c r="R162" s="595"/>
      <c r="S162" s="595"/>
      <c r="T162" s="595"/>
    </row>
    <row r="163" spans="1:20">
      <c r="A163" s="595"/>
      <c r="B163" s="595"/>
      <c r="C163" s="595"/>
      <c r="D163" s="595"/>
      <c r="E163" s="595"/>
      <c r="F163" s="595"/>
      <c r="G163" s="595"/>
      <c r="H163" s="595"/>
      <c r="I163" s="595"/>
      <c r="J163" s="595"/>
      <c r="K163" s="595"/>
      <c r="L163" s="595"/>
      <c r="M163" s="595"/>
      <c r="N163" s="595"/>
      <c r="O163" s="595"/>
      <c r="P163" s="595"/>
      <c r="Q163" s="595"/>
      <c r="R163" s="595"/>
      <c r="S163" s="595"/>
      <c r="T163" s="595"/>
    </row>
    <row r="164" spans="1:20">
      <c r="A164" s="595"/>
      <c r="B164" s="595"/>
      <c r="C164" s="595"/>
      <c r="D164" s="595"/>
      <c r="E164" s="595"/>
      <c r="F164" s="595"/>
      <c r="G164" s="595"/>
      <c r="H164" s="595"/>
      <c r="I164" s="595"/>
      <c r="J164" s="595"/>
      <c r="K164" s="595"/>
      <c r="L164" s="595"/>
      <c r="M164" s="595"/>
      <c r="N164" s="595"/>
      <c r="O164" s="595"/>
      <c r="P164" s="595"/>
      <c r="Q164" s="595"/>
      <c r="R164" s="595"/>
      <c r="S164" s="595"/>
      <c r="T164" s="595"/>
    </row>
    <row r="165" spans="1:20">
      <c r="A165" s="595"/>
      <c r="B165" s="595"/>
      <c r="C165" s="595"/>
      <c r="D165" s="595"/>
      <c r="E165" s="595"/>
      <c r="F165" s="595"/>
      <c r="G165" s="595"/>
      <c r="H165" s="595"/>
      <c r="I165" s="595"/>
      <c r="J165" s="595"/>
      <c r="K165" s="595"/>
      <c r="L165" s="595"/>
      <c r="M165" s="595"/>
      <c r="N165" s="595"/>
      <c r="O165" s="595"/>
      <c r="P165" s="595"/>
      <c r="Q165" s="595"/>
      <c r="R165" s="595"/>
      <c r="S165" s="595"/>
      <c r="T165" s="595"/>
    </row>
    <row r="166" spans="1:20">
      <c r="A166" s="595"/>
      <c r="B166" s="595"/>
      <c r="C166" s="595"/>
      <c r="D166" s="595"/>
      <c r="E166" s="595"/>
      <c r="F166" s="595"/>
      <c r="G166" s="595"/>
      <c r="H166" s="595"/>
      <c r="I166" s="595"/>
      <c r="J166" s="595"/>
      <c r="K166" s="595"/>
      <c r="L166" s="595"/>
      <c r="M166" s="595"/>
      <c r="N166" s="595"/>
      <c r="O166" s="595"/>
      <c r="P166" s="595"/>
      <c r="Q166" s="595"/>
      <c r="R166" s="595"/>
      <c r="S166" s="595"/>
      <c r="T166" s="595"/>
    </row>
    <row r="167" spans="1:20">
      <c r="A167" s="595"/>
      <c r="B167" s="595"/>
      <c r="C167" s="595"/>
      <c r="D167" s="595"/>
      <c r="E167" s="595"/>
      <c r="F167" s="595"/>
      <c r="G167" s="595"/>
      <c r="H167" s="595"/>
      <c r="I167" s="595"/>
      <c r="J167" s="595"/>
      <c r="K167" s="595"/>
      <c r="L167" s="595"/>
      <c r="M167" s="595"/>
      <c r="N167" s="595"/>
      <c r="O167" s="595"/>
      <c r="P167" s="595"/>
      <c r="Q167" s="595"/>
      <c r="R167" s="595"/>
      <c r="S167" s="595"/>
      <c r="T167" s="595"/>
    </row>
    <row r="168" spans="1:20">
      <c r="A168" s="595"/>
      <c r="B168" s="595"/>
      <c r="C168" s="595"/>
      <c r="D168" s="595"/>
      <c r="E168" s="595"/>
      <c r="F168" s="595"/>
      <c r="G168" s="595"/>
      <c r="H168" s="595"/>
      <c r="I168" s="595"/>
      <c r="J168" s="595"/>
      <c r="K168" s="595"/>
      <c r="L168" s="595"/>
      <c r="M168" s="595"/>
      <c r="N168" s="595"/>
      <c r="O168" s="595"/>
      <c r="P168" s="595"/>
      <c r="Q168" s="595"/>
      <c r="R168" s="595"/>
      <c r="S168" s="595"/>
      <c r="T168" s="595"/>
    </row>
    <row r="169" spans="1:20">
      <c r="A169" s="595"/>
      <c r="B169" s="595"/>
      <c r="C169" s="595"/>
      <c r="D169" s="595"/>
      <c r="E169" s="595"/>
      <c r="F169" s="595"/>
      <c r="G169" s="595"/>
      <c r="H169" s="595"/>
      <c r="I169" s="595"/>
      <c r="J169" s="595"/>
      <c r="K169" s="595"/>
      <c r="L169" s="595"/>
      <c r="M169" s="595"/>
      <c r="N169" s="595"/>
      <c r="O169" s="595"/>
      <c r="P169" s="595"/>
      <c r="Q169" s="595"/>
      <c r="R169" s="595"/>
      <c r="S169" s="595"/>
      <c r="T169" s="595"/>
    </row>
    <row r="170" spans="1:20">
      <c r="A170" s="595"/>
      <c r="B170" s="595"/>
      <c r="C170" s="595"/>
      <c r="D170" s="595"/>
      <c r="E170" s="595"/>
      <c r="F170" s="595"/>
      <c r="G170" s="595"/>
      <c r="H170" s="595"/>
      <c r="I170" s="595"/>
      <c r="J170" s="595"/>
      <c r="K170" s="595"/>
      <c r="L170" s="595"/>
      <c r="M170" s="595"/>
      <c r="N170" s="595"/>
      <c r="O170" s="595"/>
      <c r="P170" s="595"/>
      <c r="Q170" s="595"/>
      <c r="R170" s="595"/>
      <c r="S170" s="595"/>
      <c r="T170" s="595"/>
    </row>
    <row r="171" spans="1:20">
      <c r="A171" s="595"/>
      <c r="B171" s="595"/>
      <c r="C171" s="595"/>
      <c r="D171" s="595"/>
      <c r="E171" s="595"/>
      <c r="F171" s="595"/>
      <c r="G171" s="595"/>
      <c r="H171" s="595"/>
      <c r="I171" s="595"/>
      <c r="J171" s="595"/>
      <c r="K171" s="595"/>
      <c r="L171" s="595"/>
      <c r="M171" s="595"/>
      <c r="N171" s="595"/>
      <c r="O171" s="595"/>
      <c r="P171" s="595"/>
      <c r="Q171" s="595"/>
      <c r="R171" s="595"/>
      <c r="S171" s="595"/>
      <c r="T171" s="595"/>
    </row>
    <row r="172" spans="1:20">
      <c r="A172" s="595"/>
      <c r="B172" s="595"/>
      <c r="C172" s="595"/>
      <c r="D172" s="595"/>
      <c r="E172" s="595"/>
      <c r="F172" s="595"/>
      <c r="G172" s="595"/>
      <c r="H172" s="595"/>
      <c r="I172" s="595"/>
      <c r="J172" s="595"/>
      <c r="K172" s="595"/>
      <c r="L172" s="595"/>
      <c r="M172" s="595"/>
      <c r="N172" s="595"/>
      <c r="O172" s="595"/>
      <c r="P172" s="595"/>
      <c r="Q172" s="595"/>
      <c r="R172" s="595"/>
      <c r="S172" s="595"/>
      <c r="T172" s="595"/>
    </row>
    <row r="173" spans="1:20">
      <c r="A173" s="595"/>
      <c r="B173" s="595"/>
      <c r="C173" s="595"/>
      <c r="D173" s="595"/>
      <c r="E173" s="595"/>
      <c r="F173" s="595"/>
      <c r="G173" s="595"/>
      <c r="H173" s="595"/>
      <c r="I173" s="595"/>
      <c r="J173" s="595"/>
      <c r="K173" s="595"/>
      <c r="L173" s="595"/>
      <c r="M173" s="595"/>
      <c r="N173" s="595"/>
      <c r="O173" s="595"/>
      <c r="P173" s="595"/>
      <c r="Q173" s="595"/>
      <c r="R173" s="595"/>
      <c r="S173" s="595"/>
      <c r="T173" s="595"/>
    </row>
    <row r="174" spans="1:20">
      <c r="A174" s="595"/>
      <c r="B174" s="595"/>
      <c r="C174" s="595"/>
      <c r="D174" s="595"/>
      <c r="E174" s="595"/>
      <c r="F174" s="595"/>
      <c r="G174" s="595"/>
      <c r="H174" s="595"/>
      <c r="I174" s="595"/>
      <c r="J174" s="595"/>
      <c r="K174" s="595"/>
      <c r="L174" s="595"/>
      <c r="M174" s="595"/>
      <c r="N174" s="595"/>
      <c r="O174" s="595"/>
      <c r="P174" s="595"/>
      <c r="Q174" s="595"/>
      <c r="R174" s="595"/>
      <c r="S174" s="595"/>
      <c r="T174" s="595"/>
    </row>
    <row r="175" spans="1:20">
      <c r="A175" s="595"/>
      <c r="B175" s="595"/>
      <c r="C175" s="595"/>
      <c r="D175" s="595"/>
      <c r="E175" s="595"/>
      <c r="F175" s="595"/>
      <c r="G175" s="595"/>
      <c r="H175" s="595"/>
      <c r="I175" s="595"/>
      <c r="J175" s="595"/>
      <c r="K175" s="595"/>
      <c r="L175" s="595"/>
      <c r="M175" s="595"/>
      <c r="N175" s="595"/>
      <c r="O175" s="595"/>
      <c r="P175" s="595"/>
      <c r="Q175" s="595"/>
      <c r="R175" s="595"/>
      <c r="S175" s="595"/>
      <c r="T175" s="595"/>
    </row>
    <row r="176" spans="1:20">
      <c r="A176" s="595"/>
      <c r="B176" s="595"/>
      <c r="C176" s="595"/>
      <c r="D176" s="595"/>
      <c r="E176" s="595"/>
      <c r="F176" s="595"/>
      <c r="G176" s="595"/>
      <c r="H176" s="595"/>
      <c r="I176" s="595"/>
      <c r="J176" s="595"/>
      <c r="K176" s="595"/>
      <c r="L176" s="595"/>
      <c r="M176" s="595"/>
      <c r="N176" s="595"/>
      <c r="O176" s="595"/>
      <c r="P176" s="595"/>
      <c r="Q176" s="595"/>
      <c r="R176" s="595"/>
      <c r="S176" s="595"/>
      <c r="T176" s="595"/>
    </row>
    <row r="177" spans="1:20">
      <c r="A177" s="595"/>
      <c r="B177" s="595"/>
      <c r="C177" s="595"/>
      <c r="D177" s="595"/>
      <c r="E177" s="595"/>
      <c r="F177" s="595"/>
      <c r="G177" s="595"/>
      <c r="H177" s="595"/>
      <c r="I177" s="595"/>
      <c r="J177" s="595"/>
      <c r="K177" s="595"/>
      <c r="L177" s="595"/>
      <c r="M177" s="595"/>
      <c r="N177" s="595"/>
      <c r="O177" s="595"/>
      <c r="P177" s="595"/>
      <c r="Q177" s="595"/>
      <c r="R177" s="595"/>
      <c r="S177" s="595"/>
      <c r="T177" s="595"/>
    </row>
    <row r="178" spans="1:20">
      <c r="A178" s="595"/>
      <c r="B178" s="595"/>
      <c r="C178" s="595"/>
      <c r="D178" s="595"/>
      <c r="E178" s="595"/>
      <c r="F178" s="595"/>
      <c r="G178" s="595"/>
      <c r="H178" s="595"/>
      <c r="I178" s="595"/>
      <c r="J178" s="595"/>
      <c r="K178" s="595"/>
      <c r="L178" s="595"/>
      <c r="M178" s="595"/>
      <c r="N178" s="595"/>
      <c r="O178" s="595"/>
      <c r="P178" s="595"/>
      <c r="Q178" s="595"/>
      <c r="R178" s="595"/>
      <c r="S178" s="595"/>
      <c r="T178" s="595"/>
    </row>
    <row r="179" spans="1:20">
      <c r="A179" s="595"/>
      <c r="B179" s="595"/>
      <c r="C179" s="595"/>
      <c r="D179" s="595"/>
      <c r="E179" s="595"/>
      <c r="F179" s="595"/>
      <c r="G179" s="595"/>
      <c r="H179" s="595"/>
      <c r="I179" s="595"/>
      <c r="J179" s="595"/>
      <c r="K179" s="595"/>
      <c r="L179" s="595"/>
      <c r="M179" s="595"/>
      <c r="N179" s="595"/>
      <c r="O179" s="595"/>
      <c r="P179" s="595"/>
      <c r="Q179" s="595"/>
      <c r="R179" s="595"/>
      <c r="S179" s="595"/>
      <c r="T179" s="595"/>
    </row>
    <row r="180" spans="1:20">
      <c r="A180" s="595"/>
      <c r="B180" s="595"/>
      <c r="C180" s="595"/>
      <c r="D180" s="595"/>
      <c r="E180" s="595"/>
      <c r="F180" s="595"/>
      <c r="G180" s="595"/>
      <c r="H180" s="595"/>
      <c r="I180" s="595"/>
      <c r="J180" s="595"/>
      <c r="K180" s="595"/>
      <c r="L180" s="595"/>
      <c r="M180" s="595"/>
      <c r="N180" s="595"/>
      <c r="O180" s="595"/>
      <c r="P180" s="595"/>
      <c r="Q180" s="595"/>
      <c r="R180" s="595"/>
      <c r="S180" s="595"/>
      <c r="T180" s="595"/>
    </row>
    <row r="181" spans="1:20">
      <c r="A181" s="595"/>
      <c r="B181" s="595"/>
      <c r="C181" s="595"/>
      <c r="D181" s="595"/>
      <c r="E181" s="595"/>
      <c r="F181" s="595"/>
      <c r="G181" s="595"/>
      <c r="H181" s="595"/>
      <c r="I181" s="595"/>
      <c r="J181" s="595"/>
      <c r="K181" s="595"/>
      <c r="L181" s="595"/>
      <c r="M181" s="595"/>
      <c r="N181" s="595"/>
      <c r="O181" s="595"/>
      <c r="P181" s="595"/>
      <c r="Q181" s="595"/>
      <c r="R181" s="595"/>
      <c r="S181" s="595"/>
      <c r="T181" s="595"/>
    </row>
    <row r="182" spans="1:20">
      <c r="A182" s="595"/>
      <c r="B182" s="595"/>
      <c r="C182" s="595"/>
      <c r="D182" s="595"/>
      <c r="E182" s="595"/>
      <c r="F182" s="595"/>
      <c r="G182" s="595"/>
      <c r="H182" s="595"/>
      <c r="I182" s="595"/>
      <c r="J182" s="595"/>
      <c r="K182" s="595"/>
      <c r="L182" s="595"/>
      <c r="M182" s="595"/>
      <c r="N182" s="595"/>
      <c r="O182" s="595"/>
      <c r="P182" s="595"/>
      <c r="Q182" s="595"/>
      <c r="R182" s="595"/>
      <c r="S182" s="595"/>
      <c r="T182" s="595"/>
    </row>
    <row r="183" spans="1:20">
      <c r="A183" s="595"/>
      <c r="B183" s="595"/>
      <c r="C183" s="595"/>
      <c r="D183" s="595"/>
      <c r="E183" s="595"/>
      <c r="F183" s="595"/>
      <c r="G183" s="595"/>
      <c r="H183" s="595"/>
      <c r="I183" s="595"/>
      <c r="J183" s="595"/>
      <c r="K183" s="595"/>
      <c r="L183" s="595"/>
      <c r="M183" s="595"/>
      <c r="N183" s="595"/>
      <c r="O183" s="595"/>
      <c r="P183" s="595"/>
      <c r="Q183" s="595"/>
      <c r="R183" s="595"/>
      <c r="S183" s="595"/>
      <c r="T183" s="595"/>
    </row>
    <row r="184" spans="1:20">
      <c r="A184" s="595"/>
      <c r="B184" s="595"/>
      <c r="C184" s="595"/>
      <c r="D184" s="595"/>
      <c r="E184" s="595"/>
      <c r="F184" s="595"/>
      <c r="G184" s="595"/>
      <c r="H184" s="595"/>
      <c r="I184" s="595"/>
      <c r="J184" s="595"/>
      <c r="K184" s="595"/>
      <c r="L184" s="595"/>
      <c r="M184" s="595"/>
      <c r="N184" s="595"/>
      <c r="O184" s="595"/>
      <c r="P184" s="595"/>
      <c r="Q184" s="595"/>
      <c r="R184" s="595"/>
      <c r="S184" s="595"/>
      <c r="T184" s="595"/>
    </row>
    <row r="185" spans="1:20">
      <c r="A185" s="595"/>
      <c r="B185" s="595"/>
      <c r="C185" s="595"/>
      <c r="D185" s="595"/>
      <c r="E185" s="595"/>
      <c r="F185" s="595"/>
      <c r="G185" s="595"/>
      <c r="H185" s="595"/>
      <c r="I185" s="595"/>
      <c r="J185" s="595"/>
      <c r="K185" s="595"/>
      <c r="L185" s="595"/>
      <c r="M185" s="595"/>
      <c r="N185" s="595"/>
      <c r="O185" s="595"/>
      <c r="P185" s="595"/>
      <c r="Q185" s="595"/>
      <c r="R185" s="595"/>
      <c r="S185" s="595"/>
      <c r="T185" s="595"/>
    </row>
    <row r="186" spans="1:20">
      <c r="A186" s="595"/>
      <c r="B186" s="595"/>
      <c r="C186" s="595"/>
      <c r="D186" s="595"/>
      <c r="E186" s="595"/>
      <c r="F186" s="595"/>
      <c r="G186" s="595"/>
      <c r="H186" s="595"/>
      <c r="I186" s="595"/>
      <c r="J186" s="595"/>
      <c r="K186" s="595"/>
      <c r="L186" s="595"/>
      <c r="M186" s="595"/>
      <c r="N186" s="595"/>
      <c r="O186" s="595"/>
      <c r="P186" s="595"/>
      <c r="Q186" s="595"/>
      <c r="R186" s="595"/>
      <c r="S186" s="595"/>
      <c r="T186" s="595"/>
    </row>
    <row r="187" spans="1:20">
      <c r="A187" s="595"/>
      <c r="B187" s="595"/>
      <c r="C187" s="595"/>
      <c r="D187" s="595"/>
      <c r="E187" s="595"/>
      <c r="F187" s="595"/>
      <c r="G187" s="595"/>
      <c r="H187" s="595"/>
      <c r="I187" s="595"/>
      <c r="J187" s="595"/>
      <c r="K187" s="595"/>
      <c r="L187" s="595"/>
      <c r="M187" s="595"/>
      <c r="N187" s="595"/>
      <c r="O187" s="595"/>
      <c r="P187" s="595"/>
      <c r="Q187" s="595"/>
      <c r="R187" s="595"/>
      <c r="S187" s="595"/>
      <c r="T187" s="595"/>
    </row>
    <row r="188" spans="1:20">
      <c r="A188" s="595"/>
      <c r="B188" s="595"/>
      <c r="C188" s="595"/>
      <c r="D188" s="595"/>
      <c r="E188" s="595"/>
      <c r="F188" s="595"/>
      <c r="G188" s="595"/>
      <c r="H188" s="595"/>
      <c r="I188" s="595"/>
      <c r="J188" s="595"/>
      <c r="K188" s="595"/>
      <c r="L188" s="595"/>
      <c r="M188" s="595"/>
      <c r="N188" s="595"/>
      <c r="O188" s="595"/>
      <c r="P188" s="595"/>
      <c r="Q188" s="595"/>
      <c r="R188" s="595"/>
      <c r="S188" s="595"/>
      <c r="T188" s="595"/>
    </row>
    <row r="189" spans="1:20">
      <c r="A189" s="595"/>
      <c r="B189" s="595"/>
      <c r="C189" s="595"/>
      <c r="D189" s="595"/>
      <c r="E189" s="595"/>
      <c r="F189" s="595"/>
      <c r="G189" s="595"/>
      <c r="H189" s="595"/>
      <c r="I189" s="595"/>
      <c r="J189" s="595"/>
      <c r="K189" s="595"/>
      <c r="L189" s="595"/>
      <c r="M189" s="595"/>
      <c r="N189" s="595"/>
      <c r="O189" s="595"/>
      <c r="P189" s="595"/>
      <c r="Q189" s="595"/>
      <c r="R189" s="595"/>
      <c r="S189" s="595"/>
      <c r="T189" s="595"/>
    </row>
    <row r="190" spans="1:20">
      <c r="A190" s="595"/>
      <c r="B190" s="595"/>
      <c r="C190" s="595"/>
      <c r="D190" s="595"/>
      <c r="E190" s="595"/>
      <c r="F190" s="595"/>
      <c r="G190" s="595"/>
      <c r="H190" s="595"/>
      <c r="I190" s="595"/>
      <c r="J190" s="595"/>
      <c r="K190" s="595"/>
      <c r="L190" s="595"/>
      <c r="M190" s="595"/>
      <c r="N190" s="595"/>
      <c r="O190" s="595"/>
      <c r="P190" s="595"/>
      <c r="Q190" s="595"/>
      <c r="R190" s="595"/>
      <c r="S190" s="595"/>
      <c r="T190" s="595"/>
    </row>
    <row r="191" spans="1:20">
      <c r="A191" s="595"/>
      <c r="B191" s="595"/>
      <c r="C191" s="595"/>
      <c r="D191" s="595"/>
      <c r="E191" s="595"/>
      <c r="F191" s="595"/>
      <c r="G191" s="595"/>
      <c r="H191" s="595"/>
      <c r="I191" s="595"/>
      <c r="J191" s="595"/>
      <c r="K191" s="595"/>
      <c r="L191" s="595"/>
      <c r="M191" s="595"/>
      <c r="N191" s="595"/>
      <c r="O191" s="595"/>
      <c r="P191" s="595"/>
      <c r="Q191" s="595"/>
      <c r="R191" s="595"/>
      <c r="S191" s="595"/>
      <c r="T191" s="595"/>
    </row>
    <row r="192" spans="1:20">
      <c r="A192" s="595"/>
      <c r="B192" s="595"/>
      <c r="C192" s="595"/>
      <c r="D192" s="595"/>
      <c r="E192" s="595"/>
      <c r="F192" s="595"/>
      <c r="G192" s="595"/>
      <c r="H192" s="595"/>
      <c r="I192" s="595"/>
      <c r="J192" s="595"/>
      <c r="K192" s="595"/>
      <c r="L192" s="595"/>
      <c r="M192" s="595"/>
      <c r="N192" s="595"/>
      <c r="O192" s="595"/>
      <c r="P192" s="595"/>
      <c r="Q192" s="595"/>
      <c r="R192" s="595"/>
      <c r="S192" s="595"/>
      <c r="T192" s="595"/>
    </row>
    <row r="193" spans="1:20">
      <c r="A193" s="595"/>
      <c r="B193" s="595"/>
      <c r="C193" s="595"/>
      <c r="D193" s="595"/>
      <c r="E193" s="595"/>
      <c r="F193" s="595"/>
      <c r="G193" s="595"/>
      <c r="H193" s="595"/>
      <c r="I193" s="595"/>
      <c r="J193" s="595"/>
      <c r="K193" s="595"/>
      <c r="L193" s="595"/>
      <c r="M193" s="595"/>
      <c r="N193" s="595"/>
      <c r="O193" s="595"/>
      <c r="P193" s="595"/>
      <c r="Q193" s="595"/>
      <c r="R193" s="595"/>
      <c r="S193" s="595"/>
      <c r="T193" s="595"/>
    </row>
    <row r="194" spans="1:20">
      <c r="A194" s="595"/>
      <c r="B194" s="595"/>
      <c r="C194" s="595"/>
      <c r="D194" s="595"/>
      <c r="E194" s="595"/>
      <c r="F194" s="595"/>
      <c r="G194" s="595"/>
      <c r="H194" s="595"/>
      <c r="I194" s="595"/>
      <c r="J194" s="595"/>
      <c r="K194" s="595"/>
      <c r="L194" s="595"/>
      <c r="M194" s="595"/>
      <c r="N194" s="595"/>
      <c r="O194" s="595"/>
      <c r="P194" s="595"/>
      <c r="Q194" s="595"/>
      <c r="R194" s="595"/>
      <c r="S194" s="595"/>
      <c r="T194" s="595"/>
    </row>
    <row r="195" spans="1:20">
      <c r="A195" s="595"/>
      <c r="B195" s="595"/>
      <c r="C195" s="595"/>
      <c r="D195" s="595"/>
      <c r="E195" s="595"/>
      <c r="F195" s="595"/>
      <c r="G195" s="595"/>
      <c r="H195" s="595"/>
      <c r="I195" s="595"/>
      <c r="J195" s="595"/>
      <c r="K195" s="595"/>
      <c r="L195" s="595"/>
      <c r="M195" s="595"/>
      <c r="N195" s="595"/>
      <c r="O195" s="595"/>
      <c r="P195" s="595"/>
      <c r="Q195" s="595"/>
      <c r="R195" s="595"/>
      <c r="S195" s="595"/>
      <c r="T195" s="595"/>
    </row>
    <row r="196" spans="1:20">
      <c r="A196" s="595"/>
      <c r="B196" s="595"/>
      <c r="C196" s="595"/>
      <c r="D196" s="595"/>
      <c r="E196" s="595"/>
      <c r="F196" s="595"/>
      <c r="G196" s="595"/>
      <c r="H196" s="595"/>
      <c r="I196" s="595"/>
      <c r="J196" s="595"/>
      <c r="K196" s="595"/>
      <c r="L196" s="595"/>
      <c r="M196" s="595"/>
      <c r="N196" s="595"/>
      <c r="O196" s="595"/>
      <c r="P196" s="595"/>
      <c r="Q196" s="595"/>
      <c r="R196" s="595"/>
      <c r="S196" s="595"/>
      <c r="T196" s="595"/>
    </row>
    <row r="197" spans="1:20">
      <c r="A197" s="595"/>
      <c r="B197" s="595"/>
      <c r="C197" s="595"/>
      <c r="D197" s="595"/>
      <c r="E197" s="595"/>
      <c r="F197" s="595"/>
      <c r="G197" s="595"/>
      <c r="H197" s="595"/>
      <c r="I197" s="595"/>
      <c r="J197" s="595"/>
      <c r="K197" s="595"/>
      <c r="L197" s="595"/>
      <c r="M197" s="595"/>
      <c r="N197" s="595"/>
      <c r="O197" s="595"/>
      <c r="P197" s="595"/>
      <c r="Q197" s="595"/>
      <c r="R197" s="595"/>
      <c r="S197" s="595"/>
      <c r="T197" s="595"/>
    </row>
    <row r="198" spans="1:20">
      <c r="A198" s="595"/>
      <c r="B198" s="595"/>
      <c r="C198" s="595"/>
      <c r="D198" s="595"/>
      <c r="E198" s="595"/>
      <c r="F198" s="595"/>
      <c r="G198" s="595"/>
      <c r="H198" s="595"/>
      <c r="I198" s="595"/>
      <c r="J198" s="595"/>
      <c r="K198" s="595"/>
      <c r="L198" s="595"/>
      <c r="M198" s="595"/>
      <c r="N198" s="595"/>
      <c r="O198" s="595"/>
      <c r="P198" s="595"/>
      <c r="Q198" s="595"/>
      <c r="R198" s="595"/>
      <c r="S198" s="595"/>
      <c r="T198" s="595"/>
    </row>
    <row r="199" spans="1:20">
      <c r="A199" s="595"/>
      <c r="B199" s="595"/>
      <c r="C199" s="595"/>
      <c r="D199" s="595"/>
      <c r="E199" s="595"/>
      <c r="F199" s="595"/>
      <c r="G199" s="595"/>
      <c r="H199" s="595"/>
      <c r="I199" s="595"/>
      <c r="J199" s="595"/>
      <c r="K199" s="595"/>
      <c r="L199" s="595"/>
      <c r="M199" s="595"/>
      <c r="N199" s="595"/>
      <c r="O199" s="595"/>
      <c r="P199" s="595"/>
      <c r="Q199" s="595"/>
      <c r="R199" s="595"/>
      <c r="S199" s="595"/>
      <c r="T199" s="595"/>
    </row>
    <row r="200" spans="1:20">
      <c r="A200" s="595"/>
      <c r="B200" s="595"/>
      <c r="C200" s="595"/>
      <c r="D200" s="595"/>
      <c r="E200" s="595"/>
      <c r="F200" s="595"/>
      <c r="G200" s="595"/>
      <c r="H200" s="595"/>
      <c r="I200" s="595"/>
      <c r="J200" s="595"/>
      <c r="K200" s="595"/>
      <c r="L200" s="595"/>
      <c r="M200" s="595"/>
      <c r="N200" s="595"/>
      <c r="O200" s="595"/>
      <c r="P200" s="595"/>
      <c r="Q200" s="595"/>
      <c r="R200" s="595"/>
      <c r="S200" s="595"/>
      <c r="T200" s="595"/>
    </row>
    <row r="201" spans="1:20">
      <c r="A201" s="595"/>
      <c r="B201" s="595"/>
      <c r="C201" s="595"/>
      <c r="D201" s="595"/>
      <c r="E201" s="595"/>
      <c r="F201" s="595"/>
      <c r="G201" s="595"/>
      <c r="H201" s="595"/>
      <c r="I201" s="595"/>
      <c r="J201" s="595"/>
      <c r="K201" s="595"/>
      <c r="L201" s="595"/>
      <c r="M201" s="595"/>
      <c r="N201" s="595"/>
      <c r="O201" s="595"/>
      <c r="P201" s="595"/>
      <c r="Q201" s="595"/>
      <c r="R201" s="595"/>
      <c r="S201" s="595"/>
      <c r="T201" s="595"/>
    </row>
    <row r="202" spans="1:20">
      <c r="A202" s="595"/>
      <c r="B202" s="595"/>
      <c r="C202" s="595"/>
      <c r="D202" s="595"/>
      <c r="E202" s="595"/>
      <c r="F202" s="595"/>
      <c r="G202" s="595"/>
      <c r="H202" s="595"/>
      <c r="I202" s="595"/>
      <c r="J202" s="595"/>
      <c r="K202" s="595"/>
      <c r="L202" s="595"/>
      <c r="M202" s="595"/>
      <c r="N202" s="595"/>
      <c r="O202" s="595"/>
      <c r="P202" s="595"/>
      <c r="Q202" s="595"/>
      <c r="R202" s="595"/>
      <c r="S202" s="595"/>
      <c r="T202" s="595"/>
    </row>
    <row r="203" spans="1:20">
      <c r="A203" s="595"/>
      <c r="B203" s="595"/>
      <c r="C203" s="595"/>
      <c r="D203" s="595"/>
      <c r="E203" s="595"/>
      <c r="F203" s="595"/>
      <c r="G203" s="595"/>
      <c r="H203" s="595"/>
      <c r="I203" s="595"/>
      <c r="J203" s="595"/>
      <c r="K203" s="595"/>
      <c r="L203" s="595"/>
      <c r="M203" s="595"/>
      <c r="N203" s="595"/>
      <c r="O203" s="595"/>
      <c r="P203" s="595"/>
      <c r="Q203" s="595"/>
      <c r="R203" s="595"/>
      <c r="S203" s="595"/>
      <c r="T203" s="595"/>
    </row>
    <row r="204" spans="1:20">
      <c r="A204" s="595"/>
      <c r="B204" s="595"/>
      <c r="C204" s="595"/>
      <c r="D204" s="595"/>
      <c r="E204" s="595"/>
      <c r="F204" s="595"/>
      <c r="G204" s="595"/>
      <c r="H204" s="595"/>
      <c r="I204" s="595"/>
      <c r="J204" s="595"/>
      <c r="K204" s="595"/>
      <c r="L204" s="595"/>
      <c r="M204" s="595"/>
      <c r="N204" s="595"/>
      <c r="O204" s="595"/>
      <c r="P204" s="595"/>
      <c r="Q204" s="595"/>
      <c r="R204" s="595"/>
      <c r="S204" s="595"/>
      <c r="T204" s="595"/>
    </row>
    <row r="205" spans="1:20">
      <c r="A205" s="595"/>
      <c r="B205" s="595"/>
      <c r="C205" s="595"/>
      <c r="D205" s="595"/>
      <c r="E205" s="595"/>
      <c r="F205" s="595"/>
      <c r="G205" s="595"/>
      <c r="H205" s="595"/>
      <c r="I205" s="595"/>
      <c r="J205" s="595"/>
      <c r="K205" s="595"/>
      <c r="L205" s="595"/>
      <c r="M205" s="595"/>
      <c r="N205" s="595"/>
      <c r="O205" s="595"/>
      <c r="P205" s="595"/>
      <c r="Q205" s="595"/>
      <c r="R205" s="595"/>
      <c r="S205" s="595"/>
      <c r="T205" s="595"/>
    </row>
    <row r="206" spans="1:20">
      <c r="A206" s="595"/>
      <c r="B206" s="595"/>
      <c r="C206" s="595"/>
      <c r="D206" s="595"/>
      <c r="E206" s="595"/>
      <c r="F206" s="595"/>
      <c r="G206" s="595"/>
      <c r="H206" s="595"/>
      <c r="I206" s="595"/>
      <c r="J206" s="595"/>
      <c r="K206" s="595"/>
      <c r="L206" s="595"/>
      <c r="M206" s="595"/>
      <c r="N206" s="595"/>
      <c r="O206" s="595"/>
      <c r="P206" s="595"/>
      <c r="Q206" s="595"/>
      <c r="R206" s="595"/>
      <c r="S206" s="595"/>
      <c r="T206" s="595"/>
    </row>
    <row r="207" spans="1:20">
      <c r="A207" s="595"/>
      <c r="B207" s="595"/>
      <c r="C207" s="595"/>
      <c r="D207" s="595"/>
      <c r="E207" s="595"/>
      <c r="F207" s="595"/>
      <c r="G207" s="595"/>
      <c r="H207" s="595"/>
      <c r="I207" s="595"/>
      <c r="J207" s="595"/>
      <c r="K207" s="595"/>
      <c r="L207" s="595"/>
      <c r="M207" s="595"/>
      <c r="N207" s="595"/>
      <c r="O207" s="595"/>
      <c r="P207" s="595"/>
      <c r="Q207" s="595"/>
      <c r="R207" s="595"/>
      <c r="S207" s="595"/>
      <c r="T207" s="595"/>
    </row>
    <row r="208" spans="1:20">
      <c r="A208" s="595"/>
      <c r="B208" s="595"/>
      <c r="C208" s="595"/>
      <c r="D208" s="595"/>
      <c r="E208" s="595"/>
      <c r="F208" s="595"/>
      <c r="G208" s="595"/>
      <c r="H208" s="595"/>
      <c r="I208" s="595"/>
      <c r="J208" s="595"/>
      <c r="K208" s="595"/>
      <c r="L208" s="595"/>
      <c r="M208" s="595"/>
      <c r="N208" s="595"/>
      <c r="O208" s="595"/>
      <c r="P208" s="595"/>
      <c r="Q208" s="595"/>
      <c r="R208" s="595"/>
      <c r="S208" s="595"/>
      <c r="T208" s="595"/>
    </row>
    <row r="209" spans="1:20">
      <c r="A209" s="595"/>
      <c r="B209" s="595"/>
      <c r="C209" s="595"/>
      <c r="D209" s="595"/>
      <c r="E209" s="595"/>
      <c r="F209" s="595"/>
      <c r="G209" s="595"/>
      <c r="H209" s="595"/>
      <c r="I209" s="595"/>
      <c r="J209" s="595"/>
      <c r="K209" s="595"/>
      <c r="L209" s="595"/>
      <c r="M209" s="595"/>
      <c r="N209" s="595"/>
      <c r="O209" s="595"/>
      <c r="P209" s="595"/>
      <c r="Q209" s="595"/>
      <c r="R209" s="595"/>
      <c r="S209" s="595"/>
      <c r="T209" s="595"/>
    </row>
    <row r="210" spans="1:20">
      <c r="A210" s="595"/>
      <c r="B210" s="595"/>
      <c r="C210" s="595"/>
      <c r="D210" s="595"/>
      <c r="E210" s="595"/>
      <c r="F210" s="595"/>
      <c r="G210" s="595"/>
      <c r="H210" s="595"/>
      <c r="I210" s="595"/>
      <c r="J210" s="595"/>
      <c r="K210" s="595"/>
      <c r="L210" s="595"/>
      <c r="M210" s="595"/>
      <c r="N210" s="595"/>
      <c r="O210" s="595"/>
      <c r="P210" s="595"/>
      <c r="Q210" s="595"/>
      <c r="R210" s="595"/>
      <c r="S210" s="595"/>
      <c r="T210" s="595"/>
    </row>
    <row r="211" spans="1:20">
      <c r="A211" s="595"/>
      <c r="B211" s="595"/>
      <c r="C211" s="595"/>
      <c r="D211" s="595"/>
      <c r="E211" s="595"/>
      <c r="F211" s="595"/>
      <c r="G211" s="595"/>
      <c r="H211" s="595"/>
      <c r="I211" s="595"/>
      <c r="J211" s="595"/>
      <c r="K211" s="595"/>
      <c r="L211" s="595"/>
      <c r="M211" s="595"/>
      <c r="N211" s="595"/>
      <c r="O211" s="595"/>
      <c r="P211" s="595"/>
      <c r="Q211" s="595"/>
      <c r="R211" s="595"/>
      <c r="S211" s="595"/>
      <c r="T211" s="595"/>
    </row>
    <row r="212" spans="1:20">
      <c r="A212" s="595"/>
      <c r="B212" s="595"/>
      <c r="C212" s="595"/>
      <c r="D212" s="595"/>
      <c r="E212" s="595"/>
      <c r="F212" s="595"/>
      <c r="G212" s="595"/>
      <c r="H212" s="595"/>
      <c r="I212" s="595"/>
      <c r="J212" s="595"/>
      <c r="K212" s="595"/>
      <c r="L212" s="595"/>
      <c r="M212" s="595"/>
      <c r="N212" s="595"/>
      <c r="O212" s="595"/>
      <c r="P212" s="595"/>
      <c r="Q212" s="595"/>
      <c r="R212" s="595"/>
      <c r="S212" s="595"/>
      <c r="T212" s="595"/>
    </row>
    <row r="213" spans="1:20">
      <c r="A213" s="595"/>
      <c r="B213" s="595"/>
      <c r="C213" s="595"/>
      <c r="D213" s="595"/>
      <c r="E213" s="595"/>
      <c r="F213" s="595"/>
      <c r="G213" s="595"/>
      <c r="H213" s="595"/>
      <c r="I213" s="595"/>
      <c r="J213" s="595"/>
      <c r="K213" s="595"/>
      <c r="L213" s="595"/>
      <c r="M213" s="595"/>
      <c r="N213" s="595"/>
      <c r="O213" s="595"/>
      <c r="P213" s="595"/>
      <c r="Q213" s="595"/>
      <c r="R213" s="595"/>
      <c r="S213" s="595"/>
      <c r="T213" s="595"/>
    </row>
    <row r="214" spans="1:20">
      <c r="A214" s="595"/>
      <c r="B214" s="595"/>
      <c r="C214" s="595"/>
      <c r="D214" s="595"/>
      <c r="E214" s="595"/>
      <c r="F214" s="595"/>
      <c r="G214" s="595"/>
      <c r="H214" s="595"/>
      <c r="I214" s="595"/>
      <c r="J214" s="595"/>
      <c r="K214" s="595"/>
      <c r="L214" s="595"/>
      <c r="M214" s="595"/>
      <c r="N214" s="595"/>
      <c r="O214" s="595"/>
      <c r="P214" s="595"/>
      <c r="Q214" s="595"/>
      <c r="R214" s="595"/>
      <c r="S214" s="595"/>
      <c r="T214" s="595"/>
    </row>
    <row r="215" spans="1:20">
      <c r="A215" s="595"/>
      <c r="B215" s="595"/>
      <c r="C215" s="595"/>
      <c r="D215" s="595"/>
      <c r="E215" s="595"/>
      <c r="F215" s="595"/>
      <c r="G215" s="595"/>
      <c r="H215" s="595"/>
      <c r="I215" s="595"/>
      <c r="J215" s="595"/>
      <c r="K215" s="595"/>
      <c r="L215" s="595"/>
      <c r="M215" s="595"/>
      <c r="N215" s="595"/>
      <c r="O215" s="595"/>
      <c r="P215" s="595"/>
      <c r="Q215" s="595"/>
      <c r="R215" s="595"/>
      <c r="S215" s="595"/>
      <c r="T215" s="595"/>
    </row>
    <row r="216" spans="1:20">
      <c r="A216" s="595"/>
      <c r="B216" s="595"/>
      <c r="C216" s="595"/>
      <c r="D216" s="595"/>
      <c r="E216" s="595"/>
      <c r="F216" s="595"/>
      <c r="G216" s="595"/>
      <c r="H216" s="595"/>
      <c r="I216" s="595"/>
      <c r="J216" s="595"/>
      <c r="K216" s="595"/>
      <c r="L216" s="595"/>
      <c r="M216" s="595"/>
      <c r="N216" s="595"/>
      <c r="O216" s="595"/>
      <c r="P216" s="595"/>
      <c r="Q216" s="595"/>
      <c r="R216" s="595"/>
      <c r="S216" s="595"/>
      <c r="T216" s="595"/>
    </row>
    <row r="217" spans="1:20">
      <c r="A217" s="595"/>
      <c r="B217" s="595"/>
      <c r="C217" s="595"/>
      <c r="D217" s="595"/>
      <c r="E217" s="595"/>
      <c r="F217" s="595"/>
      <c r="G217" s="595"/>
      <c r="H217" s="595"/>
      <c r="I217" s="595"/>
      <c r="J217" s="595"/>
      <c r="K217" s="595"/>
      <c r="L217" s="595"/>
      <c r="M217" s="595"/>
      <c r="N217" s="595"/>
      <c r="O217" s="595"/>
      <c r="P217" s="595"/>
      <c r="Q217" s="595"/>
      <c r="R217" s="595"/>
      <c r="S217" s="595"/>
      <c r="T217" s="595"/>
    </row>
    <row r="218" spans="1:20">
      <c r="A218" s="595"/>
      <c r="B218" s="595"/>
      <c r="C218" s="595"/>
      <c r="D218" s="595"/>
      <c r="E218" s="595"/>
      <c r="F218" s="595"/>
      <c r="G218" s="595"/>
      <c r="H218" s="595"/>
      <c r="I218" s="595"/>
      <c r="J218" s="595"/>
      <c r="K218" s="595"/>
      <c r="L218" s="595"/>
      <c r="M218" s="595"/>
      <c r="N218" s="595"/>
      <c r="O218" s="595"/>
      <c r="P218" s="595"/>
      <c r="Q218" s="595"/>
      <c r="R218" s="595"/>
      <c r="S218" s="595"/>
      <c r="T218" s="595"/>
    </row>
    <row r="219" spans="1:20">
      <c r="A219" s="595"/>
      <c r="B219" s="595"/>
      <c r="C219" s="595"/>
      <c r="D219" s="595"/>
      <c r="E219" s="595"/>
      <c r="F219" s="595"/>
      <c r="G219" s="595"/>
      <c r="H219" s="595"/>
      <c r="I219" s="595"/>
      <c r="J219" s="595"/>
      <c r="K219" s="595"/>
      <c r="L219" s="595"/>
      <c r="M219" s="595"/>
      <c r="N219" s="595"/>
      <c r="O219" s="595"/>
      <c r="P219" s="595"/>
      <c r="Q219" s="595"/>
      <c r="R219" s="595"/>
      <c r="S219" s="595"/>
      <c r="T219" s="595"/>
    </row>
    <row r="220" spans="1:20">
      <c r="A220" s="595"/>
      <c r="B220" s="595"/>
      <c r="C220" s="595"/>
      <c r="D220" s="595"/>
      <c r="E220" s="595"/>
      <c r="F220" s="595"/>
      <c r="G220" s="595"/>
      <c r="H220" s="595"/>
      <c r="I220" s="595"/>
      <c r="J220" s="595"/>
      <c r="K220" s="595"/>
      <c r="L220" s="595"/>
      <c r="M220" s="595"/>
      <c r="N220" s="595"/>
      <c r="O220" s="595"/>
      <c r="P220" s="595"/>
      <c r="Q220" s="595"/>
      <c r="R220" s="595"/>
      <c r="S220" s="595"/>
      <c r="T220" s="595"/>
    </row>
    <row r="221" spans="1:20">
      <c r="A221" s="595"/>
      <c r="B221" s="595"/>
      <c r="C221" s="595"/>
      <c r="D221" s="595"/>
      <c r="E221" s="595"/>
      <c r="F221" s="595"/>
      <c r="G221" s="595"/>
      <c r="H221" s="595"/>
      <c r="I221" s="595"/>
      <c r="J221" s="595"/>
      <c r="K221" s="595"/>
      <c r="L221" s="595"/>
      <c r="M221" s="595"/>
      <c r="N221" s="595"/>
      <c r="O221" s="595"/>
      <c r="P221" s="595"/>
      <c r="Q221" s="595"/>
      <c r="R221" s="595"/>
      <c r="S221" s="595"/>
      <c r="T221" s="595"/>
    </row>
    <row r="222" spans="1:20">
      <c r="A222" s="595"/>
      <c r="B222" s="595"/>
      <c r="C222" s="595"/>
      <c r="D222" s="595"/>
      <c r="E222" s="595"/>
      <c r="F222" s="595"/>
      <c r="G222" s="595"/>
      <c r="H222" s="595"/>
      <c r="I222" s="595"/>
      <c r="J222" s="595"/>
      <c r="K222" s="595"/>
      <c r="L222" s="595"/>
      <c r="M222" s="595"/>
      <c r="N222" s="595"/>
      <c r="O222" s="595"/>
      <c r="P222" s="595"/>
      <c r="Q222" s="595"/>
      <c r="R222" s="595"/>
      <c r="S222" s="595"/>
      <c r="T222" s="595"/>
    </row>
    <row r="223" spans="1:20">
      <c r="A223" s="595"/>
      <c r="B223" s="595"/>
      <c r="C223" s="595"/>
      <c r="D223" s="595"/>
      <c r="E223" s="595"/>
      <c r="F223" s="595"/>
      <c r="G223" s="595"/>
      <c r="H223" s="595"/>
      <c r="I223" s="595"/>
      <c r="J223" s="595"/>
      <c r="K223" s="595"/>
      <c r="L223" s="595"/>
      <c r="M223" s="595"/>
      <c r="N223" s="595"/>
      <c r="O223" s="595"/>
      <c r="P223" s="595"/>
      <c r="Q223" s="595"/>
      <c r="R223" s="595"/>
      <c r="S223" s="595"/>
      <c r="T223" s="595"/>
    </row>
    <row r="224" spans="1:20">
      <c r="A224" s="595"/>
      <c r="B224" s="595"/>
      <c r="C224" s="595"/>
      <c r="D224" s="595"/>
      <c r="E224" s="595"/>
      <c r="F224" s="595"/>
      <c r="G224" s="595"/>
      <c r="H224" s="595"/>
      <c r="I224" s="595"/>
      <c r="J224" s="595"/>
      <c r="K224" s="595"/>
      <c r="L224" s="595"/>
      <c r="M224" s="595"/>
      <c r="N224" s="595"/>
      <c r="O224" s="595"/>
      <c r="P224" s="595"/>
      <c r="Q224" s="595"/>
      <c r="R224" s="595"/>
      <c r="S224" s="595"/>
      <c r="T224" s="595"/>
    </row>
    <row r="225" spans="1:20">
      <c r="A225" s="595"/>
      <c r="B225" s="595"/>
      <c r="C225" s="595"/>
      <c r="D225" s="595"/>
      <c r="E225" s="595"/>
      <c r="F225" s="595"/>
      <c r="G225" s="595"/>
      <c r="H225" s="595"/>
      <c r="I225" s="595"/>
      <c r="J225" s="595"/>
      <c r="K225" s="595"/>
      <c r="L225" s="595"/>
      <c r="M225" s="595"/>
      <c r="N225" s="595"/>
      <c r="O225" s="595"/>
      <c r="P225" s="595"/>
      <c r="Q225" s="595"/>
      <c r="R225" s="595"/>
      <c r="S225" s="595"/>
      <c r="T225" s="595"/>
    </row>
    <row r="226" spans="1:20">
      <c r="A226" s="595"/>
      <c r="B226" s="595"/>
      <c r="C226" s="595"/>
      <c r="D226" s="595"/>
      <c r="E226" s="595"/>
      <c r="F226" s="595"/>
      <c r="G226" s="595"/>
      <c r="H226" s="595"/>
      <c r="I226" s="595"/>
      <c r="J226" s="595"/>
      <c r="K226" s="595"/>
      <c r="L226" s="595"/>
      <c r="M226" s="595"/>
      <c r="N226" s="595"/>
      <c r="O226" s="595"/>
      <c r="P226" s="595"/>
      <c r="Q226" s="595"/>
      <c r="R226" s="595"/>
      <c r="S226" s="595"/>
      <c r="T226" s="595"/>
    </row>
    <row r="227" spans="1:20">
      <c r="A227" s="595"/>
      <c r="B227" s="595"/>
      <c r="C227" s="595"/>
      <c r="D227" s="595"/>
      <c r="E227" s="595"/>
      <c r="F227" s="595"/>
      <c r="G227" s="595"/>
      <c r="H227" s="595"/>
      <c r="I227" s="595"/>
      <c r="J227" s="595"/>
      <c r="K227" s="595"/>
      <c r="L227" s="595"/>
      <c r="M227" s="595"/>
      <c r="N227" s="595"/>
      <c r="O227" s="595"/>
      <c r="P227" s="595"/>
      <c r="Q227" s="595"/>
      <c r="R227" s="595"/>
      <c r="S227" s="595"/>
      <c r="T227" s="595"/>
    </row>
    <row r="228" spans="1:20">
      <c r="A228" s="595"/>
      <c r="B228" s="595"/>
      <c r="C228" s="595"/>
      <c r="D228" s="595"/>
      <c r="E228" s="595"/>
      <c r="F228" s="595"/>
      <c r="G228" s="595"/>
      <c r="H228" s="595"/>
      <c r="I228" s="595"/>
      <c r="J228" s="595"/>
      <c r="K228" s="595"/>
      <c r="L228" s="595"/>
      <c r="M228" s="595"/>
      <c r="N228" s="595"/>
      <c r="O228" s="595"/>
      <c r="P228" s="595"/>
      <c r="Q228" s="595"/>
      <c r="R228" s="595"/>
      <c r="S228" s="595"/>
      <c r="T228" s="595"/>
    </row>
    <row r="229" spans="1:20">
      <c r="A229" s="595"/>
      <c r="B229" s="595"/>
      <c r="C229" s="595"/>
      <c r="D229" s="595"/>
      <c r="E229" s="595"/>
      <c r="F229" s="595"/>
      <c r="G229" s="595"/>
      <c r="H229" s="595"/>
      <c r="I229" s="595"/>
      <c r="J229" s="595"/>
      <c r="K229" s="595"/>
      <c r="L229" s="595"/>
      <c r="M229" s="595"/>
      <c r="N229" s="595"/>
      <c r="O229" s="595"/>
      <c r="P229" s="595"/>
      <c r="Q229" s="595"/>
      <c r="R229" s="595"/>
      <c r="S229" s="595"/>
      <c r="T229" s="595"/>
    </row>
    <row r="230" spans="1:20">
      <c r="A230" s="595"/>
      <c r="B230" s="595"/>
      <c r="C230" s="595"/>
      <c r="D230" s="595"/>
      <c r="E230" s="595"/>
      <c r="F230" s="595"/>
      <c r="G230" s="595"/>
      <c r="H230" s="595"/>
      <c r="I230" s="595"/>
      <c r="J230" s="595"/>
      <c r="K230" s="595"/>
      <c r="L230" s="595"/>
      <c r="M230" s="595"/>
      <c r="N230" s="595"/>
      <c r="O230" s="595"/>
      <c r="P230" s="595"/>
      <c r="Q230" s="595"/>
      <c r="R230" s="595"/>
      <c r="S230" s="595"/>
      <c r="T230" s="595"/>
    </row>
    <row r="231" spans="1:20">
      <c r="A231" s="595"/>
      <c r="B231" s="595"/>
      <c r="C231" s="595"/>
      <c r="D231" s="595"/>
      <c r="E231" s="595"/>
      <c r="F231" s="595"/>
      <c r="G231" s="595"/>
      <c r="H231" s="595"/>
      <c r="I231" s="595"/>
      <c r="J231" s="595"/>
      <c r="K231" s="595"/>
      <c r="L231" s="595"/>
      <c r="M231" s="595"/>
      <c r="N231" s="595"/>
      <c r="O231" s="595"/>
      <c r="P231" s="595"/>
      <c r="Q231" s="595"/>
      <c r="R231" s="595"/>
      <c r="S231" s="595"/>
      <c r="T231" s="595"/>
    </row>
    <row r="232" spans="1:20">
      <c r="A232" s="595"/>
      <c r="B232" s="595"/>
      <c r="C232" s="595"/>
      <c r="D232" s="595"/>
      <c r="E232" s="595"/>
      <c r="F232" s="595"/>
      <c r="G232" s="595"/>
      <c r="H232" s="595"/>
      <c r="I232" s="595"/>
      <c r="J232" s="595"/>
      <c r="K232" s="595"/>
      <c r="L232" s="595"/>
      <c r="M232" s="595"/>
      <c r="N232" s="595"/>
      <c r="O232" s="595"/>
      <c r="P232" s="595"/>
      <c r="Q232" s="595"/>
      <c r="R232" s="595"/>
      <c r="S232" s="595"/>
      <c r="T232" s="595"/>
    </row>
    <row r="233" spans="1:20">
      <c r="A233" s="595"/>
      <c r="B233" s="595"/>
      <c r="C233" s="595"/>
      <c r="D233" s="595"/>
      <c r="E233" s="595"/>
      <c r="F233" s="595"/>
      <c r="G233" s="595"/>
      <c r="H233" s="595"/>
      <c r="I233" s="595"/>
      <c r="J233" s="595"/>
      <c r="K233" s="595"/>
      <c r="L233" s="595"/>
      <c r="M233" s="595"/>
      <c r="N233" s="595"/>
      <c r="O233" s="595"/>
      <c r="P233" s="595"/>
      <c r="Q233" s="595"/>
      <c r="R233" s="595"/>
      <c r="S233" s="595"/>
      <c r="T233" s="595"/>
    </row>
    <row r="234" spans="1:20">
      <c r="A234" s="595"/>
      <c r="B234" s="595"/>
      <c r="C234" s="595"/>
      <c r="D234" s="595"/>
      <c r="E234" s="595"/>
      <c r="F234" s="595"/>
      <c r="G234" s="595"/>
      <c r="H234" s="595"/>
      <c r="I234" s="595"/>
      <c r="J234" s="595"/>
      <c r="K234" s="595"/>
      <c r="L234" s="595"/>
      <c r="M234" s="595"/>
      <c r="N234" s="595"/>
      <c r="O234" s="595"/>
      <c r="P234" s="595"/>
      <c r="Q234" s="595"/>
      <c r="R234" s="595"/>
      <c r="S234" s="595"/>
      <c r="T234" s="595"/>
    </row>
    <row r="235" spans="1:20">
      <c r="A235" s="595"/>
      <c r="B235" s="595"/>
      <c r="C235" s="595"/>
      <c r="D235" s="595"/>
      <c r="E235" s="595"/>
      <c r="F235" s="595"/>
      <c r="G235" s="595"/>
      <c r="H235" s="595"/>
      <c r="I235" s="595"/>
      <c r="J235" s="595"/>
      <c r="K235" s="595"/>
      <c r="L235" s="595"/>
      <c r="M235" s="595"/>
      <c r="N235" s="595"/>
      <c r="O235" s="595"/>
      <c r="P235" s="595"/>
      <c r="Q235" s="595"/>
      <c r="R235" s="595"/>
      <c r="S235" s="595"/>
      <c r="T235" s="595"/>
    </row>
    <row r="236" spans="1:20">
      <c r="A236" s="595"/>
      <c r="B236" s="595"/>
      <c r="C236" s="595"/>
      <c r="D236" s="595"/>
      <c r="E236" s="595"/>
      <c r="F236" s="595"/>
      <c r="G236" s="595"/>
      <c r="H236" s="595"/>
      <c r="I236" s="595"/>
      <c r="J236" s="595"/>
      <c r="K236" s="595"/>
      <c r="L236" s="595"/>
      <c r="M236" s="595"/>
      <c r="N236" s="595"/>
      <c r="O236" s="595"/>
      <c r="P236" s="595"/>
      <c r="Q236" s="595"/>
      <c r="R236" s="595"/>
      <c r="S236" s="595"/>
      <c r="T236" s="595"/>
    </row>
    <row r="237" spans="1:20">
      <c r="A237" s="595"/>
      <c r="B237" s="595"/>
      <c r="C237" s="595"/>
      <c r="D237" s="595"/>
      <c r="E237" s="595"/>
      <c r="F237" s="595"/>
      <c r="G237" s="595"/>
      <c r="H237" s="595"/>
      <c r="I237" s="595"/>
      <c r="J237" s="595"/>
      <c r="K237" s="595"/>
      <c r="L237" s="595"/>
      <c r="M237" s="595"/>
      <c r="N237" s="595"/>
      <c r="O237" s="595"/>
      <c r="P237" s="595"/>
      <c r="Q237" s="595"/>
      <c r="R237" s="595"/>
      <c r="S237" s="595"/>
      <c r="T237" s="595"/>
    </row>
    <row r="238" spans="1:20">
      <c r="A238" s="595"/>
      <c r="B238" s="595"/>
      <c r="C238" s="595"/>
      <c r="D238" s="595"/>
      <c r="E238" s="595"/>
      <c r="F238" s="595"/>
      <c r="G238" s="595"/>
      <c r="H238" s="595"/>
      <c r="I238" s="595"/>
      <c r="J238" s="595"/>
      <c r="K238" s="595"/>
      <c r="L238" s="595"/>
      <c r="M238" s="595"/>
      <c r="N238" s="595"/>
      <c r="O238" s="595"/>
      <c r="P238" s="595"/>
      <c r="Q238" s="595"/>
      <c r="R238" s="595"/>
      <c r="S238" s="595"/>
      <c r="T238" s="595"/>
    </row>
    <row r="239" spans="1:20">
      <c r="A239" s="595"/>
      <c r="B239" s="595"/>
      <c r="C239" s="595"/>
      <c r="D239" s="595"/>
      <c r="E239" s="595"/>
      <c r="F239" s="595"/>
      <c r="G239" s="595"/>
      <c r="H239" s="595"/>
      <c r="I239" s="595"/>
      <c r="J239" s="595"/>
      <c r="K239" s="595"/>
      <c r="L239" s="595"/>
      <c r="M239" s="595"/>
      <c r="N239" s="595"/>
      <c r="O239" s="595"/>
      <c r="P239" s="595"/>
      <c r="Q239" s="595"/>
      <c r="R239" s="595"/>
      <c r="S239" s="595"/>
      <c r="T239" s="595"/>
    </row>
    <row r="240" spans="1:20">
      <c r="A240" s="595"/>
      <c r="B240" s="595"/>
      <c r="C240" s="595"/>
      <c r="D240" s="595"/>
      <c r="E240" s="595"/>
      <c r="F240" s="595"/>
      <c r="G240" s="595"/>
      <c r="H240" s="595"/>
      <c r="I240" s="595"/>
      <c r="J240" s="595"/>
      <c r="K240" s="595"/>
      <c r="L240" s="595"/>
      <c r="M240" s="595"/>
      <c r="N240" s="595"/>
      <c r="O240" s="595"/>
      <c r="P240" s="595"/>
      <c r="Q240" s="595"/>
      <c r="R240" s="595"/>
      <c r="S240" s="595"/>
      <c r="T240" s="595"/>
    </row>
    <row r="241" spans="1:20">
      <c r="A241" s="595"/>
      <c r="B241" s="595"/>
      <c r="C241" s="595"/>
      <c r="D241" s="595"/>
      <c r="E241" s="595"/>
      <c r="F241" s="595"/>
      <c r="G241" s="595"/>
      <c r="H241" s="595"/>
      <c r="I241" s="595"/>
      <c r="J241" s="595"/>
      <c r="K241" s="595"/>
      <c r="L241" s="595"/>
      <c r="M241" s="595"/>
      <c r="N241" s="595"/>
      <c r="O241" s="595"/>
      <c r="P241" s="595"/>
      <c r="Q241" s="595"/>
      <c r="R241" s="595"/>
      <c r="S241" s="595"/>
      <c r="T241" s="595"/>
    </row>
    <row r="242" spans="1:20">
      <c r="A242" s="595"/>
      <c r="B242" s="595"/>
      <c r="C242" s="595"/>
      <c r="D242" s="595"/>
      <c r="E242" s="595"/>
      <c r="F242" s="595"/>
      <c r="G242" s="595"/>
      <c r="H242" s="595"/>
      <c r="I242" s="595"/>
      <c r="J242" s="595"/>
      <c r="K242" s="595"/>
      <c r="L242" s="595"/>
      <c r="M242" s="595"/>
      <c r="N242" s="595"/>
      <c r="O242" s="595"/>
      <c r="P242" s="595"/>
      <c r="Q242" s="595"/>
      <c r="R242" s="595"/>
      <c r="S242" s="595"/>
      <c r="T242" s="595"/>
    </row>
    <row r="243" spans="1:20">
      <c r="A243" s="595"/>
      <c r="B243" s="595"/>
      <c r="C243" s="595"/>
      <c r="D243" s="595"/>
      <c r="E243" s="595"/>
      <c r="F243" s="595"/>
      <c r="G243" s="595"/>
      <c r="H243" s="595"/>
      <c r="I243" s="595"/>
      <c r="J243" s="595"/>
      <c r="K243" s="595"/>
      <c r="L243" s="595"/>
      <c r="M243" s="595"/>
      <c r="N243" s="595"/>
      <c r="O243" s="595"/>
      <c r="P243" s="595"/>
      <c r="Q243" s="595"/>
      <c r="R243" s="595"/>
      <c r="S243" s="595"/>
      <c r="T243" s="595"/>
    </row>
    <row r="244" spans="1:20">
      <c r="A244" s="595"/>
      <c r="B244" s="595"/>
      <c r="C244" s="595"/>
      <c r="D244" s="595"/>
      <c r="E244" s="595"/>
      <c r="F244" s="595"/>
      <c r="G244" s="595"/>
      <c r="H244" s="595"/>
      <c r="I244" s="595"/>
      <c r="J244" s="595"/>
      <c r="K244" s="595"/>
      <c r="L244" s="595"/>
      <c r="M244" s="595"/>
      <c r="N244" s="595"/>
      <c r="O244" s="595"/>
      <c r="P244" s="595"/>
      <c r="Q244" s="595"/>
      <c r="R244" s="595"/>
      <c r="S244" s="595"/>
      <c r="T244" s="595"/>
    </row>
    <row r="245" spans="1:20">
      <c r="A245" s="595"/>
      <c r="B245" s="595"/>
      <c r="C245" s="595"/>
      <c r="D245" s="595"/>
      <c r="E245" s="595"/>
      <c r="F245" s="595"/>
      <c r="G245" s="595"/>
      <c r="H245" s="595"/>
      <c r="I245" s="595"/>
      <c r="J245" s="595"/>
      <c r="K245" s="595"/>
      <c r="L245" s="595"/>
      <c r="M245" s="595"/>
      <c r="N245" s="595"/>
      <c r="O245" s="595"/>
      <c r="P245" s="595"/>
      <c r="Q245" s="595"/>
      <c r="R245" s="595"/>
      <c r="S245" s="595"/>
      <c r="T245" s="595"/>
    </row>
    <row r="246" spans="1:20">
      <c r="A246" s="595"/>
      <c r="B246" s="595"/>
      <c r="C246" s="595"/>
      <c r="D246" s="595"/>
      <c r="E246" s="595"/>
      <c r="F246" s="595"/>
      <c r="G246" s="595"/>
      <c r="H246" s="595"/>
      <c r="I246" s="595"/>
      <c r="J246" s="595"/>
      <c r="K246" s="595"/>
      <c r="L246" s="595"/>
      <c r="M246" s="595"/>
      <c r="N246" s="595"/>
      <c r="O246" s="595"/>
      <c r="P246" s="595"/>
      <c r="Q246" s="595"/>
      <c r="R246" s="595"/>
      <c r="S246" s="595"/>
      <c r="T246" s="595"/>
    </row>
    <row r="247" spans="1:20">
      <c r="A247" s="595"/>
      <c r="B247" s="595"/>
      <c r="C247" s="595"/>
      <c r="D247" s="595"/>
      <c r="E247" s="595"/>
      <c r="F247" s="595"/>
      <c r="G247" s="595"/>
      <c r="H247" s="595"/>
      <c r="I247" s="595"/>
      <c r="J247" s="595"/>
      <c r="K247" s="595"/>
      <c r="L247" s="595"/>
      <c r="M247" s="595"/>
      <c r="N247" s="595"/>
      <c r="O247" s="595"/>
      <c r="P247" s="595"/>
      <c r="Q247" s="595"/>
      <c r="R247" s="595"/>
      <c r="S247" s="595"/>
      <c r="T247" s="595"/>
    </row>
    <row r="248" spans="1:20">
      <c r="A248" s="595"/>
      <c r="B248" s="595"/>
      <c r="C248" s="595"/>
      <c r="D248" s="595"/>
      <c r="E248" s="595"/>
      <c r="F248" s="595"/>
      <c r="G248" s="595"/>
      <c r="H248" s="595"/>
      <c r="I248" s="595"/>
      <c r="J248" s="595"/>
      <c r="K248" s="595"/>
      <c r="L248" s="595"/>
      <c r="M248" s="595"/>
      <c r="N248" s="595"/>
      <c r="O248" s="595"/>
      <c r="P248" s="595"/>
      <c r="Q248" s="595"/>
      <c r="R248" s="595"/>
      <c r="S248" s="595"/>
      <c r="T248" s="595"/>
    </row>
    <row r="249" spans="1:20">
      <c r="A249" s="595"/>
      <c r="B249" s="595"/>
      <c r="C249" s="595"/>
      <c r="D249" s="595"/>
      <c r="E249" s="595"/>
      <c r="F249" s="595"/>
      <c r="G249" s="595"/>
      <c r="H249" s="595"/>
      <c r="I249" s="595"/>
      <c r="J249" s="595"/>
      <c r="K249" s="595"/>
      <c r="L249" s="595"/>
      <c r="M249" s="595"/>
      <c r="N249" s="595"/>
      <c r="O249" s="595"/>
      <c r="P249" s="595"/>
      <c r="Q249" s="595"/>
      <c r="R249" s="595"/>
      <c r="S249" s="595"/>
      <c r="T249" s="595"/>
    </row>
    <row r="250" spans="1:20">
      <c r="A250" s="595"/>
      <c r="B250" s="595"/>
      <c r="C250" s="595"/>
      <c r="D250" s="595"/>
      <c r="E250" s="595"/>
      <c r="F250" s="595"/>
      <c r="G250" s="595"/>
      <c r="H250" s="595"/>
      <c r="I250" s="595"/>
      <c r="J250" s="595"/>
      <c r="K250" s="595"/>
      <c r="L250" s="595"/>
      <c r="M250" s="595"/>
      <c r="N250" s="595"/>
      <c r="O250" s="595"/>
      <c r="P250" s="595"/>
      <c r="Q250" s="595"/>
      <c r="R250" s="595"/>
      <c r="S250" s="595"/>
      <c r="T250" s="595"/>
    </row>
    <row r="251" spans="1:20">
      <c r="A251" s="595"/>
      <c r="B251" s="595"/>
      <c r="C251" s="595"/>
      <c r="D251" s="595"/>
      <c r="E251" s="595"/>
      <c r="F251" s="595"/>
      <c r="G251" s="595"/>
      <c r="H251" s="595"/>
      <c r="I251" s="595"/>
      <c r="J251" s="595"/>
      <c r="K251" s="595"/>
      <c r="L251" s="595"/>
      <c r="M251" s="595"/>
      <c r="N251" s="595"/>
      <c r="O251" s="595"/>
      <c r="P251" s="595"/>
      <c r="Q251" s="595"/>
      <c r="R251" s="595"/>
      <c r="S251" s="595"/>
      <c r="T251" s="595"/>
    </row>
    <row r="252" spans="1:20">
      <c r="A252" s="595"/>
      <c r="B252" s="595"/>
      <c r="C252" s="595"/>
      <c r="D252" s="595"/>
      <c r="E252" s="595"/>
      <c r="F252" s="595"/>
      <c r="G252" s="595"/>
      <c r="H252" s="595"/>
      <c r="I252" s="595"/>
      <c r="J252" s="595"/>
      <c r="K252" s="595"/>
      <c r="L252" s="595"/>
      <c r="M252" s="595"/>
      <c r="N252" s="595"/>
      <c r="O252" s="595"/>
      <c r="P252" s="595"/>
      <c r="Q252" s="595"/>
      <c r="R252" s="595"/>
      <c r="S252" s="595"/>
      <c r="T252" s="595"/>
    </row>
    <row r="253" spans="1:20">
      <c r="A253" s="595"/>
      <c r="B253" s="595"/>
      <c r="C253" s="595"/>
      <c r="D253" s="595"/>
      <c r="E253" s="595"/>
      <c r="F253" s="595"/>
      <c r="G253" s="595"/>
      <c r="H253" s="595"/>
      <c r="I253" s="595"/>
      <c r="J253" s="595"/>
      <c r="K253" s="595"/>
      <c r="L253" s="595"/>
      <c r="M253" s="595"/>
      <c r="N253" s="595"/>
      <c r="O253" s="595"/>
      <c r="P253" s="595"/>
      <c r="Q253" s="595"/>
      <c r="R253" s="595"/>
      <c r="S253" s="595"/>
      <c r="T253" s="595"/>
    </row>
    <row r="254" spans="1:20">
      <c r="A254" s="595"/>
      <c r="B254" s="595"/>
      <c r="C254" s="595"/>
      <c r="D254" s="595"/>
      <c r="E254" s="595"/>
      <c r="F254" s="595"/>
      <c r="G254" s="595"/>
      <c r="H254" s="595"/>
      <c r="I254" s="595"/>
      <c r="J254" s="595"/>
      <c r="K254" s="595"/>
      <c r="L254" s="595"/>
      <c r="M254" s="595"/>
      <c r="N254" s="595"/>
      <c r="O254" s="595"/>
      <c r="P254" s="595"/>
      <c r="Q254" s="595"/>
      <c r="R254" s="595"/>
      <c r="S254" s="595"/>
      <c r="T254" s="595"/>
    </row>
    <row r="255" spans="1:20">
      <c r="A255" s="595"/>
      <c r="B255" s="595"/>
      <c r="C255" s="595"/>
      <c r="D255" s="595"/>
      <c r="E255" s="595"/>
      <c r="F255" s="595"/>
      <c r="G255" s="595"/>
      <c r="H255" s="595"/>
      <c r="I255" s="595"/>
      <c r="J255" s="595"/>
      <c r="K255" s="595"/>
      <c r="L255" s="595"/>
      <c r="M255" s="595"/>
      <c r="N255" s="595"/>
      <c r="O255" s="595"/>
      <c r="P255" s="595"/>
      <c r="Q255" s="595"/>
      <c r="R255" s="595"/>
      <c r="S255" s="595"/>
      <c r="T255" s="595"/>
    </row>
    <row r="256" spans="1:20">
      <c r="A256" s="595"/>
      <c r="B256" s="595"/>
      <c r="C256" s="595"/>
      <c r="D256" s="595"/>
      <c r="E256" s="595"/>
      <c r="F256" s="595"/>
      <c r="G256" s="595"/>
      <c r="H256" s="595"/>
      <c r="I256" s="595"/>
      <c r="J256" s="595"/>
      <c r="K256" s="595"/>
      <c r="L256" s="595"/>
      <c r="M256" s="595"/>
      <c r="N256" s="595"/>
      <c r="O256" s="595"/>
      <c r="P256" s="595"/>
      <c r="Q256" s="595"/>
      <c r="R256" s="595"/>
      <c r="S256" s="595"/>
      <c r="T256" s="595"/>
    </row>
    <row r="257" spans="1:20">
      <c r="A257" s="595"/>
      <c r="B257" s="595"/>
      <c r="C257" s="595"/>
      <c r="D257" s="595"/>
      <c r="E257" s="595"/>
      <c r="F257" s="595"/>
      <c r="G257" s="595"/>
      <c r="H257" s="595"/>
      <c r="I257" s="595"/>
      <c r="J257" s="595"/>
      <c r="K257" s="595"/>
      <c r="L257" s="595"/>
      <c r="M257" s="595"/>
      <c r="N257" s="595"/>
      <c r="O257" s="595"/>
      <c r="P257" s="595"/>
      <c r="Q257" s="595"/>
      <c r="R257" s="595"/>
      <c r="S257" s="595"/>
      <c r="T257" s="595"/>
    </row>
    <row r="258" spans="1:20">
      <c r="A258" s="595"/>
      <c r="B258" s="595"/>
      <c r="C258" s="595"/>
      <c r="D258" s="595"/>
      <c r="E258" s="595"/>
      <c r="F258" s="595"/>
      <c r="G258" s="595"/>
      <c r="H258" s="595"/>
      <c r="I258" s="595"/>
      <c r="J258" s="595"/>
      <c r="K258" s="595"/>
      <c r="L258" s="595"/>
      <c r="M258" s="595"/>
      <c r="N258" s="595"/>
      <c r="O258" s="595"/>
      <c r="P258" s="595"/>
      <c r="Q258" s="595"/>
      <c r="R258" s="595"/>
      <c r="S258" s="595"/>
      <c r="T258" s="595"/>
    </row>
    <row r="259" spans="1:20">
      <c r="A259" s="595"/>
      <c r="B259" s="595"/>
      <c r="C259" s="595"/>
      <c r="D259" s="595"/>
      <c r="E259" s="595"/>
      <c r="F259" s="595"/>
      <c r="G259" s="595"/>
      <c r="H259" s="595"/>
      <c r="I259" s="595"/>
      <c r="J259" s="595"/>
      <c r="K259" s="595"/>
      <c r="L259" s="595"/>
      <c r="M259" s="595"/>
      <c r="N259" s="595"/>
      <c r="O259" s="595"/>
      <c r="P259" s="595"/>
      <c r="Q259" s="595"/>
      <c r="R259" s="595"/>
      <c r="S259" s="595"/>
      <c r="T259" s="595"/>
    </row>
    <row r="260" spans="1:20">
      <c r="A260" s="595"/>
      <c r="B260" s="595"/>
      <c r="C260" s="595"/>
      <c r="D260" s="595"/>
      <c r="E260" s="595"/>
      <c r="F260" s="595"/>
      <c r="G260" s="595"/>
      <c r="H260" s="595"/>
      <c r="I260" s="595"/>
      <c r="J260" s="595"/>
      <c r="K260" s="595"/>
      <c r="L260" s="595"/>
      <c r="M260" s="595"/>
      <c r="N260" s="595"/>
      <c r="O260" s="595"/>
      <c r="P260" s="595"/>
      <c r="Q260" s="595"/>
      <c r="R260" s="595"/>
      <c r="S260" s="595"/>
      <c r="T260" s="595"/>
    </row>
    <row r="261" spans="1:20">
      <c r="A261" s="595"/>
      <c r="B261" s="595"/>
      <c r="C261" s="595"/>
      <c r="D261" s="595"/>
      <c r="E261" s="595"/>
      <c r="F261" s="595"/>
      <c r="G261" s="595"/>
      <c r="H261" s="595"/>
      <c r="I261" s="595"/>
      <c r="J261" s="595"/>
      <c r="K261" s="595"/>
      <c r="L261" s="595"/>
      <c r="M261" s="595"/>
      <c r="N261" s="595"/>
      <c r="O261" s="595"/>
      <c r="P261" s="595"/>
      <c r="Q261" s="595"/>
      <c r="R261" s="595"/>
      <c r="S261" s="595"/>
      <c r="T261" s="595"/>
    </row>
    <row r="262" spans="1:20">
      <c r="A262" s="595"/>
      <c r="B262" s="595"/>
      <c r="C262" s="595"/>
      <c r="D262" s="595"/>
      <c r="E262" s="595"/>
      <c r="F262" s="595"/>
      <c r="G262" s="595"/>
      <c r="H262" s="595"/>
      <c r="I262" s="595"/>
      <c r="J262" s="595"/>
      <c r="K262" s="595"/>
      <c r="L262" s="595"/>
      <c r="M262" s="595"/>
      <c r="N262" s="595"/>
      <c r="O262" s="595"/>
      <c r="P262" s="595"/>
      <c r="Q262" s="595"/>
      <c r="R262" s="595"/>
      <c r="S262" s="595"/>
      <c r="T262" s="595"/>
    </row>
    <row r="263" spans="1:20">
      <c r="A263" s="595"/>
      <c r="B263" s="595"/>
      <c r="C263" s="595"/>
      <c r="D263" s="595"/>
      <c r="E263" s="595"/>
      <c r="F263" s="595"/>
      <c r="G263" s="595"/>
      <c r="H263" s="595"/>
      <c r="I263" s="595"/>
      <c r="J263" s="595"/>
      <c r="K263" s="595"/>
      <c r="L263" s="595"/>
      <c r="M263" s="595"/>
      <c r="N263" s="595"/>
      <c r="O263" s="595"/>
      <c r="P263" s="595"/>
      <c r="Q263" s="595"/>
      <c r="R263" s="595"/>
      <c r="S263" s="595"/>
      <c r="T263" s="595"/>
    </row>
    <row r="264" spans="1:20">
      <c r="A264" s="595"/>
      <c r="B264" s="595"/>
      <c r="C264" s="595"/>
      <c r="D264" s="595"/>
      <c r="E264" s="595"/>
      <c r="F264" s="595"/>
      <c r="G264" s="595"/>
      <c r="H264" s="595"/>
      <c r="I264" s="595"/>
      <c r="J264" s="595"/>
      <c r="K264" s="595"/>
      <c r="L264" s="595"/>
      <c r="M264" s="595"/>
      <c r="N264" s="595"/>
      <c r="O264" s="595"/>
      <c r="P264" s="595"/>
      <c r="Q264" s="595"/>
      <c r="R264" s="595"/>
      <c r="S264" s="595"/>
      <c r="T264" s="595"/>
    </row>
    <row r="265" spans="1:20">
      <c r="A265" s="595"/>
      <c r="B265" s="595"/>
      <c r="C265" s="595"/>
      <c r="D265" s="595"/>
      <c r="E265" s="595"/>
      <c r="F265" s="595"/>
      <c r="G265" s="595"/>
      <c r="H265" s="595"/>
      <c r="I265" s="595"/>
      <c r="J265" s="595"/>
      <c r="K265" s="595"/>
      <c r="L265" s="595"/>
      <c r="M265" s="595"/>
      <c r="N265" s="595"/>
      <c r="O265" s="595"/>
      <c r="P265" s="595"/>
      <c r="Q265" s="595"/>
      <c r="R265" s="595"/>
      <c r="S265" s="595"/>
      <c r="T265" s="595"/>
    </row>
    <row r="266" spans="1:20">
      <c r="A266" s="595"/>
      <c r="B266" s="595"/>
      <c r="C266" s="595"/>
      <c r="D266" s="595"/>
      <c r="E266" s="595"/>
      <c r="F266" s="595"/>
      <c r="G266" s="595"/>
      <c r="H266" s="595"/>
      <c r="I266" s="595"/>
      <c r="J266" s="595"/>
      <c r="K266" s="595"/>
      <c r="L266" s="595"/>
      <c r="M266" s="595"/>
      <c r="N266" s="595"/>
      <c r="O266" s="595"/>
      <c r="P266" s="595"/>
      <c r="Q266" s="595"/>
      <c r="R266" s="595"/>
      <c r="S266" s="595"/>
      <c r="T266" s="595"/>
    </row>
    <row r="267" spans="1:20">
      <c r="A267" s="595"/>
      <c r="B267" s="595"/>
      <c r="C267" s="595"/>
      <c r="D267" s="595"/>
      <c r="E267" s="595"/>
      <c r="F267" s="595"/>
      <c r="G267" s="595"/>
      <c r="H267" s="595"/>
      <c r="I267" s="595"/>
      <c r="J267" s="595"/>
      <c r="K267" s="595"/>
      <c r="L267" s="595"/>
      <c r="M267" s="595"/>
      <c r="N267" s="595"/>
      <c r="O267" s="595"/>
      <c r="P267" s="595"/>
      <c r="Q267" s="595"/>
      <c r="R267" s="595"/>
      <c r="S267" s="595"/>
      <c r="T267" s="595"/>
    </row>
    <row r="268" spans="1:20">
      <c r="A268" s="595"/>
      <c r="B268" s="595"/>
      <c r="C268" s="595"/>
      <c r="D268" s="595"/>
      <c r="E268" s="595"/>
      <c r="F268" s="595"/>
      <c r="G268" s="595"/>
      <c r="H268" s="595"/>
      <c r="I268" s="595"/>
      <c r="J268" s="595"/>
      <c r="K268" s="595"/>
      <c r="L268" s="595"/>
      <c r="M268" s="595"/>
      <c r="N268" s="595"/>
      <c r="O268" s="595"/>
      <c r="P268" s="595"/>
      <c r="Q268" s="595"/>
      <c r="R268" s="595"/>
      <c r="S268" s="595"/>
      <c r="T268" s="595"/>
    </row>
    <row r="269" spans="1:20">
      <c r="A269" s="595"/>
      <c r="B269" s="595"/>
      <c r="C269" s="595"/>
      <c r="D269" s="595"/>
      <c r="E269" s="595"/>
      <c r="F269" s="595"/>
      <c r="G269" s="595"/>
      <c r="H269" s="595"/>
      <c r="I269" s="595"/>
      <c r="J269" s="595"/>
      <c r="K269" s="595"/>
      <c r="L269" s="595"/>
      <c r="M269" s="595"/>
      <c r="N269" s="595"/>
      <c r="O269" s="595"/>
      <c r="P269" s="595"/>
      <c r="Q269" s="595"/>
      <c r="R269" s="595"/>
      <c r="S269" s="595"/>
      <c r="T269" s="595"/>
    </row>
    <row r="270" spans="1:20">
      <c r="A270" s="595"/>
      <c r="B270" s="595"/>
      <c r="C270" s="595"/>
      <c r="D270" s="595"/>
      <c r="E270" s="595"/>
      <c r="F270" s="595"/>
      <c r="G270" s="595"/>
      <c r="H270" s="595"/>
      <c r="I270" s="595"/>
      <c r="J270" s="595"/>
      <c r="K270" s="595"/>
      <c r="L270" s="595"/>
      <c r="M270" s="595"/>
      <c r="N270" s="595"/>
      <c r="O270" s="595"/>
      <c r="P270" s="595"/>
      <c r="Q270" s="595"/>
      <c r="R270" s="595"/>
      <c r="S270" s="595"/>
      <c r="T270" s="595"/>
    </row>
    <row r="271" spans="1:20">
      <c r="A271" s="595"/>
      <c r="B271" s="595"/>
      <c r="C271" s="595"/>
      <c r="D271" s="595"/>
      <c r="E271" s="595"/>
      <c r="F271" s="595"/>
      <c r="G271" s="595"/>
      <c r="H271" s="595"/>
      <c r="I271" s="595"/>
      <c r="J271" s="595"/>
      <c r="K271" s="595"/>
      <c r="L271" s="595"/>
      <c r="M271" s="595"/>
      <c r="N271" s="595"/>
      <c r="O271" s="595"/>
      <c r="P271" s="595"/>
      <c r="Q271" s="595"/>
      <c r="R271" s="595"/>
      <c r="S271" s="595"/>
      <c r="T271" s="595"/>
    </row>
    <row r="272" spans="1:20">
      <c r="A272" s="595"/>
      <c r="B272" s="595"/>
      <c r="C272" s="595"/>
      <c r="D272" s="595"/>
      <c r="E272" s="595"/>
      <c r="F272" s="595"/>
      <c r="G272" s="595"/>
      <c r="H272" s="595"/>
      <c r="I272" s="595"/>
      <c r="J272" s="595"/>
      <c r="K272" s="595"/>
      <c r="L272" s="595"/>
      <c r="M272" s="595"/>
      <c r="N272" s="595"/>
      <c r="O272" s="595"/>
      <c r="P272" s="595"/>
      <c r="Q272" s="595"/>
      <c r="R272" s="595"/>
      <c r="S272" s="595"/>
      <c r="T272" s="595"/>
    </row>
    <row r="273" spans="1:20">
      <c r="A273" s="595"/>
      <c r="B273" s="595"/>
      <c r="C273" s="595"/>
      <c r="D273" s="595"/>
      <c r="E273" s="595"/>
      <c r="F273" s="595"/>
      <c r="G273" s="595"/>
      <c r="H273" s="595"/>
      <c r="I273" s="595"/>
      <c r="J273" s="595"/>
      <c r="K273" s="595"/>
      <c r="L273" s="595"/>
      <c r="M273" s="595"/>
      <c r="N273" s="595"/>
      <c r="O273" s="595"/>
      <c r="P273" s="595"/>
      <c r="Q273" s="595"/>
      <c r="R273" s="595"/>
      <c r="S273" s="595"/>
      <c r="T273" s="595"/>
    </row>
    <row r="274" spans="1:20">
      <c r="A274" s="595"/>
      <c r="B274" s="595"/>
      <c r="C274" s="595"/>
      <c r="D274" s="595"/>
      <c r="E274" s="595"/>
      <c r="F274" s="595"/>
      <c r="G274" s="595"/>
      <c r="H274" s="595"/>
      <c r="I274" s="595"/>
      <c r="J274" s="595"/>
      <c r="K274" s="595"/>
      <c r="L274" s="595"/>
      <c r="M274" s="595"/>
      <c r="N274" s="595"/>
      <c r="O274" s="595"/>
      <c r="P274" s="595"/>
      <c r="Q274" s="595"/>
      <c r="R274" s="595"/>
      <c r="S274" s="595"/>
      <c r="T274" s="595"/>
    </row>
    <row r="275" spans="1:20">
      <c r="A275" s="595"/>
      <c r="B275" s="595"/>
      <c r="C275" s="595"/>
      <c r="D275" s="595"/>
      <c r="E275" s="595"/>
      <c r="F275" s="595"/>
      <c r="G275" s="595"/>
      <c r="H275" s="595"/>
      <c r="I275" s="595"/>
      <c r="J275" s="595"/>
      <c r="K275" s="595"/>
      <c r="L275" s="595"/>
      <c r="M275" s="595"/>
      <c r="N275" s="595"/>
      <c r="O275" s="595"/>
      <c r="P275" s="595"/>
      <c r="Q275" s="595"/>
      <c r="R275" s="595"/>
      <c r="S275" s="595"/>
      <c r="T275" s="595"/>
    </row>
    <row r="276" spans="1:20">
      <c r="A276" s="595"/>
      <c r="B276" s="595"/>
      <c r="C276" s="595"/>
      <c r="D276" s="595"/>
      <c r="E276" s="595"/>
      <c r="F276" s="595"/>
      <c r="G276" s="595"/>
      <c r="H276" s="595"/>
      <c r="I276" s="595"/>
      <c r="J276" s="595"/>
      <c r="K276" s="595"/>
      <c r="L276" s="595"/>
      <c r="M276" s="595"/>
      <c r="N276" s="595"/>
      <c r="O276" s="595"/>
      <c r="P276" s="595"/>
      <c r="Q276" s="595"/>
      <c r="R276" s="595"/>
      <c r="S276" s="595"/>
      <c r="T276" s="595"/>
    </row>
    <row r="277" spans="1:20">
      <c r="A277" s="595"/>
      <c r="B277" s="595"/>
      <c r="C277" s="595"/>
      <c r="D277" s="595"/>
      <c r="E277" s="595"/>
      <c r="F277" s="595"/>
      <c r="G277" s="595"/>
      <c r="H277" s="595"/>
      <c r="I277" s="595"/>
      <c r="J277" s="595"/>
      <c r="K277" s="595"/>
      <c r="L277" s="595"/>
      <c r="M277" s="595"/>
      <c r="N277" s="595"/>
      <c r="O277" s="595"/>
      <c r="P277" s="595"/>
      <c r="Q277" s="595"/>
      <c r="R277" s="595"/>
      <c r="S277" s="595"/>
      <c r="T277" s="595"/>
    </row>
    <row r="278" spans="1:20">
      <c r="A278" s="595"/>
      <c r="B278" s="595"/>
      <c r="C278" s="595"/>
      <c r="D278" s="595"/>
      <c r="E278" s="595"/>
      <c r="F278" s="595"/>
      <c r="G278" s="595"/>
      <c r="H278" s="595"/>
      <c r="I278" s="595"/>
      <c r="J278" s="595"/>
      <c r="K278" s="595"/>
      <c r="L278" s="595"/>
      <c r="M278" s="595"/>
      <c r="N278" s="595"/>
      <c r="O278" s="595"/>
      <c r="P278" s="595"/>
      <c r="Q278" s="595"/>
      <c r="R278" s="595"/>
      <c r="S278" s="595"/>
      <c r="T278" s="595"/>
    </row>
  </sheetData>
  <sheetProtection algorithmName="SHA-512" hashValue="Po1lOtqtqxg3M1rqFBNBBbI/4hSw4wLhQJPAFZmYPRiGijsDMcbsyaokgGViWkP6REzQoAbL/7r1WBWjHDF5FQ==" saltValue="AgSeJLKPCbAdcK4sPB9cjw==" spinCount="100000" sheet="1" objects="1" scenarios="1" selectLockedCells="1"/>
  <mergeCells count="11">
    <mergeCell ref="A2:K2"/>
    <mergeCell ref="A1:K1"/>
    <mergeCell ref="A3:K3"/>
    <mergeCell ref="B66:D66"/>
    <mergeCell ref="B68:N68"/>
    <mergeCell ref="B33:N33"/>
    <mergeCell ref="B35:N35"/>
    <mergeCell ref="B36:N36"/>
    <mergeCell ref="B28:H28"/>
    <mergeCell ref="B29:H29"/>
    <mergeCell ref="B32:N32"/>
  </mergeCells>
  <pageMargins left="0.7" right="0.7" top="0.75" bottom="0.75" header="0.3" footer="0.3"/>
  <pageSetup orientation="portrait" r:id="rId1"/>
  <drawing r:id="rId2"/>
  <legacy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7">
    <tabColor rgb="FF9AD35B"/>
    <pageSetUpPr fitToPage="1"/>
  </sheetPr>
  <dimension ref="A1:FD221"/>
  <sheetViews>
    <sheetView topLeftCell="A28" zoomScale="70" zoomScaleNormal="70" workbookViewId="0">
      <selection activeCell="BO106" sqref="BO106:BS108"/>
    </sheetView>
  </sheetViews>
  <sheetFormatPr defaultColWidth="9.109375" defaultRowHeight="14.4"/>
  <cols>
    <col min="1" max="1" width="3.33203125" customWidth="1"/>
    <col min="2" max="86" width="2.5546875" customWidth="1"/>
    <col min="87" max="136" width="2.6640625" customWidth="1"/>
    <col min="140" max="140" width="9.33203125" bestFit="1" customWidth="1"/>
    <col min="145" max="145" width="8.6640625" customWidth="1"/>
    <col min="147" max="150" width="10.6640625" customWidth="1"/>
    <col min="151" max="151" width="8.6640625" customWidth="1"/>
    <col min="154" max="154" width="10.6640625" customWidth="1"/>
  </cols>
  <sheetData>
    <row r="1" spans="1:117" ht="9" customHeight="1">
      <c r="A1" s="1"/>
      <c r="B1" s="2242"/>
      <c r="C1" s="2242"/>
      <c r="D1" s="2242"/>
      <c r="E1" s="2242"/>
      <c r="F1" s="2242"/>
      <c r="G1" s="2242"/>
      <c r="H1" s="2242"/>
      <c r="I1" s="2242" t="s">
        <v>21</v>
      </c>
      <c r="J1" s="2242"/>
      <c r="K1" s="2242"/>
      <c r="L1" s="2242"/>
      <c r="M1" s="2242"/>
      <c r="N1" s="2242"/>
      <c r="O1" s="2242"/>
      <c r="P1" s="2242"/>
      <c r="Q1" s="2242"/>
      <c r="R1" s="2242"/>
      <c r="S1" s="2242"/>
      <c r="T1" s="2242"/>
      <c r="U1" s="2242"/>
      <c r="V1" s="2242"/>
      <c r="W1" s="2242"/>
      <c r="X1" s="2242"/>
      <c r="Y1" s="2242"/>
      <c r="Z1" s="2242"/>
      <c r="AA1" s="2242"/>
      <c r="AB1" s="2242"/>
      <c r="AC1" s="2242"/>
      <c r="AD1" s="2242"/>
      <c r="AE1" s="2242"/>
      <c r="AF1" s="2242"/>
      <c r="AG1" s="2242"/>
      <c r="AH1" s="2242"/>
      <c r="AI1" s="2242"/>
      <c r="AJ1" s="2242"/>
      <c r="AK1" s="2242"/>
      <c r="AL1" s="2242"/>
      <c r="AM1" s="2242"/>
      <c r="AN1" s="2242"/>
      <c r="AO1" s="2242"/>
      <c r="AP1" s="2242"/>
      <c r="AQ1" s="2242"/>
      <c r="AR1" s="2242"/>
      <c r="AS1" s="2242"/>
      <c r="AT1" s="2242"/>
      <c r="AU1" s="2242"/>
      <c r="AV1" s="2242"/>
      <c r="AW1" s="2242"/>
      <c r="AX1" s="2242"/>
      <c r="AY1" s="2242"/>
      <c r="AZ1" s="2242"/>
      <c r="BA1" s="2242"/>
      <c r="BB1" s="2242"/>
      <c r="BC1" s="2242"/>
      <c r="BD1" s="2242"/>
      <c r="BE1" s="2242"/>
      <c r="BF1" s="2242"/>
      <c r="BG1" s="2242"/>
      <c r="BH1" s="2242"/>
      <c r="BI1" s="2242"/>
      <c r="BJ1" s="2242"/>
      <c r="BK1" s="2242"/>
      <c r="BL1" s="2242"/>
      <c r="BM1" s="2242"/>
      <c r="BN1" s="2242"/>
      <c r="BO1" s="2242"/>
      <c r="BP1" s="2242"/>
      <c r="BQ1" s="2242"/>
      <c r="BR1" s="2242"/>
      <c r="BS1" s="2242"/>
      <c r="BT1" s="2242"/>
      <c r="BU1" s="2242"/>
      <c r="BV1" s="2242"/>
      <c r="BW1" s="2242"/>
      <c r="BX1" s="2242"/>
      <c r="BY1" s="2242"/>
      <c r="BZ1" s="2242"/>
      <c r="CA1" s="2242"/>
      <c r="CB1" s="2663" t="str">
        <f>'DS Log Pg 1'!U1</f>
        <v>700-010-84</v>
      </c>
      <c r="CC1" s="2663"/>
      <c r="CD1" s="2663"/>
      <c r="CE1" s="2663"/>
      <c r="CF1" s="2663"/>
      <c r="CG1" s="2663"/>
      <c r="CH1" s="2663"/>
    </row>
    <row r="2" spans="1:117" ht="9" customHeight="1">
      <c r="A2" s="1"/>
      <c r="B2" s="2242"/>
      <c r="C2" s="2242"/>
      <c r="D2" s="2242"/>
      <c r="E2" s="2242"/>
      <c r="F2" s="2242"/>
      <c r="G2" s="2242"/>
      <c r="H2" s="2242"/>
      <c r="I2" s="2242"/>
      <c r="J2" s="2242"/>
      <c r="K2" s="2242"/>
      <c r="L2" s="2242"/>
      <c r="M2" s="2242"/>
      <c r="N2" s="2242"/>
      <c r="O2" s="2242"/>
      <c r="P2" s="2242"/>
      <c r="Q2" s="2242"/>
      <c r="R2" s="2242"/>
      <c r="S2" s="2242"/>
      <c r="T2" s="2242"/>
      <c r="U2" s="2242"/>
      <c r="V2" s="2242"/>
      <c r="W2" s="2242"/>
      <c r="X2" s="2242"/>
      <c r="Y2" s="2242"/>
      <c r="Z2" s="2242"/>
      <c r="AA2" s="2242"/>
      <c r="AB2" s="2242"/>
      <c r="AC2" s="2242"/>
      <c r="AD2" s="2242"/>
      <c r="AE2" s="2242"/>
      <c r="AF2" s="2242"/>
      <c r="AG2" s="2242"/>
      <c r="AH2" s="2242"/>
      <c r="AI2" s="2242"/>
      <c r="AJ2" s="2242"/>
      <c r="AK2" s="2242"/>
      <c r="AL2" s="2242"/>
      <c r="AM2" s="2242"/>
      <c r="AN2" s="2242"/>
      <c r="AO2" s="2242"/>
      <c r="AP2" s="2242"/>
      <c r="AQ2" s="2242"/>
      <c r="AR2" s="2242"/>
      <c r="AS2" s="2242"/>
      <c r="AT2" s="2242"/>
      <c r="AU2" s="2242"/>
      <c r="AV2" s="2242"/>
      <c r="AW2" s="2242"/>
      <c r="AX2" s="2242"/>
      <c r="AY2" s="2242"/>
      <c r="AZ2" s="2242"/>
      <c r="BA2" s="2242"/>
      <c r="BB2" s="2242"/>
      <c r="BC2" s="2242"/>
      <c r="BD2" s="2242"/>
      <c r="BE2" s="2242"/>
      <c r="BF2" s="2242"/>
      <c r="BG2" s="2242"/>
      <c r="BH2" s="2242"/>
      <c r="BI2" s="2242"/>
      <c r="BJ2" s="2242"/>
      <c r="BK2" s="2242"/>
      <c r="BL2" s="2242"/>
      <c r="BM2" s="2242"/>
      <c r="BN2" s="2242"/>
      <c r="BO2" s="2242"/>
      <c r="BP2" s="2242"/>
      <c r="BQ2" s="2242"/>
      <c r="BR2" s="2242"/>
      <c r="BS2" s="2242"/>
      <c r="BT2" s="2242"/>
      <c r="BU2" s="2242"/>
      <c r="BV2" s="2242"/>
      <c r="BW2" s="2242"/>
      <c r="BX2" s="2242"/>
      <c r="BY2" s="2242"/>
      <c r="BZ2" s="2242"/>
      <c r="CA2" s="2242"/>
      <c r="CB2" s="2663"/>
      <c r="CC2" s="2663"/>
      <c r="CD2" s="2663"/>
      <c r="CE2" s="2663"/>
      <c r="CF2" s="2663"/>
      <c r="CG2" s="2663"/>
      <c r="CH2" s="2663"/>
    </row>
    <row r="3" spans="1:117" ht="9" customHeight="1">
      <c r="A3" s="1"/>
      <c r="B3" s="2242"/>
      <c r="C3" s="2242"/>
      <c r="D3" s="2242"/>
      <c r="E3" s="2242"/>
      <c r="F3" s="2242"/>
      <c r="G3" s="2242"/>
      <c r="H3" s="2242"/>
      <c r="I3" s="2242"/>
      <c r="J3" s="2242"/>
      <c r="K3" s="2242"/>
      <c r="L3" s="2242"/>
      <c r="M3" s="2242"/>
      <c r="N3" s="2242"/>
      <c r="O3" s="2242"/>
      <c r="P3" s="2242"/>
      <c r="Q3" s="2242"/>
      <c r="R3" s="2242"/>
      <c r="S3" s="2242"/>
      <c r="T3" s="2242"/>
      <c r="U3" s="2242"/>
      <c r="V3" s="2242"/>
      <c r="W3" s="2242"/>
      <c r="X3" s="2242"/>
      <c r="Y3" s="2242"/>
      <c r="Z3" s="2242"/>
      <c r="AA3" s="2242"/>
      <c r="AB3" s="2242"/>
      <c r="AC3" s="2242"/>
      <c r="AD3" s="2242"/>
      <c r="AE3" s="2658" t="s">
        <v>22</v>
      </c>
      <c r="AF3" s="2658"/>
      <c r="AG3" s="2658"/>
      <c r="AH3" s="2658"/>
      <c r="AI3" s="2658"/>
      <c r="AJ3" s="2658"/>
      <c r="AK3" s="2658"/>
      <c r="AL3" s="2658"/>
      <c r="AM3" s="2658"/>
      <c r="AN3" s="2658"/>
      <c r="AO3" s="2658"/>
      <c r="AP3" s="2658"/>
      <c r="AQ3" s="2658"/>
      <c r="AR3" s="2658"/>
      <c r="AS3" s="2658"/>
      <c r="AT3" s="2658"/>
      <c r="AU3" s="2658"/>
      <c r="AV3" s="2658"/>
      <c r="AW3" s="2658"/>
      <c r="AX3" s="2658"/>
      <c r="AY3" s="2658"/>
      <c r="AZ3" s="2658"/>
      <c r="BA3" s="2658"/>
      <c r="BB3" s="2658"/>
      <c r="BC3" s="2658"/>
      <c r="BD3" s="2658"/>
      <c r="BE3" s="2658"/>
      <c r="BF3" s="2659" t="str">
        <f>IF(OR(Q25="",CA25="",CA28=""),"Click on the red box and select/apply units (in or ft)","")</f>
        <v/>
      </c>
      <c r="BG3" s="2659"/>
      <c r="BH3" s="2659"/>
      <c r="BI3" s="2659"/>
      <c r="BJ3" s="2659"/>
      <c r="BK3" s="2659"/>
      <c r="BL3" s="2659"/>
      <c r="BM3" s="2659"/>
      <c r="BN3" s="2659"/>
      <c r="BO3" s="2659"/>
      <c r="BP3" s="2659"/>
      <c r="BQ3" s="2659"/>
      <c r="BR3" s="2659"/>
      <c r="BS3" s="2659"/>
      <c r="BT3" s="2659"/>
      <c r="BU3" s="2659"/>
      <c r="BV3" s="2659"/>
      <c r="BW3" s="2659"/>
      <c r="BX3" s="2659"/>
      <c r="BY3" s="2659"/>
      <c r="BZ3" s="2659"/>
      <c r="CA3" s="2659"/>
      <c r="CB3" s="2663" t="s">
        <v>8</v>
      </c>
      <c r="CC3" s="2663"/>
      <c r="CD3" s="2663"/>
      <c r="CE3" s="2663"/>
      <c r="CF3" s="2663"/>
      <c r="CG3" s="2663"/>
      <c r="CH3" s="2663"/>
    </row>
    <row r="4" spans="1:117" ht="9" customHeight="1">
      <c r="A4" s="1"/>
      <c r="B4" s="2242"/>
      <c r="C4" s="2242"/>
      <c r="D4" s="2242"/>
      <c r="E4" s="2242"/>
      <c r="F4" s="2242"/>
      <c r="G4" s="2242"/>
      <c r="H4" s="2242"/>
      <c r="I4" s="2242"/>
      <c r="J4" s="2242"/>
      <c r="K4" s="2242"/>
      <c r="L4" s="2242"/>
      <c r="M4" s="2242"/>
      <c r="N4" s="2242"/>
      <c r="O4" s="2242"/>
      <c r="P4" s="2242"/>
      <c r="Q4" s="2242"/>
      <c r="R4" s="2242"/>
      <c r="S4" s="2242"/>
      <c r="T4" s="2242"/>
      <c r="U4" s="2242"/>
      <c r="V4" s="2242"/>
      <c r="W4" s="2242"/>
      <c r="X4" s="2242"/>
      <c r="Y4" s="2242"/>
      <c r="Z4" s="2242"/>
      <c r="AA4" s="2242"/>
      <c r="AB4" s="2242"/>
      <c r="AC4" s="2242"/>
      <c r="AD4" s="2242"/>
      <c r="AE4" s="2658"/>
      <c r="AF4" s="2658"/>
      <c r="AG4" s="2658"/>
      <c r="AH4" s="2658"/>
      <c r="AI4" s="2658"/>
      <c r="AJ4" s="2658"/>
      <c r="AK4" s="2658"/>
      <c r="AL4" s="2658"/>
      <c r="AM4" s="2658"/>
      <c r="AN4" s="2658"/>
      <c r="AO4" s="2658"/>
      <c r="AP4" s="2658"/>
      <c r="AQ4" s="2658"/>
      <c r="AR4" s="2658"/>
      <c r="AS4" s="2658"/>
      <c r="AT4" s="2658"/>
      <c r="AU4" s="2658"/>
      <c r="AV4" s="2658"/>
      <c r="AW4" s="2658"/>
      <c r="AX4" s="2658"/>
      <c r="AY4" s="2658"/>
      <c r="AZ4" s="2658"/>
      <c r="BA4" s="2658"/>
      <c r="BB4" s="2658"/>
      <c r="BC4" s="2658"/>
      <c r="BD4" s="2658"/>
      <c r="BE4" s="2658"/>
      <c r="BF4" s="2659"/>
      <c r="BG4" s="2659"/>
      <c r="BH4" s="2659"/>
      <c r="BI4" s="2659"/>
      <c r="BJ4" s="2659"/>
      <c r="BK4" s="2659"/>
      <c r="BL4" s="2659"/>
      <c r="BM4" s="2659"/>
      <c r="BN4" s="2659"/>
      <c r="BO4" s="2659"/>
      <c r="BP4" s="2659"/>
      <c r="BQ4" s="2659"/>
      <c r="BR4" s="2659"/>
      <c r="BS4" s="2659"/>
      <c r="BT4" s="2659"/>
      <c r="BU4" s="2659"/>
      <c r="BV4" s="2659"/>
      <c r="BW4" s="2659"/>
      <c r="BX4" s="2659"/>
      <c r="BY4" s="2659"/>
      <c r="BZ4" s="2659"/>
      <c r="CA4" s="2659"/>
      <c r="CB4" s="2663"/>
      <c r="CC4" s="2663"/>
      <c r="CD4" s="2663"/>
      <c r="CE4" s="2663"/>
      <c r="CF4" s="2663"/>
      <c r="CG4" s="2663"/>
      <c r="CH4" s="2663"/>
    </row>
    <row r="5" spans="1:117" ht="9" customHeight="1">
      <c r="A5" s="1"/>
      <c r="B5" s="2242"/>
      <c r="C5" s="2242"/>
      <c r="D5" s="2242"/>
      <c r="E5" s="2242"/>
      <c r="F5" s="2242"/>
      <c r="G5" s="2242"/>
      <c r="H5" s="2242"/>
      <c r="I5" s="2242"/>
      <c r="J5" s="2242"/>
      <c r="K5" s="2242"/>
      <c r="L5" s="2242"/>
      <c r="M5" s="2242"/>
      <c r="N5" s="2242"/>
      <c r="O5" s="2242"/>
      <c r="P5" s="2242"/>
      <c r="Q5" s="2242"/>
      <c r="R5" s="2242"/>
      <c r="S5" s="2242"/>
      <c r="T5" s="2242"/>
      <c r="U5" s="2242"/>
      <c r="V5" s="2242"/>
      <c r="W5" s="2242"/>
      <c r="X5" s="2242"/>
      <c r="Y5" s="2242"/>
      <c r="Z5" s="2242"/>
      <c r="AA5" s="2242"/>
      <c r="AB5" s="2242"/>
      <c r="AC5" s="2242"/>
      <c r="AD5" s="2242"/>
      <c r="AE5" s="2658"/>
      <c r="AF5" s="2658"/>
      <c r="AG5" s="2658"/>
      <c r="AH5" s="2658"/>
      <c r="AI5" s="2658"/>
      <c r="AJ5" s="2658"/>
      <c r="AK5" s="2658"/>
      <c r="AL5" s="2658"/>
      <c r="AM5" s="2658"/>
      <c r="AN5" s="2658"/>
      <c r="AO5" s="2658"/>
      <c r="AP5" s="2658"/>
      <c r="AQ5" s="2658"/>
      <c r="AR5" s="2658"/>
      <c r="AS5" s="2658"/>
      <c r="AT5" s="2658"/>
      <c r="AU5" s="2658"/>
      <c r="AV5" s="2658"/>
      <c r="AW5" s="2658"/>
      <c r="AX5" s="2658"/>
      <c r="AY5" s="2658"/>
      <c r="AZ5" s="2658"/>
      <c r="BA5" s="2658"/>
      <c r="BB5" s="2658"/>
      <c r="BC5" s="2658"/>
      <c r="BD5" s="2658"/>
      <c r="BE5" s="2658"/>
      <c r="BF5" s="2659"/>
      <c r="BG5" s="2659"/>
      <c r="BH5" s="2659"/>
      <c r="BI5" s="2659"/>
      <c r="BJ5" s="2659"/>
      <c r="BK5" s="2659"/>
      <c r="BL5" s="2659"/>
      <c r="BM5" s="2659"/>
      <c r="BN5" s="2659"/>
      <c r="BO5" s="2659"/>
      <c r="BP5" s="2659"/>
      <c r="BQ5" s="2659"/>
      <c r="BR5" s="2659"/>
      <c r="BS5" s="2659"/>
      <c r="BT5" s="2659"/>
      <c r="BU5" s="2659"/>
      <c r="BV5" s="2659"/>
      <c r="BW5" s="2659"/>
      <c r="BX5" s="2659"/>
      <c r="BY5" s="2659"/>
      <c r="BZ5" s="2659"/>
      <c r="CA5" s="2659"/>
      <c r="CB5" s="2664">
        <f>'DS Log Pg 1'!U3</f>
        <v>45222</v>
      </c>
      <c r="CC5" s="2665"/>
      <c r="CD5" s="2665"/>
      <c r="CE5" s="2665"/>
      <c r="CF5" s="2665"/>
      <c r="CG5" s="2665"/>
      <c r="CH5" s="2665"/>
    </row>
    <row r="6" spans="1:117" ht="9" customHeight="1" thickBot="1">
      <c r="A6" s="1"/>
      <c r="B6" s="2242"/>
      <c r="C6" s="2242"/>
      <c r="D6" s="2242"/>
      <c r="E6" s="2242"/>
      <c r="F6" s="2242"/>
      <c r="G6" s="2242"/>
      <c r="H6" s="2242"/>
      <c r="I6" s="2242"/>
      <c r="J6" s="2242"/>
      <c r="K6" s="2242"/>
      <c r="L6" s="2242"/>
      <c r="M6" s="2242"/>
      <c r="N6" s="2242"/>
      <c r="O6" s="2242"/>
      <c r="P6" s="2242"/>
      <c r="Q6" s="2242"/>
      <c r="R6" s="2242"/>
      <c r="S6" s="2242"/>
      <c r="T6" s="2242"/>
      <c r="U6" s="2242"/>
      <c r="V6" s="2242"/>
      <c r="W6" s="2242"/>
      <c r="X6" s="2242"/>
      <c r="Y6" s="2242"/>
      <c r="Z6" s="2242"/>
      <c r="AA6" s="2242"/>
      <c r="AB6" s="2242"/>
      <c r="AC6" s="2242"/>
      <c r="AD6" s="2242"/>
      <c r="AE6" s="2242"/>
      <c r="AF6" s="2242"/>
      <c r="AG6" s="2242"/>
      <c r="AH6" s="2242"/>
      <c r="AI6" s="2242"/>
      <c r="AJ6" s="2242"/>
      <c r="AK6" s="2242"/>
      <c r="AL6" s="2242"/>
      <c r="AM6" s="2242"/>
      <c r="AN6" s="2242"/>
      <c r="AO6" s="2242"/>
      <c r="AP6" s="2242"/>
      <c r="AQ6" s="2242"/>
      <c r="AR6" s="2242"/>
      <c r="AS6" s="2242"/>
      <c r="AT6" s="2242"/>
      <c r="AU6" s="2242"/>
      <c r="AV6" s="2242"/>
      <c r="AW6" s="2242"/>
      <c r="AX6" s="2242"/>
      <c r="AY6" s="2242"/>
      <c r="AZ6" s="2242"/>
      <c r="BA6" s="2242"/>
      <c r="BB6" s="2242"/>
      <c r="BC6" s="2242"/>
      <c r="BD6" s="2242"/>
      <c r="BE6" s="2242"/>
      <c r="BF6" s="2242"/>
      <c r="BG6" s="2242"/>
      <c r="BH6" s="2242"/>
      <c r="BI6" s="2242"/>
      <c r="BJ6" s="2242"/>
      <c r="BK6" s="2242"/>
      <c r="BL6" s="2242"/>
      <c r="BM6" s="2242"/>
      <c r="BN6" s="2242"/>
      <c r="BO6" s="2242"/>
      <c r="BP6" s="2242"/>
      <c r="BQ6" s="2242"/>
      <c r="BR6" s="2242"/>
      <c r="BS6" s="2242"/>
      <c r="BT6" s="2242"/>
      <c r="BU6" s="2242"/>
      <c r="BV6" s="2242"/>
      <c r="BW6" s="2242"/>
      <c r="BX6" s="2242"/>
      <c r="BY6" s="2242"/>
      <c r="BZ6" s="2242"/>
      <c r="CA6" s="2242"/>
      <c r="CB6" s="2665"/>
      <c r="CC6" s="2665"/>
      <c r="CD6" s="2665"/>
      <c r="CE6" s="2665"/>
      <c r="CF6" s="2665"/>
      <c r="CG6" s="2665"/>
      <c r="CH6" s="2665"/>
    </row>
    <row r="7" spans="1:117" ht="8.1" customHeight="1">
      <c r="A7" s="1"/>
      <c r="B7" s="2666"/>
      <c r="C7" s="2667"/>
      <c r="D7" s="2667"/>
      <c r="E7" s="2667"/>
      <c r="F7" s="2667"/>
      <c r="G7" s="2667"/>
      <c r="H7" s="2667"/>
      <c r="I7" s="2667"/>
      <c r="J7" s="2667"/>
      <c r="K7" s="2667"/>
      <c r="L7" s="2667"/>
      <c r="M7" s="2667"/>
      <c r="N7" s="2667"/>
      <c r="O7" s="2667"/>
      <c r="P7" s="2667"/>
      <c r="Q7" s="2667"/>
      <c r="R7" s="2667"/>
      <c r="S7" s="2667"/>
      <c r="T7" s="2667"/>
      <c r="U7" s="2667"/>
      <c r="V7" s="2667"/>
      <c r="W7" s="2667"/>
      <c r="X7" s="2667"/>
      <c r="Y7" s="2667"/>
      <c r="Z7" s="2667"/>
      <c r="AA7" s="2667"/>
      <c r="AB7" s="2667"/>
      <c r="AC7" s="2667"/>
      <c r="AD7" s="2667"/>
      <c r="AE7" s="2667"/>
      <c r="AF7" s="2667"/>
      <c r="AG7" s="2667"/>
      <c r="AH7" s="2667"/>
      <c r="AI7" s="2667"/>
      <c r="AJ7" s="2667"/>
      <c r="AK7" s="2667"/>
      <c r="AL7" s="2667"/>
      <c r="AM7" s="2667"/>
      <c r="AN7" s="2667"/>
      <c r="AO7" s="2667"/>
      <c r="AP7" s="2667"/>
      <c r="AQ7" s="2667"/>
      <c r="AR7" s="2667"/>
      <c r="AS7" s="2667"/>
      <c r="AT7" s="2667"/>
      <c r="AU7" s="2667"/>
      <c r="AV7" s="2667"/>
      <c r="AW7" s="2667"/>
      <c r="AX7" s="2667"/>
      <c r="AY7" s="2667"/>
      <c r="AZ7" s="2667"/>
      <c r="BA7" s="2667"/>
      <c r="BB7" s="2667"/>
      <c r="BC7" s="2667"/>
      <c r="BD7" s="2667"/>
      <c r="BE7" s="2667"/>
      <c r="BF7" s="2667"/>
      <c r="BG7" s="2667"/>
      <c r="BH7" s="2667"/>
      <c r="BI7" s="2667"/>
      <c r="BJ7" s="2667"/>
      <c r="BK7" s="2667"/>
      <c r="BL7" s="2667"/>
      <c r="BM7" s="2667"/>
      <c r="BN7" s="2667"/>
      <c r="BO7" s="2667"/>
      <c r="BP7" s="2667"/>
      <c r="BQ7" s="2667"/>
      <c r="BR7" s="2667"/>
      <c r="BS7" s="2667"/>
      <c r="BT7" s="2667"/>
      <c r="BU7" s="2667"/>
      <c r="BV7" s="2667"/>
      <c r="BW7" s="2667"/>
      <c r="BX7" s="2667"/>
      <c r="BY7" s="2667"/>
      <c r="BZ7" s="2667"/>
      <c r="CA7" s="2667"/>
      <c r="CB7" s="2667"/>
      <c r="CC7" s="2667"/>
      <c r="CD7" s="2667"/>
      <c r="CE7" s="2667"/>
      <c r="CF7" s="2667"/>
      <c r="CG7" s="2667"/>
      <c r="CH7" s="2668"/>
    </row>
    <row r="8" spans="1:117" ht="9.6" customHeight="1">
      <c r="A8" s="1"/>
      <c r="B8" s="2638" t="s">
        <v>45</v>
      </c>
      <c r="C8" s="2639"/>
      <c r="D8" s="2639"/>
      <c r="E8" s="2639"/>
      <c r="F8" s="2639"/>
      <c r="G8" s="2639"/>
      <c r="H8" s="2639"/>
      <c r="I8" s="2639"/>
      <c r="J8" s="2635" t="str">
        <f>IF('DS Log Pg 1'!D7="","",'DS Log Pg 1'!D7)</f>
        <v/>
      </c>
      <c r="K8" s="2635"/>
      <c r="L8" s="2635"/>
      <c r="M8" s="2635"/>
      <c r="N8" s="2635"/>
      <c r="O8" s="2635"/>
      <c r="P8" s="2635"/>
      <c r="Q8" s="2635"/>
      <c r="R8" s="2635"/>
      <c r="S8" s="2635"/>
      <c r="T8" s="2635"/>
      <c r="U8" s="2635"/>
      <c r="V8" s="2635"/>
      <c r="W8" s="2635"/>
      <c r="X8" s="2635"/>
      <c r="Y8" s="2635"/>
      <c r="Z8" s="2635"/>
      <c r="AA8" s="2635"/>
      <c r="AB8" s="2635"/>
      <c r="AC8" s="2635"/>
      <c r="AD8" s="1859"/>
      <c r="AE8" s="1859"/>
      <c r="AF8" s="2639" t="s">
        <v>49</v>
      </c>
      <c r="AG8" s="2639"/>
      <c r="AH8" s="2639"/>
      <c r="AI8" s="2639"/>
      <c r="AJ8" s="2639"/>
      <c r="AK8" s="2671" t="str">
        <f>IF('DS Log Pg 1'!S7="","",'DS Log Pg 1'!S7)</f>
        <v/>
      </c>
      <c r="AL8" s="2656"/>
      <c r="AM8" s="2656"/>
      <c r="AN8" s="2656"/>
      <c r="AO8" s="2656"/>
      <c r="AP8" s="2656"/>
      <c r="AQ8" s="2656"/>
      <c r="AR8" s="2656"/>
      <c r="AS8" s="1859"/>
      <c r="AT8" s="1859"/>
      <c r="AU8" s="2639" t="s">
        <v>149</v>
      </c>
      <c r="AV8" s="2639"/>
      <c r="AW8" s="2639"/>
      <c r="AX8" s="2639"/>
      <c r="AY8" s="2639"/>
      <c r="AZ8" s="2639"/>
      <c r="BA8" s="2639"/>
      <c r="BB8" s="2639"/>
      <c r="BC8" s="2639"/>
      <c r="BD8" s="2639"/>
      <c r="BE8" s="2654" t="str">
        <f>IF('DS Log Pg 1'!S11="","",'DS Log Pg 1'!S11)</f>
        <v/>
      </c>
      <c r="BF8" s="2635"/>
      <c r="BG8" s="2635"/>
      <c r="BH8" s="2635"/>
      <c r="BI8" s="2635"/>
      <c r="BJ8" s="2635"/>
      <c r="BK8" s="2635"/>
      <c r="BL8" s="2635"/>
      <c r="BM8" s="2635"/>
      <c r="BN8" s="2635"/>
      <c r="BO8" s="2635"/>
      <c r="BP8" s="2662"/>
      <c r="BQ8" s="2662"/>
      <c r="BR8" s="2662"/>
      <c r="BS8" s="2662"/>
      <c r="BT8" s="2653" t="s">
        <v>10</v>
      </c>
      <c r="BU8" s="2653"/>
      <c r="BV8" s="2653"/>
      <c r="BW8" s="2653"/>
      <c r="BX8" s="2660"/>
      <c r="BY8" s="2660"/>
      <c r="BZ8" s="2660"/>
      <c r="CA8" s="2653" t="s">
        <v>981</v>
      </c>
      <c r="CB8" s="2653"/>
      <c r="CC8" s="2653"/>
      <c r="CD8" s="2660"/>
      <c r="CE8" s="2660"/>
      <c r="CF8" s="2660"/>
      <c r="CG8" s="2669"/>
      <c r="CH8" s="2670"/>
    </row>
    <row r="9" spans="1:117" ht="9.6" customHeight="1">
      <c r="A9" s="1"/>
      <c r="B9" s="2638"/>
      <c r="C9" s="2639"/>
      <c r="D9" s="2639"/>
      <c r="E9" s="2639"/>
      <c r="F9" s="2639"/>
      <c r="G9" s="2639"/>
      <c r="H9" s="2639"/>
      <c r="I9" s="2639"/>
      <c r="J9" s="2635"/>
      <c r="K9" s="2635"/>
      <c r="L9" s="2635"/>
      <c r="M9" s="2635"/>
      <c r="N9" s="2635"/>
      <c r="O9" s="2635"/>
      <c r="P9" s="2635"/>
      <c r="Q9" s="2635"/>
      <c r="R9" s="2635"/>
      <c r="S9" s="2635"/>
      <c r="T9" s="2635"/>
      <c r="U9" s="2635"/>
      <c r="V9" s="2635"/>
      <c r="W9" s="2635"/>
      <c r="X9" s="2635"/>
      <c r="Y9" s="2635"/>
      <c r="Z9" s="2635"/>
      <c r="AA9" s="2635"/>
      <c r="AB9" s="2635"/>
      <c r="AC9" s="2635"/>
      <c r="AD9" s="1859"/>
      <c r="AE9" s="1859"/>
      <c r="AF9" s="2639"/>
      <c r="AG9" s="2639"/>
      <c r="AH9" s="2639"/>
      <c r="AI9" s="2639"/>
      <c r="AJ9" s="2639"/>
      <c r="AK9" s="2656"/>
      <c r="AL9" s="2656"/>
      <c r="AM9" s="2656"/>
      <c r="AN9" s="2656"/>
      <c r="AO9" s="2656"/>
      <c r="AP9" s="2656"/>
      <c r="AQ9" s="2656"/>
      <c r="AR9" s="2656"/>
      <c r="AS9" s="1859"/>
      <c r="AT9" s="1859"/>
      <c r="AU9" s="2639"/>
      <c r="AV9" s="2639"/>
      <c r="AW9" s="2639"/>
      <c r="AX9" s="2639"/>
      <c r="AY9" s="2639"/>
      <c r="AZ9" s="2639"/>
      <c r="BA9" s="2639"/>
      <c r="BB9" s="2639"/>
      <c r="BC9" s="2639"/>
      <c r="BD9" s="2639"/>
      <c r="BE9" s="2635"/>
      <c r="BF9" s="2635"/>
      <c r="BG9" s="2635"/>
      <c r="BH9" s="2635"/>
      <c r="BI9" s="2635"/>
      <c r="BJ9" s="2635"/>
      <c r="BK9" s="2635"/>
      <c r="BL9" s="2635"/>
      <c r="BM9" s="2635"/>
      <c r="BN9" s="2635"/>
      <c r="BO9" s="2635"/>
      <c r="BP9" s="2662"/>
      <c r="BQ9" s="2662"/>
      <c r="BR9" s="2662"/>
      <c r="BS9" s="2662"/>
      <c r="BT9" s="2653"/>
      <c r="BU9" s="2653"/>
      <c r="BV9" s="2653"/>
      <c r="BW9" s="2653"/>
      <c r="BX9" s="2660"/>
      <c r="BY9" s="2660"/>
      <c r="BZ9" s="2660"/>
      <c r="CA9" s="2653"/>
      <c r="CB9" s="2653"/>
      <c r="CC9" s="2653"/>
      <c r="CD9" s="2660"/>
      <c r="CE9" s="2660"/>
      <c r="CF9" s="2660"/>
      <c r="CG9" s="2669"/>
      <c r="CH9" s="2670"/>
      <c r="CS9" s="2679" t="s">
        <v>333</v>
      </c>
      <c r="CT9" s="2679"/>
      <c r="CU9" s="2679"/>
      <c r="CV9" s="2679"/>
      <c r="CW9" s="2679"/>
      <c r="CX9" s="2679"/>
      <c r="CY9" s="2679"/>
      <c r="CZ9" s="2679"/>
      <c r="DA9" s="2679"/>
      <c r="DB9" s="2679"/>
      <c r="DC9" s="2679"/>
      <c r="DD9" s="2679"/>
      <c r="DE9" s="2679"/>
      <c r="DF9" s="2679"/>
      <c r="DG9" s="2679"/>
      <c r="DH9" s="2679"/>
      <c r="DI9" s="2679"/>
      <c r="DJ9" s="2679"/>
      <c r="DK9" s="2679"/>
      <c r="DL9" s="2679"/>
      <c r="DM9" s="2679"/>
    </row>
    <row r="10" spans="1:117" ht="9.6" customHeight="1">
      <c r="A10" s="1"/>
      <c r="B10" s="2638"/>
      <c r="C10" s="2639"/>
      <c r="D10" s="2639"/>
      <c r="E10" s="2639"/>
      <c r="F10" s="2639"/>
      <c r="G10" s="2639"/>
      <c r="H10" s="2639"/>
      <c r="I10" s="2639"/>
      <c r="J10" s="2636"/>
      <c r="K10" s="2636"/>
      <c r="L10" s="2636"/>
      <c r="M10" s="2636"/>
      <c r="N10" s="2636"/>
      <c r="O10" s="2636"/>
      <c r="P10" s="2636"/>
      <c r="Q10" s="2636"/>
      <c r="R10" s="2636"/>
      <c r="S10" s="2636"/>
      <c r="T10" s="2636"/>
      <c r="U10" s="2636"/>
      <c r="V10" s="2636"/>
      <c r="W10" s="2636"/>
      <c r="X10" s="2636"/>
      <c r="Y10" s="2636"/>
      <c r="Z10" s="2636"/>
      <c r="AA10" s="2636"/>
      <c r="AB10" s="2636"/>
      <c r="AC10" s="2636"/>
      <c r="AD10" s="1859"/>
      <c r="AE10" s="1859"/>
      <c r="AF10" s="2639"/>
      <c r="AG10" s="2639"/>
      <c r="AH10" s="2639"/>
      <c r="AI10" s="2639"/>
      <c r="AJ10" s="2639"/>
      <c r="AK10" s="2657"/>
      <c r="AL10" s="2657"/>
      <c r="AM10" s="2657"/>
      <c r="AN10" s="2657"/>
      <c r="AO10" s="2657"/>
      <c r="AP10" s="2657"/>
      <c r="AQ10" s="2657"/>
      <c r="AR10" s="2657"/>
      <c r="AS10" s="1859"/>
      <c r="AT10" s="1859"/>
      <c r="AU10" s="2639"/>
      <c r="AV10" s="2639"/>
      <c r="AW10" s="2639"/>
      <c r="AX10" s="2639"/>
      <c r="AY10" s="2639"/>
      <c r="AZ10" s="2639"/>
      <c r="BA10" s="2639"/>
      <c r="BB10" s="2639"/>
      <c r="BC10" s="2639"/>
      <c r="BD10" s="2639"/>
      <c r="BE10" s="2636"/>
      <c r="BF10" s="2636"/>
      <c r="BG10" s="2636"/>
      <c r="BH10" s="2636"/>
      <c r="BI10" s="2636"/>
      <c r="BJ10" s="2636"/>
      <c r="BK10" s="2636"/>
      <c r="BL10" s="2636"/>
      <c r="BM10" s="2636"/>
      <c r="BN10" s="2636"/>
      <c r="BO10" s="2636"/>
      <c r="BP10" s="2662"/>
      <c r="BQ10" s="2662"/>
      <c r="BR10" s="2662"/>
      <c r="BS10" s="2662"/>
      <c r="BT10" s="2653"/>
      <c r="BU10" s="2653"/>
      <c r="BV10" s="2653"/>
      <c r="BW10" s="2653"/>
      <c r="BX10" s="2661"/>
      <c r="BY10" s="2661"/>
      <c r="BZ10" s="2661"/>
      <c r="CA10" s="2653"/>
      <c r="CB10" s="2653"/>
      <c r="CC10" s="2653"/>
      <c r="CD10" s="2661"/>
      <c r="CE10" s="2661"/>
      <c r="CF10" s="2661"/>
      <c r="CG10" s="2669"/>
      <c r="CH10" s="2670"/>
      <c r="CQ10" s="2726"/>
      <c r="CR10" s="2727"/>
      <c r="CS10" s="2679"/>
      <c r="CT10" s="2679"/>
      <c r="CU10" s="2679"/>
      <c r="CV10" s="2679"/>
      <c r="CW10" s="2679"/>
      <c r="CX10" s="2679"/>
      <c r="CY10" s="2679"/>
      <c r="CZ10" s="2679"/>
      <c r="DA10" s="2679"/>
      <c r="DB10" s="2679"/>
      <c r="DC10" s="2679"/>
      <c r="DD10" s="2679"/>
      <c r="DE10" s="2679"/>
      <c r="DF10" s="2679"/>
      <c r="DG10" s="2679"/>
      <c r="DH10" s="2679"/>
      <c r="DI10" s="2679"/>
      <c r="DJ10" s="2679"/>
      <c r="DK10" s="2679"/>
      <c r="DL10" s="2679"/>
      <c r="DM10" s="2679"/>
    </row>
    <row r="11" spans="1:117" ht="9.6" customHeight="1">
      <c r="A11" s="1"/>
      <c r="B11" s="2638" t="s">
        <v>46</v>
      </c>
      <c r="C11" s="2639"/>
      <c r="D11" s="2639"/>
      <c r="E11" s="2639"/>
      <c r="F11" s="2639"/>
      <c r="G11" s="2639"/>
      <c r="H11" s="2639"/>
      <c r="I11" s="2639"/>
      <c r="J11" s="2654" t="str">
        <f>IF('DS Log Pg 1'!D8="","",'DS Log Pg 1'!D8)</f>
        <v/>
      </c>
      <c r="K11" s="2635"/>
      <c r="L11" s="2635"/>
      <c r="M11" s="2635"/>
      <c r="N11" s="2635"/>
      <c r="O11" s="2635"/>
      <c r="P11" s="2635"/>
      <c r="Q11" s="2635"/>
      <c r="R11" s="2635"/>
      <c r="S11" s="2635"/>
      <c r="T11" s="2635"/>
      <c r="U11" s="2635"/>
      <c r="V11" s="2635"/>
      <c r="W11" s="2635"/>
      <c r="X11" s="2635"/>
      <c r="Y11" s="2635"/>
      <c r="Z11" s="2635"/>
      <c r="AA11" s="2635"/>
      <c r="AB11" s="2635"/>
      <c r="AC11" s="2635"/>
      <c r="AD11" s="1859"/>
      <c r="AE11" s="1859"/>
      <c r="AF11" s="2653" t="s">
        <v>122</v>
      </c>
      <c r="AG11" s="2653"/>
      <c r="AH11" s="2653"/>
      <c r="AI11" s="2653"/>
      <c r="AJ11" s="2653"/>
      <c r="AK11" s="2655" t="str">
        <f>IF('DS Log Pg 1'!S8="","",'DS Log Pg 1'!S8)</f>
        <v/>
      </c>
      <c r="AL11" s="2655"/>
      <c r="AM11" s="2655"/>
      <c r="AN11" s="2655"/>
      <c r="AO11" s="2655"/>
      <c r="AP11" s="2655"/>
      <c r="AQ11" s="2655"/>
      <c r="AR11" s="2655"/>
      <c r="AS11" s="1859"/>
      <c r="AT11" s="1859"/>
      <c r="AU11" s="2639" t="s">
        <v>150</v>
      </c>
      <c r="AV11" s="2639"/>
      <c r="AW11" s="2639"/>
      <c r="AX11" s="2639"/>
      <c r="AY11" s="2639"/>
      <c r="AZ11" s="2639"/>
      <c r="BA11" s="2654" t="str">
        <f>IF('DS Log Pg 1'!S9="","",'DS Log Pg 1'!S9)</f>
        <v/>
      </c>
      <c r="BB11" s="2635"/>
      <c r="BC11" s="2635"/>
      <c r="BD11" s="2635"/>
      <c r="BE11" s="2635"/>
      <c r="BF11" s="2635"/>
      <c r="BG11" s="2635"/>
      <c r="BH11" s="2635"/>
      <c r="BI11" s="2635"/>
      <c r="BJ11" s="2635"/>
      <c r="BK11" s="2635"/>
      <c r="BL11" s="2635"/>
      <c r="BM11" s="2635"/>
      <c r="BN11" s="2635"/>
      <c r="BO11" s="2635"/>
      <c r="BP11" s="2653" t="s">
        <v>151</v>
      </c>
      <c r="BQ11" s="2653"/>
      <c r="BR11" s="2653"/>
      <c r="BS11" s="2653"/>
      <c r="BT11" s="2653"/>
      <c r="BU11" s="2653"/>
      <c r="BV11" s="2654" t="str">
        <f>IF('DS Log Pg 1'!S10="","",'DS Log Pg 1'!S10)</f>
        <v/>
      </c>
      <c r="BW11" s="2635"/>
      <c r="BX11" s="2635"/>
      <c r="BY11" s="2635"/>
      <c r="BZ11" s="2635"/>
      <c r="CA11" s="2635"/>
      <c r="CB11" s="2635"/>
      <c r="CC11" s="2635"/>
      <c r="CD11" s="2635"/>
      <c r="CE11" s="2635"/>
      <c r="CF11" s="2635"/>
      <c r="CG11" s="2635"/>
      <c r="CH11" s="759"/>
      <c r="CQ11" s="2728"/>
      <c r="CR11" s="2729"/>
      <c r="CS11" s="2679"/>
      <c r="CT11" s="2679"/>
      <c r="CU11" s="2679"/>
      <c r="CV11" s="2679"/>
      <c r="CW11" s="2679"/>
      <c r="CX11" s="2679"/>
      <c r="CY11" s="2679"/>
      <c r="CZ11" s="2679"/>
      <c r="DA11" s="2679"/>
      <c r="DB11" s="2679"/>
      <c r="DC11" s="2679"/>
      <c r="DD11" s="2679"/>
      <c r="DE11" s="2679"/>
      <c r="DF11" s="2679"/>
      <c r="DG11" s="2679"/>
      <c r="DH11" s="2679"/>
      <c r="DI11" s="2679"/>
      <c r="DJ11" s="2679"/>
      <c r="DK11" s="2679"/>
      <c r="DL11" s="2679"/>
      <c r="DM11" s="2679"/>
    </row>
    <row r="12" spans="1:117" ht="9.6" customHeight="1">
      <c r="A12" s="1"/>
      <c r="B12" s="2638"/>
      <c r="C12" s="2639"/>
      <c r="D12" s="2639"/>
      <c r="E12" s="2639"/>
      <c r="F12" s="2639"/>
      <c r="G12" s="2639"/>
      <c r="H12" s="2639"/>
      <c r="I12" s="2639"/>
      <c r="J12" s="2635"/>
      <c r="K12" s="2635"/>
      <c r="L12" s="2635"/>
      <c r="M12" s="2635"/>
      <c r="N12" s="2635"/>
      <c r="O12" s="2635"/>
      <c r="P12" s="2635"/>
      <c r="Q12" s="2635"/>
      <c r="R12" s="2635"/>
      <c r="S12" s="2635"/>
      <c r="T12" s="2635"/>
      <c r="U12" s="2635"/>
      <c r="V12" s="2635"/>
      <c r="W12" s="2635"/>
      <c r="X12" s="2635"/>
      <c r="Y12" s="2635"/>
      <c r="Z12" s="2635"/>
      <c r="AA12" s="2635"/>
      <c r="AB12" s="2635"/>
      <c r="AC12" s="2635"/>
      <c r="AD12" s="1859"/>
      <c r="AE12" s="1859"/>
      <c r="AF12" s="2653"/>
      <c r="AG12" s="2653"/>
      <c r="AH12" s="2653"/>
      <c r="AI12" s="2653"/>
      <c r="AJ12" s="2653"/>
      <c r="AK12" s="2656"/>
      <c r="AL12" s="2656"/>
      <c r="AM12" s="2656"/>
      <c r="AN12" s="2656"/>
      <c r="AO12" s="2656"/>
      <c r="AP12" s="2656"/>
      <c r="AQ12" s="2656"/>
      <c r="AR12" s="2656"/>
      <c r="AS12" s="1859"/>
      <c r="AT12" s="1859"/>
      <c r="AU12" s="2639"/>
      <c r="AV12" s="2639"/>
      <c r="AW12" s="2639"/>
      <c r="AX12" s="2639"/>
      <c r="AY12" s="2639"/>
      <c r="AZ12" s="2639"/>
      <c r="BA12" s="2635"/>
      <c r="BB12" s="2635"/>
      <c r="BC12" s="2635"/>
      <c r="BD12" s="2635"/>
      <c r="BE12" s="2635"/>
      <c r="BF12" s="2635"/>
      <c r="BG12" s="2635"/>
      <c r="BH12" s="2635"/>
      <c r="BI12" s="2635"/>
      <c r="BJ12" s="2635"/>
      <c r="BK12" s="2635"/>
      <c r="BL12" s="2635"/>
      <c r="BM12" s="2635"/>
      <c r="BN12" s="2635"/>
      <c r="BO12" s="2635"/>
      <c r="BP12" s="2653"/>
      <c r="BQ12" s="2653"/>
      <c r="BR12" s="2653"/>
      <c r="BS12" s="2653"/>
      <c r="BT12" s="2653"/>
      <c r="BU12" s="2653"/>
      <c r="BV12" s="2635"/>
      <c r="BW12" s="2635"/>
      <c r="BX12" s="2635"/>
      <c r="BY12" s="2635"/>
      <c r="BZ12" s="2635"/>
      <c r="CA12" s="2635"/>
      <c r="CB12" s="2635"/>
      <c r="CC12" s="2635"/>
      <c r="CD12" s="2635"/>
      <c r="CE12" s="2635"/>
      <c r="CF12" s="2635"/>
      <c r="CG12" s="2635"/>
      <c r="CH12" s="759"/>
      <c r="CQ12" s="2728"/>
      <c r="CR12" s="2729"/>
      <c r="CS12" s="2679"/>
      <c r="CT12" s="2679"/>
      <c r="CU12" s="2679"/>
      <c r="CV12" s="2679"/>
      <c r="CW12" s="2679"/>
      <c r="CX12" s="2679"/>
      <c r="CY12" s="2679"/>
      <c r="CZ12" s="2679"/>
      <c r="DA12" s="2679"/>
      <c r="DB12" s="2679"/>
      <c r="DC12" s="2679"/>
      <c r="DD12" s="2679"/>
      <c r="DE12" s="2679"/>
      <c r="DF12" s="2679"/>
      <c r="DG12" s="2679"/>
      <c r="DH12" s="2679"/>
      <c r="DI12" s="2679"/>
      <c r="DJ12" s="2679"/>
      <c r="DK12" s="2679"/>
      <c r="DL12" s="2679"/>
      <c r="DM12" s="2679"/>
    </row>
    <row r="13" spans="1:117" ht="9.6" customHeight="1">
      <c r="A13" s="1"/>
      <c r="B13" s="2638"/>
      <c r="C13" s="2639"/>
      <c r="D13" s="2639"/>
      <c r="E13" s="2639"/>
      <c r="F13" s="2639"/>
      <c r="G13" s="2639"/>
      <c r="H13" s="2639"/>
      <c r="I13" s="2639"/>
      <c r="J13" s="2636"/>
      <c r="K13" s="2636"/>
      <c r="L13" s="2636"/>
      <c r="M13" s="2636"/>
      <c r="N13" s="2636"/>
      <c r="O13" s="2636"/>
      <c r="P13" s="2636"/>
      <c r="Q13" s="2636"/>
      <c r="R13" s="2636"/>
      <c r="S13" s="2636"/>
      <c r="T13" s="2636"/>
      <c r="U13" s="2636"/>
      <c r="V13" s="2636"/>
      <c r="W13" s="2636"/>
      <c r="X13" s="2636"/>
      <c r="Y13" s="2636"/>
      <c r="Z13" s="2636"/>
      <c r="AA13" s="2636"/>
      <c r="AB13" s="2636"/>
      <c r="AC13" s="2636"/>
      <c r="AD13" s="1859"/>
      <c r="AE13" s="1859"/>
      <c r="AF13" s="2653"/>
      <c r="AG13" s="2653"/>
      <c r="AH13" s="2653"/>
      <c r="AI13" s="2653"/>
      <c r="AJ13" s="2653"/>
      <c r="AK13" s="2657"/>
      <c r="AL13" s="2657"/>
      <c r="AM13" s="2657"/>
      <c r="AN13" s="2657"/>
      <c r="AO13" s="2657"/>
      <c r="AP13" s="2657"/>
      <c r="AQ13" s="2657"/>
      <c r="AR13" s="2657"/>
      <c r="AS13" s="1859"/>
      <c r="AT13" s="1859"/>
      <c r="AU13" s="2639"/>
      <c r="AV13" s="2639"/>
      <c r="AW13" s="2639"/>
      <c r="AX13" s="2639"/>
      <c r="AY13" s="2639"/>
      <c r="AZ13" s="2639"/>
      <c r="BA13" s="2636"/>
      <c r="BB13" s="2636"/>
      <c r="BC13" s="2636"/>
      <c r="BD13" s="2636"/>
      <c r="BE13" s="2636"/>
      <c r="BF13" s="2636"/>
      <c r="BG13" s="2636"/>
      <c r="BH13" s="2636"/>
      <c r="BI13" s="2636"/>
      <c r="BJ13" s="2636"/>
      <c r="BK13" s="2636"/>
      <c r="BL13" s="2636"/>
      <c r="BM13" s="2636"/>
      <c r="BN13" s="2636"/>
      <c r="BO13" s="2636"/>
      <c r="BP13" s="2653"/>
      <c r="BQ13" s="2653"/>
      <c r="BR13" s="2653"/>
      <c r="BS13" s="2653"/>
      <c r="BT13" s="2653"/>
      <c r="BU13" s="2653"/>
      <c r="BV13" s="2636"/>
      <c r="BW13" s="2636"/>
      <c r="BX13" s="2636"/>
      <c r="BY13" s="2636"/>
      <c r="BZ13" s="2636"/>
      <c r="CA13" s="2636"/>
      <c r="CB13" s="2636"/>
      <c r="CC13" s="2636"/>
      <c r="CD13" s="2636"/>
      <c r="CE13" s="2636"/>
      <c r="CF13" s="2636"/>
      <c r="CG13" s="2636"/>
      <c r="CH13" s="759"/>
      <c r="CQ13" s="2730"/>
      <c r="CR13" s="2731"/>
      <c r="CS13" s="2679"/>
      <c r="CT13" s="2679"/>
      <c r="CU13" s="2679"/>
      <c r="CV13" s="2679"/>
      <c r="CW13" s="2679"/>
      <c r="CX13" s="2679"/>
      <c r="CY13" s="2679"/>
      <c r="CZ13" s="2679"/>
      <c r="DA13" s="2679"/>
      <c r="DB13" s="2679"/>
      <c r="DC13" s="2679"/>
      <c r="DD13" s="2679"/>
      <c r="DE13" s="2679"/>
      <c r="DF13" s="2679"/>
      <c r="DG13" s="2679"/>
      <c r="DH13" s="2679"/>
      <c r="DI13" s="2679"/>
      <c r="DJ13" s="2679"/>
      <c r="DK13" s="2679"/>
      <c r="DL13" s="2679"/>
      <c r="DM13" s="2679"/>
    </row>
    <row r="14" spans="1:117" ht="9.6" customHeight="1">
      <c r="A14" s="1"/>
      <c r="B14" s="2638" t="s">
        <v>48</v>
      </c>
      <c r="C14" s="2639"/>
      <c r="D14" s="2639"/>
      <c r="E14" s="2639"/>
      <c r="F14" s="2639"/>
      <c r="G14" s="2639"/>
      <c r="H14" s="2639"/>
      <c r="I14" s="2639"/>
      <c r="J14" s="2647"/>
      <c r="K14" s="2647"/>
      <c r="L14" s="2647"/>
      <c r="M14" s="2647"/>
      <c r="N14" s="2647"/>
      <c r="O14" s="2647"/>
      <c r="P14" s="2647"/>
      <c r="Q14" s="2647"/>
      <c r="R14" s="2647"/>
      <c r="S14" s="2647"/>
      <c r="T14" s="2647"/>
      <c r="U14" s="2647"/>
      <c r="V14" s="2647"/>
      <c r="W14" s="2647"/>
      <c r="X14" s="2647"/>
      <c r="Y14" s="2640" t="s">
        <v>54</v>
      </c>
      <c r="Z14" s="2640"/>
      <c r="AA14" s="2640"/>
      <c r="AB14" s="2640"/>
      <c r="AC14" s="2308"/>
      <c r="AD14" s="2308"/>
      <c r="AE14" s="2308"/>
      <c r="AF14" s="2308"/>
      <c r="AG14" s="2308"/>
      <c r="AH14" s="2308"/>
      <c r="AI14" s="2308"/>
      <c r="AJ14" s="2308"/>
      <c r="AK14" s="2308"/>
      <c r="AL14" s="2308"/>
      <c r="AM14" s="2308"/>
      <c r="AN14" s="2321" t="s">
        <v>53</v>
      </c>
      <c r="AO14" s="2321"/>
      <c r="AP14" s="2321"/>
      <c r="AQ14" s="2321"/>
      <c r="AR14" s="2632"/>
      <c r="AS14" s="2632"/>
      <c r="AT14" s="2632"/>
      <c r="AU14" s="2632"/>
      <c r="AV14" s="2632"/>
      <c r="AW14" s="2632"/>
      <c r="AX14" s="2632"/>
      <c r="AY14" s="2632"/>
      <c r="AZ14" s="2321" t="s">
        <v>52</v>
      </c>
      <c r="BA14" s="2321"/>
      <c r="BB14" s="2321"/>
      <c r="BC14" s="2321"/>
      <c r="BD14" s="2321"/>
      <c r="BE14" s="2321"/>
      <c r="BF14" s="2321"/>
      <c r="BG14" s="2321"/>
      <c r="BH14" s="2308"/>
      <c r="BI14" s="2308"/>
      <c r="BJ14" s="2308"/>
      <c r="BK14" s="2308"/>
      <c r="BL14" s="2308"/>
      <c r="BM14" s="2308"/>
      <c r="BN14" s="2308"/>
      <c r="BO14" s="2308"/>
      <c r="BP14" s="2308"/>
      <c r="BQ14" s="2308"/>
      <c r="BR14" s="2308"/>
      <c r="BS14" s="2308"/>
      <c r="BT14" s="2308"/>
      <c r="BU14" s="2308"/>
      <c r="BV14" s="2640" t="s">
        <v>53</v>
      </c>
      <c r="BW14" s="2640"/>
      <c r="BX14" s="2640"/>
      <c r="BY14" s="2640"/>
      <c r="BZ14" s="2632"/>
      <c r="CA14" s="2632"/>
      <c r="CB14" s="2632"/>
      <c r="CC14" s="2632"/>
      <c r="CD14" s="2632"/>
      <c r="CE14" s="2632"/>
      <c r="CF14" s="2632"/>
      <c r="CG14" s="2632"/>
      <c r="CH14" s="2634"/>
      <c r="CS14" s="2679"/>
      <c r="CT14" s="2679"/>
      <c r="CU14" s="2679"/>
      <c r="CV14" s="2679"/>
      <c r="CW14" s="2679"/>
      <c r="CX14" s="2679"/>
      <c r="CY14" s="2679"/>
      <c r="CZ14" s="2679"/>
      <c r="DA14" s="2679"/>
      <c r="DB14" s="2679"/>
      <c r="DC14" s="2679"/>
      <c r="DD14" s="2679"/>
      <c r="DE14" s="2679"/>
      <c r="DF14" s="2679"/>
      <c r="DG14" s="2679"/>
      <c r="DH14" s="2679"/>
      <c r="DI14" s="2679"/>
      <c r="DJ14" s="2679"/>
      <c r="DK14" s="2679"/>
      <c r="DL14" s="2679"/>
      <c r="DM14" s="2679"/>
    </row>
    <row r="15" spans="1:117" ht="9.6" customHeight="1">
      <c r="A15" s="1"/>
      <c r="B15" s="2638"/>
      <c r="C15" s="2639"/>
      <c r="D15" s="2639"/>
      <c r="E15" s="2639"/>
      <c r="F15" s="2639"/>
      <c r="G15" s="2639"/>
      <c r="H15" s="2639"/>
      <c r="I15" s="2639"/>
      <c r="J15" s="2648"/>
      <c r="K15" s="2648"/>
      <c r="L15" s="2648"/>
      <c r="M15" s="2648"/>
      <c r="N15" s="2648"/>
      <c r="O15" s="2648"/>
      <c r="P15" s="2648"/>
      <c r="Q15" s="2648"/>
      <c r="R15" s="2648"/>
      <c r="S15" s="2648"/>
      <c r="T15" s="2648"/>
      <c r="U15" s="2648"/>
      <c r="V15" s="2648"/>
      <c r="W15" s="2648"/>
      <c r="X15" s="2648"/>
      <c r="Y15" s="2321"/>
      <c r="Z15" s="2321"/>
      <c r="AA15" s="2321"/>
      <c r="AB15" s="2321"/>
      <c r="AC15" s="2308"/>
      <c r="AD15" s="2308"/>
      <c r="AE15" s="2308"/>
      <c r="AF15" s="2308"/>
      <c r="AG15" s="2308"/>
      <c r="AH15" s="2308"/>
      <c r="AI15" s="2308"/>
      <c r="AJ15" s="2308"/>
      <c r="AK15" s="2308"/>
      <c r="AL15" s="2308"/>
      <c r="AM15" s="2308"/>
      <c r="AN15" s="2321"/>
      <c r="AO15" s="2321"/>
      <c r="AP15" s="2321"/>
      <c r="AQ15" s="2321"/>
      <c r="AR15" s="2632"/>
      <c r="AS15" s="2632"/>
      <c r="AT15" s="2632"/>
      <c r="AU15" s="2632"/>
      <c r="AV15" s="2632"/>
      <c r="AW15" s="2632"/>
      <c r="AX15" s="2632"/>
      <c r="AY15" s="2632"/>
      <c r="AZ15" s="2321"/>
      <c r="BA15" s="2321"/>
      <c r="BB15" s="2321"/>
      <c r="BC15" s="2321"/>
      <c r="BD15" s="2321"/>
      <c r="BE15" s="2321"/>
      <c r="BF15" s="2321"/>
      <c r="BG15" s="2321"/>
      <c r="BH15" s="2308"/>
      <c r="BI15" s="2308"/>
      <c r="BJ15" s="2308"/>
      <c r="BK15" s="2308"/>
      <c r="BL15" s="2308"/>
      <c r="BM15" s="2308"/>
      <c r="BN15" s="2308"/>
      <c r="BO15" s="2308"/>
      <c r="BP15" s="2308"/>
      <c r="BQ15" s="2308"/>
      <c r="BR15" s="2308"/>
      <c r="BS15" s="2308"/>
      <c r="BT15" s="2308"/>
      <c r="BU15" s="2308"/>
      <c r="BV15" s="2321"/>
      <c r="BW15" s="2321"/>
      <c r="BX15" s="2321"/>
      <c r="BY15" s="2321"/>
      <c r="BZ15" s="2632"/>
      <c r="CA15" s="2632"/>
      <c r="CB15" s="2632"/>
      <c r="CC15" s="2632"/>
      <c r="CD15" s="2632"/>
      <c r="CE15" s="2632"/>
      <c r="CF15" s="2632"/>
      <c r="CG15" s="2632"/>
      <c r="CH15" s="2634"/>
    </row>
    <row r="16" spans="1:117" ht="9.6" customHeight="1">
      <c r="A16" s="1"/>
      <c r="B16" s="2638"/>
      <c r="C16" s="2639"/>
      <c r="D16" s="2639"/>
      <c r="E16" s="2639"/>
      <c r="F16" s="2639"/>
      <c r="G16" s="2639"/>
      <c r="H16" s="2639"/>
      <c r="I16" s="2639"/>
      <c r="J16" s="2649"/>
      <c r="K16" s="2649"/>
      <c r="L16" s="2649"/>
      <c r="M16" s="2649"/>
      <c r="N16" s="2649"/>
      <c r="O16" s="2649"/>
      <c r="P16" s="2649"/>
      <c r="Q16" s="2649"/>
      <c r="R16" s="2649"/>
      <c r="S16" s="2649"/>
      <c r="T16" s="2649"/>
      <c r="U16" s="2649"/>
      <c r="V16" s="2649"/>
      <c r="W16" s="2649"/>
      <c r="X16" s="2649"/>
      <c r="Y16" s="2321"/>
      <c r="Z16" s="2321"/>
      <c r="AA16" s="2321"/>
      <c r="AB16" s="2321"/>
      <c r="AC16" s="2309"/>
      <c r="AD16" s="2309"/>
      <c r="AE16" s="2309"/>
      <c r="AF16" s="2309"/>
      <c r="AG16" s="2309"/>
      <c r="AH16" s="2309"/>
      <c r="AI16" s="2309"/>
      <c r="AJ16" s="2309"/>
      <c r="AK16" s="2309"/>
      <c r="AL16" s="2309"/>
      <c r="AM16" s="2309"/>
      <c r="AN16" s="2321"/>
      <c r="AO16" s="2321"/>
      <c r="AP16" s="2321"/>
      <c r="AQ16" s="2321"/>
      <c r="AR16" s="2633"/>
      <c r="AS16" s="2633"/>
      <c r="AT16" s="2633"/>
      <c r="AU16" s="2633"/>
      <c r="AV16" s="2633"/>
      <c r="AW16" s="2633"/>
      <c r="AX16" s="2633"/>
      <c r="AY16" s="2633"/>
      <c r="AZ16" s="2321"/>
      <c r="BA16" s="2321"/>
      <c r="BB16" s="2321"/>
      <c r="BC16" s="2321"/>
      <c r="BD16" s="2321"/>
      <c r="BE16" s="2321"/>
      <c r="BF16" s="2321"/>
      <c r="BG16" s="2321"/>
      <c r="BH16" s="2309"/>
      <c r="BI16" s="2309"/>
      <c r="BJ16" s="2309"/>
      <c r="BK16" s="2309"/>
      <c r="BL16" s="2309"/>
      <c r="BM16" s="2309"/>
      <c r="BN16" s="2309"/>
      <c r="BO16" s="2309"/>
      <c r="BP16" s="2309"/>
      <c r="BQ16" s="2309"/>
      <c r="BR16" s="2309"/>
      <c r="BS16" s="2309"/>
      <c r="BT16" s="2309"/>
      <c r="BU16" s="2309"/>
      <c r="BV16" s="2321"/>
      <c r="BW16" s="2321"/>
      <c r="BX16" s="2321"/>
      <c r="BY16" s="2321"/>
      <c r="BZ16" s="2633"/>
      <c r="CA16" s="2633"/>
      <c r="CB16" s="2633"/>
      <c r="CC16" s="2633"/>
      <c r="CD16" s="2633"/>
      <c r="CE16" s="2633"/>
      <c r="CF16" s="2633"/>
      <c r="CG16" s="2633"/>
      <c r="CH16" s="2634"/>
      <c r="CS16" s="2732" t="s">
        <v>218</v>
      </c>
      <c r="CT16" s="2732"/>
      <c r="CU16" s="2732"/>
      <c r="CV16" s="2732"/>
      <c r="CW16" s="2732"/>
      <c r="CX16" s="2732"/>
      <c r="CY16" s="2732"/>
      <c r="CZ16" s="2732"/>
      <c r="DA16" s="2732"/>
      <c r="DB16" s="2732"/>
      <c r="DC16" s="2732"/>
      <c r="DD16" s="2732"/>
      <c r="DE16" s="2732"/>
      <c r="DF16" s="2732"/>
      <c r="DG16" s="2732"/>
      <c r="DH16" s="2732"/>
      <c r="DI16" s="2732"/>
      <c r="DJ16" s="2732"/>
      <c r="DK16" s="2732"/>
      <c r="DL16" s="2732"/>
      <c r="DM16" s="2732"/>
    </row>
    <row r="17" spans="1:129" ht="9.6" customHeight="1">
      <c r="A17" s="1"/>
      <c r="B17" s="2638" t="s">
        <v>47</v>
      </c>
      <c r="C17" s="2639"/>
      <c r="D17" s="2639"/>
      <c r="E17" s="2639"/>
      <c r="F17" s="2639"/>
      <c r="G17" s="2639"/>
      <c r="H17" s="2639"/>
      <c r="I17" s="2639"/>
      <c r="J17" s="2635" t="str">
        <f>IF('DS Log Pg 1'!D9="","",'DS Log Pg 1'!D9)</f>
        <v/>
      </c>
      <c r="K17" s="2635"/>
      <c r="L17" s="2635"/>
      <c r="M17" s="2635"/>
      <c r="N17" s="2635"/>
      <c r="O17" s="2635"/>
      <c r="P17" s="2635"/>
      <c r="Q17" s="2635"/>
      <c r="R17" s="2635"/>
      <c r="S17" s="2635"/>
      <c r="T17" s="2635"/>
      <c r="U17" s="2635"/>
      <c r="V17" s="2635"/>
      <c r="W17" s="2635"/>
      <c r="X17" s="2635"/>
      <c r="Y17" s="2635"/>
      <c r="Z17" s="2635"/>
      <c r="AA17" s="2635"/>
      <c r="AB17" s="2635"/>
      <c r="AC17" s="2635"/>
      <c r="AD17" s="2637" t="s">
        <v>3</v>
      </c>
      <c r="AE17" s="2637"/>
      <c r="AF17" s="2637"/>
      <c r="AG17" s="2637"/>
      <c r="AH17" s="2641"/>
      <c r="AI17" s="2641"/>
      <c r="AJ17" s="2641"/>
      <c r="AK17" s="2641"/>
      <c r="AL17" s="2641"/>
      <c r="AM17" s="2641"/>
      <c r="AN17" s="2641"/>
      <c r="AO17" s="2641"/>
      <c r="AP17" s="2641"/>
      <c r="AQ17" s="2641"/>
      <c r="AR17" s="2641"/>
      <c r="AS17" s="2641"/>
      <c r="AT17" s="2641"/>
      <c r="AU17" s="2641"/>
      <c r="AV17" s="2641"/>
      <c r="AW17" s="2641"/>
      <c r="AX17" s="2641"/>
      <c r="AY17" s="2641"/>
      <c r="AZ17" s="2641"/>
      <c r="BA17" s="2641"/>
      <c r="BB17" s="2641"/>
      <c r="BC17" s="2641"/>
      <c r="BD17" s="2641"/>
      <c r="BE17" s="2641"/>
      <c r="BF17" s="2641"/>
      <c r="BG17" s="2641"/>
      <c r="BH17" s="2641"/>
      <c r="BI17" s="2641"/>
      <c r="BJ17" s="2641"/>
      <c r="BK17" s="2641"/>
      <c r="BL17" s="2641"/>
      <c r="BM17" s="2641"/>
      <c r="BN17" s="2641"/>
      <c r="BO17" s="2641"/>
      <c r="BP17" s="2641"/>
      <c r="BQ17" s="2641"/>
      <c r="BR17" s="2641"/>
      <c r="BS17" s="2641"/>
      <c r="BT17" s="2641"/>
      <c r="BU17" s="2641"/>
      <c r="BV17" s="2641"/>
      <c r="BW17" s="2641"/>
      <c r="BX17" s="2641"/>
      <c r="BY17" s="2641"/>
      <c r="BZ17" s="2641"/>
      <c r="CA17" s="2641"/>
      <c r="CB17" s="2641"/>
      <c r="CC17" s="2641"/>
      <c r="CD17" s="2641"/>
      <c r="CE17" s="2641"/>
      <c r="CF17" s="2641"/>
      <c r="CG17" s="2641"/>
      <c r="CH17" s="2646"/>
      <c r="CQ17" s="2238"/>
      <c r="CR17" s="2240"/>
      <c r="CS17" s="2732"/>
      <c r="CT17" s="2732"/>
      <c r="CU17" s="2732"/>
      <c r="CV17" s="2732"/>
      <c r="CW17" s="2732"/>
      <c r="CX17" s="2732"/>
      <c r="CY17" s="2732"/>
      <c r="CZ17" s="2732"/>
      <c r="DA17" s="2732"/>
      <c r="DB17" s="2732"/>
      <c r="DC17" s="2732"/>
      <c r="DD17" s="2732"/>
      <c r="DE17" s="2732"/>
      <c r="DF17" s="2732"/>
      <c r="DG17" s="2732"/>
      <c r="DH17" s="2732"/>
      <c r="DI17" s="2732"/>
      <c r="DJ17" s="2732"/>
      <c r="DK17" s="2732"/>
      <c r="DL17" s="2732"/>
      <c r="DM17" s="2732"/>
    </row>
    <row r="18" spans="1:129" ht="9.6" customHeight="1">
      <c r="A18" s="1"/>
      <c r="B18" s="2638"/>
      <c r="C18" s="2639"/>
      <c r="D18" s="2639"/>
      <c r="E18" s="2639"/>
      <c r="F18" s="2639"/>
      <c r="G18" s="2639"/>
      <c r="H18" s="2639"/>
      <c r="I18" s="2639"/>
      <c r="J18" s="2635"/>
      <c r="K18" s="2635"/>
      <c r="L18" s="2635"/>
      <c r="M18" s="2635"/>
      <c r="N18" s="2635"/>
      <c r="O18" s="2635"/>
      <c r="P18" s="2635"/>
      <c r="Q18" s="2635"/>
      <c r="R18" s="2635"/>
      <c r="S18" s="2635"/>
      <c r="T18" s="2635"/>
      <c r="U18" s="2635"/>
      <c r="V18" s="2635"/>
      <c r="W18" s="2635"/>
      <c r="X18" s="2635"/>
      <c r="Y18" s="2635"/>
      <c r="Z18" s="2635"/>
      <c r="AA18" s="2635"/>
      <c r="AB18" s="2635"/>
      <c r="AC18" s="2635"/>
      <c r="AD18" s="2637"/>
      <c r="AE18" s="2637"/>
      <c r="AF18" s="2637"/>
      <c r="AG18" s="2637"/>
      <c r="AH18" s="2641"/>
      <c r="AI18" s="2641"/>
      <c r="AJ18" s="2641"/>
      <c r="AK18" s="2641"/>
      <c r="AL18" s="2641"/>
      <c r="AM18" s="2641"/>
      <c r="AN18" s="2641"/>
      <c r="AO18" s="2641"/>
      <c r="AP18" s="2641"/>
      <c r="AQ18" s="2641"/>
      <c r="AR18" s="2641"/>
      <c r="AS18" s="2641"/>
      <c r="AT18" s="2641"/>
      <c r="AU18" s="2641"/>
      <c r="AV18" s="2641"/>
      <c r="AW18" s="2641"/>
      <c r="AX18" s="2641"/>
      <c r="AY18" s="2641"/>
      <c r="AZ18" s="2641"/>
      <c r="BA18" s="2641"/>
      <c r="BB18" s="2641"/>
      <c r="BC18" s="2641"/>
      <c r="BD18" s="2641"/>
      <c r="BE18" s="2641"/>
      <c r="BF18" s="2641"/>
      <c r="BG18" s="2641"/>
      <c r="BH18" s="2641"/>
      <c r="BI18" s="2641"/>
      <c r="BJ18" s="2641"/>
      <c r="BK18" s="2641"/>
      <c r="BL18" s="2641"/>
      <c r="BM18" s="2641"/>
      <c r="BN18" s="2641"/>
      <c r="BO18" s="2641"/>
      <c r="BP18" s="2641"/>
      <c r="BQ18" s="2641"/>
      <c r="BR18" s="2641"/>
      <c r="BS18" s="2641"/>
      <c r="BT18" s="2641"/>
      <c r="BU18" s="2641"/>
      <c r="BV18" s="2641"/>
      <c r="BW18" s="2641"/>
      <c r="BX18" s="2641"/>
      <c r="BY18" s="2641"/>
      <c r="BZ18" s="2641"/>
      <c r="CA18" s="2641"/>
      <c r="CB18" s="2641"/>
      <c r="CC18" s="2641"/>
      <c r="CD18" s="2641"/>
      <c r="CE18" s="2641"/>
      <c r="CF18" s="2641"/>
      <c r="CG18" s="2641"/>
      <c r="CH18" s="2646"/>
      <c r="CQ18" s="2241"/>
      <c r="CR18" s="2243"/>
      <c r="CS18" s="2732"/>
      <c r="CT18" s="2732"/>
      <c r="CU18" s="2732"/>
      <c r="CV18" s="2732"/>
      <c r="CW18" s="2732"/>
      <c r="CX18" s="2732"/>
      <c r="CY18" s="2732"/>
      <c r="CZ18" s="2732"/>
      <c r="DA18" s="2732"/>
      <c r="DB18" s="2732"/>
      <c r="DC18" s="2732"/>
      <c r="DD18" s="2732"/>
      <c r="DE18" s="2732"/>
      <c r="DF18" s="2732"/>
      <c r="DG18" s="2732"/>
      <c r="DH18" s="2732"/>
      <c r="DI18" s="2732"/>
      <c r="DJ18" s="2732"/>
      <c r="DK18" s="2732"/>
      <c r="DL18" s="2732"/>
      <c r="DM18" s="2732"/>
    </row>
    <row r="19" spans="1:129" ht="9.6" customHeight="1">
      <c r="A19" s="1"/>
      <c r="B19" s="2638"/>
      <c r="C19" s="2639"/>
      <c r="D19" s="2639"/>
      <c r="E19" s="2639"/>
      <c r="F19" s="2639"/>
      <c r="G19" s="2639"/>
      <c r="H19" s="2639"/>
      <c r="I19" s="2639"/>
      <c r="J19" s="2636"/>
      <c r="K19" s="2636"/>
      <c r="L19" s="2636"/>
      <c r="M19" s="2636"/>
      <c r="N19" s="2636"/>
      <c r="O19" s="2636"/>
      <c r="P19" s="2636"/>
      <c r="Q19" s="2636"/>
      <c r="R19" s="2636"/>
      <c r="S19" s="2636"/>
      <c r="T19" s="2636"/>
      <c r="U19" s="2636"/>
      <c r="V19" s="2636"/>
      <c r="W19" s="2636"/>
      <c r="X19" s="2636"/>
      <c r="Y19" s="2636"/>
      <c r="Z19" s="2636"/>
      <c r="AA19" s="2636"/>
      <c r="AB19" s="2636"/>
      <c r="AC19" s="2636"/>
      <c r="AD19" s="2637"/>
      <c r="AE19" s="2637"/>
      <c r="AF19" s="2637"/>
      <c r="AG19" s="2637"/>
      <c r="AH19" s="2642"/>
      <c r="AI19" s="2642"/>
      <c r="AJ19" s="2642"/>
      <c r="AK19" s="2642"/>
      <c r="AL19" s="2642"/>
      <c r="AM19" s="2642"/>
      <c r="AN19" s="2642"/>
      <c r="AO19" s="2642"/>
      <c r="AP19" s="2642"/>
      <c r="AQ19" s="2642"/>
      <c r="AR19" s="2642"/>
      <c r="AS19" s="2642"/>
      <c r="AT19" s="2642"/>
      <c r="AU19" s="2642"/>
      <c r="AV19" s="2642"/>
      <c r="AW19" s="2642"/>
      <c r="AX19" s="2642"/>
      <c r="AY19" s="2642"/>
      <c r="AZ19" s="2642"/>
      <c r="BA19" s="2642"/>
      <c r="BB19" s="2642"/>
      <c r="BC19" s="2642"/>
      <c r="BD19" s="2642"/>
      <c r="BE19" s="2642"/>
      <c r="BF19" s="2642"/>
      <c r="BG19" s="2642"/>
      <c r="BH19" s="2642"/>
      <c r="BI19" s="2642"/>
      <c r="BJ19" s="2642"/>
      <c r="BK19" s="2642"/>
      <c r="BL19" s="2642"/>
      <c r="BM19" s="2642"/>
      <c r="BN19" s="2642"/>
      <c r="BO19" s="2642"/>
      <c r="BP19" s="2642"/>
      <c r="BQ19" s="2642"/>
      <c r="BR19" s="2642"/>
      <c r="BS19" s="2642"/>
      <c r="BT19" s="2642"/>
      <c r="BU19" s="2642"/>
      <c r="BV19" s="2642"/>
      <c r="BW19" s="2642"/>
      <c r="BX19" s="2642"/>
      <c r="BY19" s="2642"/>
      <c r="BZ19" s="2642"/>
      <c r="CA19" s="2642"/>
      <c r="CB19" s="2642"/>
      <c r="CC19" s="2642"/>
      <c r="CD19" s="2642"/>
      <c r="CE19" s="2642"/>
      <c r="CF19" s="2642"/>
      <c r="CG19" s="2642"/>
      <c r="CH19" s="2646"/>
      <c r="CQ19" s="2241"/>
      <c r="CR19" s="2243"/>
      <c r="CS19" s="2732"/>
      <c r="CT19" s="2732"/>
      <c r="CU19" s="2732"/>
      <c r="CV19" s="2732"/>
      <c r="CW19" s="2732"/>
      <c r="CX19" s="2732"/>
      <c r="CY19" s="2732"/>
      <c r="CZ19" s="2732"/>
      <c r="DA19" s="2732"/>
      <c r="DB19" s="2732"/>
      <c r="DC19" s="2732"/>
      <c r="DD19" s="2732"/>
      <c r="DE19" s="2732"/>
      <c r="DF19" s="2732"/>
      <c r="DG19" s="2732"/>
      <c r="DH19" s="2732"/>
      <c r="DI19" s="2732"/>
      <c r="DJ19" s="2732"/>
      <c r="DK19" s="2732"/>
      <c r="DL19" s="2732"/>
      <c r="DM19" s="2732"/>
    </row>
    <row r="20" spans="1:129" ht="8.4" customHeight="1" thickBot="1">
      <c r="A20" s="1"/>
      <c r="B20" s="2650"/>
      <c r="C20" s="2651"/>
      <c r="D20" s="2651"/>
      <c r="E20" s="2651"/>
      <c r="F20" s="2651"/>
      <c r="G20" s="2651"/>
      <c r="H20" s="2651"/>
      <c r="I20" s="2651"/>
      <c r="J20" s="2651"/>
      <c r="K20" s="2651"/>
      <c r="L20" s="2651"/>
      <c r="M20" s="2651"/>
      <c r="N20" s="2651"/>
      <c r="O20" s="2651"/>
      <c r="P20" s="2651"/>
      <c r="Q20" s="2651"/>
      <c r="R20" s="2651"/>
      <c r="S20" s="2651"/>
      <c r="T20" s="2651"/>
      <c r="U20" s="2651"/>
      <c r="V20" s="2651"/>
      <c r="W20" s="2651"/>
      <c r="X20" s="2651"/>
      <c r="Y20" s="2651"/>
      <c r="Z20" s="2651"/>
      <c r="AA20" s="2651"/>
      <c r="AB20" s="2651"/>
      <c r="AC20" s="2651"/>
      <c r="AD20" s="2651"/>
      <c r="AE20" s="2651"/>
      <c r="AF20" s="2651"/>
      <c r="AG20" s="2651"/>
      <c r="AH20" s="2651"/>
      <c r="AI20" s="2651"/>
      <c r="AJ20" s="2651"/>
      <c r="AK20" s="2651"/>
      <c r="AL20" s="2651"/>
      <c r="AM20" s="2651"/>
      <c r="AN20" s="2651"/>
      <c r="AO20" s="2651"/>
      <c r="AP20" s="2651"/>
      <c r="AQ20" s="2651"/>
      <c r="AR20" s="2651"/>
      <c r="AS20" s="2651"/>
      <c r="AT20" s="2651"/>
      <c r="AU20" s="2651"/>
      <c r="AV20" s="2651"/>
      <c r="AW20" s="2651"/>
      <c r="AX20" s="2651"/>
      <c r="AY20" s="2651"/>
      <c r="AZ20" s="2651"/>
      <c r="BA20" s="2651"/>
      <c r="BB20" s="2651"/>
      <c r="BC20" s="2651"/>
      <c r="BD20" s="2651"/>
      <c r="BE20" s="2651"/>
      <c r="BF20" s="2651"/>
      <c r="BG20" s="2651"/>
      <c r="BH20" s="2651"/>
      <c r="BI20" s="2651"/>
      <c r="BJ20" s="2651"/>
      <c r="BK20" s="2651"/>
      <c r="BL20" s="2651"/>
      <c r="BM20" s="2651"/>
      <c r="BN20" s="2651"/>
      <c r="BO20" s="2651"/>
      <c r="BP20" s="2651"/>
      <c r="BQ20" s="2651"/>
      <c r="BR20" s="2651"/>
      <c r="BS20" s="2651"/>
      <c r="BT20" s="2651"/>
      <c r="BU20" s="2651"/>
      <c r="BV20" s="2651"/>
      <c r="BW20" s="2651"/>
      <c r="BX20" s="2651"/>
      <c r="BY20" s="2651"/>
      <c r="BZ20" s="2651"/>
      <c r="CA20" s="2651"/>
      <c r="CB20" s="2651"/>
      <c r="CC20" s="2651"/>
      <c r="CD20" s="2651"/>
      <c r="CE20" s="2651"/>
      <c r="CF20" s="2651"/>
      <c r="CG20" s="2651"/>
      <c r="CH20" s="2652"/>
      <c r="CQ20" s="2244"/>
      <c r="CR20" s="2246"/>
      <c r="CS20" s="2732"/>
      <c r="CT20" s="2732"/>
      <c r="CU20" s="2732"/>
      <c r="CV20" s="2732"/>
      <c r="CW20" s="2732"/>
      <c r="CX20" s="2732"/>
      <c r="CY20" s="2732"/>
      <c r="CZ20" s="2732"/>
      <c r="DA20" s="2732"/>
      <c r="DB20" s="2732"/>
      <c r="DC20" s="2732"/>
      <c r="DD20" s="2732"/>
      <c r="DE20" s="2732"/>
      <c r="DF20" s="2732"/>
      <c r="DG20" s="2732"/>
      <c r="DH20" s="2732"/>
      <c r="DI20" s="2732"/>
      <c r="DJ20" s="2732"/>
      <c r="DK20" s="2732"/>
      <c r="DL20" s="2732"/>
      <c r="DM20" s="2732"/>
    </row>
    <row r="21" spans="1:129" ht="8.4" customHeight="1">
      <c r="A21" s="1"/>
      <c r="B21" s="2643"/>
      <c r="C21" s="2644"/>
      <c r="D21" s="2644"/>
      <c r="E21" s="2644"/>
      <c r="F21" s="2644"/>
      <c r="G21" s="2644"/>
      <c r="H21" s="2644"/>
      <c r="I21" s="2644"/>
      <c r="J21" s="2644"/>
      <c r="K21" s="2644"/>
      <c r="L21" s="2644"/>
      <c r="M21" s="2644"/>
      <c r="N21" s="2644"/>
      <c r="O21" s="2644"/>
      <c r="P21" s="2644"/>
      <c r="Q21" s="2644"/>
      <c r="R21" s="2644"/>
      <c r="S21" s="2644"/>
      <c r="T21" s="2644"/>
      <c r="U21" s="2644"/>
      <c r="V21" s="2644"/>
      <c r="W21" s="2644"/>
      <c r="X21" s="2644"/>
      <c r="Y21" s="2644"/>
      <c r="Z21" s="2644"/>
      <c r="AA21" s="2644"/>
      <c r="AB21" s="2644"/>
      <c r="AC21" s="2644"/>
      <c r="AD21" s="2644"/>
      <c r="AE21" s="2644"/>
      <c r="AF21" s="2644"/>
      <c r="AG21" s="2644"/>
      <c r="AH21" s="2644"/>
      <c r="AI21" s="2644"/>
      <c r="AJ21" s="2644"/>
      <c r="AK21" s="2644"/>
      <c r="AL21" s="2644"/>
      <c r="AM21" s="2644"/>
      <c r="AN21" s="2644"/>
      <c r="AO21" s="2644"/>
      <c r="AP21" s="2644"/>
      <c r="AQ21" s="2644"/>
      <c r="AR21" s="2644"/>
      <c r="AS21" s="2644"/>
      <c r="AT21" s="2644"/>
      <c r="AU21" s="2644"/>
      <c r="AV21" s="2644"/>
      <c r="AW21" s="2644"/>
      <c r="AX21" s="2644"/>
      <c r="AY21" s="2644"/>
      <c r="AZ21" s="2644"/>
      <c r="BA21" s="2644"/>
      <c r="BB21" s="2644"/>
      <c r="BC21" s="2644"/>
      <c r="BD21" s="2644"/>
      <c r="BE21" s="2644"/>
      <c r="BF21" s="2644"/>
      <c r="BG21" s="2644"/>
      <c r="BH21" s="2644"/>
      <c r="BI21" s="2644"/>
      <c r="BJ21" s="2644"/>
      <c r="BK21" s="2644"/>
      <c r="BL21" s="2644"/>
      <c r="BM21" s="2644"/>
      <c r="BN21" s="2644"/>
      <c r="BO21" s="2644"/>
      <c r="BP21" s="2644"/>
      <c r="BQ21" s="2644"/>
      <c r="BR21" s="2644"/>
      <c r="BS21" s="2644"/>
      <c r="BT21" s="2644"/>
      <c r="BU21" s="2644"/>
      <c r="BV21" s="2644"/>
      <c r="BW21" s="2644"/>
      <c r="BX21" s="2644"/>
      <c r="BY21" s="2644"/>
      <c r="BZ21" s="2644"/>
      <c r="CA21" s="2644"/>
      <c r="CB21" s="2644"/>
      <c r="CC21" s="2644"/>
      <c r="CD21" s="2644"/>
      <c r="CE21" s="2644"/>
      <c r="CF21" s="2644"/>
      <c r="CG21" s="2644"/>
      <c r="CH21" s="2645"/>
      <c r="CS21" s="2732"/>
      <c r="CT21" s="2732"/>
      <c r="CU21" s="2732"/>
      <c r="CV21" s="2732"/>
      <c r="CW21" s="2732"/>
      <c r="CX21" s="2732"/>
      <c r="CY21" s="2732"/>
      <c r="CZ21" s="2732"/>
      <c r="DA21" s="2732"/>
      <c r="DB21" s="2732"/>
      <c r="DC21" s="2732"/>
      <c r="DD21" s="2732"/>
      <c r="DE21" s="2732"/>
      <c r="DF21" s="2732"/>
      <c r="DG21" s="2732"/>
      <c r="DH21" s="2732"/>
      <c r="DI21" s="2732"/>
      <c r="DJ21" s="2732"/>
      <c r="DK21" s="2732"/>
      <c r="DL21" s="2732"/>
      <c r="DM21" s="2732"/>
    </row>
    <row r="22" spans="1:129" ht="9.6" customHeight="1">
      <c r="A22" s="1"/>
      <c r="B22" s="2471" t="s">
        <v>51</v>
      </c>
      <c r="C22" s="2340"/>
      <c r="D22" s="2340"/>
      <c r="E22" s="2340"/>
      <c r="F22" s="2340"/>
      <c r="G22" s="2340"/>
      <c r="H22" s="2340"/>
      <c r="I22" s="2340"/>
      <c r="J22" s="2340"/>
      <c r="K22" s="2340"/>
      <c r="L22" s="2340"/>
      <c r="M22" s="2321" t="s">
        <v>118</v>
      </c>
      <c r="N22" s="2321"/>
      <c r="O22" s="2321"/>
      <c r="P22" s="2321"/>
      <c r="Q22" s="2310" t="s">
        <v>35</v>
      </c>
      <c r="R22" s="2308"/>
      <c r="S22" s="2308"/>
      <c r="T22" s="2308"/>
      <c r="U22" s="2310" t="s">
        <v>20</v>
      </c>
      <c r="V22" s="2321" t="s">
        <v>119</v>
      </c>
      <c r="W22" s="2321"/>
      <c r="X22" s="2321"/>
      <c r="Y22" s="2321"/>
      <c r="Z22" s="2321"/>
      <c r="AA22" s="2310" t="s">
        <v>35</v>
      </c>
      <c r="AB22" s="2308"/>
      <c r="AC22" s="2308"/>
      <c r="AD22" s="2308"/>
      <c r="AE22" s="2310" t="s">
        <v>20</v>
      </c>
      <c r="AF22" s="2242"/>
      <c r="AG22" s="2340" t="s">
        <v>23</v>
      </c>
      <c r="AH22" s="2340"/>
      <c r="AI22" s="2340"/>
      <c r="AJ22" s="2340"/>
      <c r="AK22" s="2340"/>
      <c r="AL22" s="2340"/>
      <c r="AM22" s="2340"/>
      <c r="AN22" s="2340"/>
      <c r="AO22" s="2340"/>
      <c r="AP22" s="2340"/>
      <c r="AQ22" s="2242"/>
      <c r="AR22" s="2340" t="s">
        <v>6</v>
      </c>
      <c r="AS22" s="2340"/>
      <c r="AT22" s="2340"/>
      <c r="AU22" s="2340"/>
      <c r="AV22" s="2340"/>
      <c r="AW22" s="2242"/>
      <c r="AX22" s="2340" t="s">
        <v>18</v>
      </c>
      <c r="AY22" s="2340"/>
      <c r="AZ22" s="2340"/>
      <c r="BA22" s="2340"/>
      <c r="BB22" s="2340"/>
      <c r="BC22" s="2242"/>
      <c r="BD22" s="2340" t="s">
        <v>19</v>
      </c>
      <c r="BE22" s="2340"/>
      <c r="BF22" s="2340"/>
      <c r="BG22" s="2340"/>
      <c r="BH22" s="2340"/>
      <c r="BI22" s="2340"/>
      <c r="BJ22" s="2340"/>
      <c r="BK22" s="2340"/>
      <c r="BL22" s="2340"/>
      <c r="BM22" s="2242"/>
      <c r="BN22" s="2436" t="s">
        <v>39</v>
      </c>
      <c r="BO22" s="2436"/>
      <c r="BP22" s="2436"/>
      <c r="BQ22" s="2436"/>
      <c r="BR22" s="2436"/>
      <c r="BS22" s="2436"/>
      <c r="BT22" s="2436"/>
      <c r="BU22" s="2436"/>
      <c r="BV22" s="2436"/>
      <c r="BW22" s="2321" t="s">
        <v>17</v>
      </c>
      <c r="BX22" s="2321"/>
      <c r="BY22" s="2321"/>
      <c r="BZ22" s="2321"/>
      <c r="CA22" s="2321"/>
      <c r="CB22" s="2321"/>
      <c r="CC22" s="2321"/>
      <c r="CD22" s="2321"/>
      <c r="CE22" s="2321"/>
      <c r="CF22" s="2321"/>
      <c r="CG22" s="2321"/>
      <c r="CH22" s="2322"/>
      <c r="CS22" s="2732"/>
      <c r="CT22" s="2732"/>
      <c r="CU22" s="2732"/>
      <c r="CV22" s="2732"/>
      <c r="CW22" s="2732"/>
      <c r="CX22" s="2732"/>
      <c r="CY22" s="2732"/>
      <c r="CZ22" s="2732"/>
      <c r="DA22" s="2732"/>
      <c r="DB22" s="2732"/>
      <c r="DC22" s="2732"/>
      <c r="DD22" s="2732"/>
      <c r="DE22" s="2732"/>
      <c r="DF22" s="2732"/>
      <c r="DG22" s="2732"/>
      <c r="DH22" s="2732"/>
      <c r="DI22" s="2732"/>
      <c r="DJ22" s="2732"/>
      <c r="DK22" s="2732"/>
      <c r="DL22" s="2732"/>
      <c r="DM22" s="2732"/>
    </row>
    <row r="23" spans="1:129" ht="9.6" customHeight="1">
      <c r="A23" s="1"/>
      <c r="B23" s="2471"/>
      <c r="C23" s="2340"/>
      <c r="D23" s="2340"/>
      <c r="E23" s="2340"/>
      <c r="F23" s="2340"/>
      <c r="G23" s="2340"/>
      <c r="H23" s="2340"/>
      <c r="I23" s="2340"/>
      <c r="J23" s="2340"/>
      <c r="K23" s="2340"/>
      <c r="L23" s="2340"/>
      <c r="M23" s="2321"/>
      <c r="N23" s="2321"/>
      <c r="O23" s="2321"/>
      <c r="P23" s="2321"/>
      <c r="Q23" s="2310"/>
      <c r="R23" s="2308"/>
      <c r="S23" s="2308"/>
      <c r="T23" s="2308"/>
      <c r="U23" s="2310"/>
      <c r="V23" s="2321"/>
      <c r="W23" s="2321"/>
      <c r="X23" s="2321"/>
      <c r="Y23" s="2321"/>
      <c r="Z23" s="2321"/>
      <c r="AA23" s="2310"/>
      <c r="AB23" s="2308"/>
      <c r="AC23" s="2308"/>
      <c r="AD23" s="2308"/>
      <c r="AE23" s="2310"/>
      <c r="AF23" s="2242"/>
      <c r="AG23" s="2340"/>
      <c r="AH23" s="2340"/>
      <c r="AI23" s="2340"/>
      <c r="AJ23" s="2340"/>
      <c r="AK23" s="2340"/>
      <c r="AL23" s="2340"/>
      <c r="AM23" s="2340"/>
      <c r="AN23" s="2340"/>
      <c r="AO23" s="2340"/>
      <c r="AP23" s="2340"/>
      <c r="AQ23" s="2242"/>
      <c r="AR23" s="2340"/>
      <c r="AS23" s="2340"/>
      <c r="AT23" s="2340"/>
      <c r="AU23" s="2340"/>
      <c r="AV23" s="2340"/>
      <c r="AW23" s="2242"/>
      <c r="AX23" s="2340"/>
      <c r="AY23" s="2340"/>
      <c r="AZ23" s="2340"/>
      <c r="BA23" s="2340"/>
      <c r="BB23" s="2340"/>
      <c r="BC23" s="2242"/>
      <c r="BD23" s="2340"/>
      <c r="BE23" s="2340"/>
      <c r="BF23" s="2340"/>
      <c r="BG23" s="2340"/>
      <c r="BH23" s="2340"/>
      <c r="BI23" s="2340"/>
      <c r="BJ23" s="2340"/>
      <c r="BK23" s="2340"/>
      <c r="BL23" s="2340"/>
      <c r="BM23" s="2242"/>
      <c r="BN23" s="2436"/>
      <c r="BO23" s="2436"/>
      <c r="BP23" s="2436"/>
      <c r="BQ23" s="2436"/>
      <c r="BR23" s="2436"/>
      <c r="BS23" s="2436"/>
      <c r="BT23" s="2436"/>
      <c r="BU23" s="2436"/>
      <c r="BV23" s="2436"/>
      <c r="BW23" s="2321"/>
      <c r="BX23" s="2321"/>
      <c r="BY23" s="2321"/>
      <c r="BZ23" s="2321"/>
      <c r="CA23" s="2321"/>
      <c r="CB23" s="2321"/>
      <c r="CC23" s="2321"/>
      <c r="CD23" s="2321"/>
      <c r="CE23" s="2321"/>
      <c r="CF23" s="2321"/>
      <c r="CG23" s="2321"/>
      <c r="CH23" s="2322"/>
    </row>
    <row r="24" spans="1:129" ht="9.6" customHeight="1">
      <c r="A24" s="1"/>
      <c r="B24" s="2471"/>
      <c r="C24" s="2340"/>
      <c r="D24" s="2340"/>
      <c r="E24" s="2340"/>
      <c r="F24" s="2340"/>
      <c r="G24" s="2340"/>
      <c r="H24" s="2340"/>
      <c r="I24" s="2340"/>
      <c r="J24" s="2340"/>
      <c r="K24" s="2340"/>
      <c r="L24" s="2340"/>
      <c r="M24" s="2321"/>
      <c r="N24" s="2321"/>
      <c r="O24" s="2321"/>
      <c r="P24" s="2321"/>
      <c r="Q24" s="2310"/>
      <c r="R24" s="2309"/>
      <c r="S24" s="2309"/>
      <c r="T24" s="2309"/>
      <c r="U24" s="2310"/>
      <c r="V24" s="2321"/>
      <c r="W24" s="2321"/>
      <c r="X24" s="2321"/>
      <c r="Y24" s="2321"/>
      <c r="Z24" s="2321"/>
      <c r="AA24" s="2310"/>
      <c r="AB24" s="2309"/>
      <c r="AC24" s="2309"/>
      <c r="AD24" s="2309"/>
      <c r="AE24" s="2310"/>
      <c r="AF24" s="2242"/>
      <c r="AG24" s="2340"/>
      <c r="AH24" s="2340"/>
      <c r="AI24" s="2340"/>
      <c r="AJ24" s="2340"/>
      <c r="AK24" s="2340"/>
      <c r="AL24" s="2340"/>
      <c r="AM24" s="2340"/>
      <c r="AN24" s="2340"/>
      <c r="AO24" s="2340"/>
      <c r="AP24" s="2340"/>
      <c r="AQ24" s="2242"/>
      <c r="AR24" s="2340"/>
      <c r="AS24" s="2340"/>
      <c r="AT24" s="2340"/>
      <c r="AU24" s="2340"/>
      <c r="AV24" s="2340"/>
      <c r="AW24" s="2242"/>
      <c r="AX24" s="2340"/>
      <c r="AY24" s="2340"/>
      <c r="AZ24" s="2340"/>
      <c r="BA24" s="2340"/>
      <c r="BB24" s="2340"/>
      <c r="BC24" s="2242"/>
      <c r="BD24" s="2340"/>
      <c r="BE24" s="2340"/>
      <c r="BF24" s="2340"/>
      <c r="BG24" s="2340"/>
      <c r="BH24" s="2340"/>
      <c r="BI24" s="2340"/>
      <c r="BJ24" s="2340"/>
      <c r="BK24" s="2340"/>
      <c r="BL24" s="2340"/>
      <c r="BM24" s="2242"/>
      <c r="BN24" s="2436"/>
      <c r="BO24" s="2436"/>
      <c r="BP24" s="2436"/>
      <c r="BQ24" s="2436"/>
      <c r="BR24" s="2436"/>
      <c r="BS24" s="2436"/>
      <c r="BT24" s="2436"/>
      <c r="BU24" s="2436"/>
      <c r="BV24" s="2436"/>
      <c r="BW24" s="2321"/>
      <c r="BX24" s="2321"/>
      <c r="BY24" s="2321"/>
      <c r="BZ24" s="2321"/>
      <c r="CA24" s="2321"/>
      <c r="CB24" s="2321"/>
      <c r="CC24" s="2321"/>
      <c r="CD24" s="2321"/>
      <c r="CE24" s="2321"/>
      <c r="CF24" s="2321"/>
      <c r="CG24" s="2321"/>
      <c r="CH24" s="2322"/>
    </row>
    <row r="25" spans="1:129" ht="9.6" customHeight="1">
      <c r="A25" s="1"/>
      <c r="B25" s="2830" t="s">
        <v>29</v>
      </c>
      <c r="C25" s="2831"/>
      <c r="D25" s="2630" t="s">
        <v>123</v>
      </c>
      <c r="E25" s="2293"/>
      <c r="F25" s="2293"/>
      <c r="G25" s="2293"/>
      <c r="H25" s="2293"/>
      <c r="I25" s="2293"/>
      <c r="J25" s="2293"/>
      <c r="K25" s="2293"/>
      <c r="L25" s="2217"/>
      <c r="M25" s="2217"/>
      <c r="N25" s="2217"/>
      <c r="O25" s="2217"/>
      <c r="P25" s="2217"/>
      <c r="Q25" s="2631" t="s">
        <v>131</v>
      </c>
      <c r="R25" s="2631"/>
      <c r="S25" s="2595" t="s">
        <v>124</v>
      </c>
      <c r="T25" s="2595"/>
      <c r="U25" s="2595"/>
      <c r="V25" s="2595"/>
      <c r="W25" s="2595"/>
      <c r="X25" s="2595"/>
      <c r="Y25" s="2595"/>
      <c r="Z25" s="2595"/>
      <c r="AA25" s="2595"/>
      <c r="AB25" s="2217"/>
      <c r="AC25" s="2217"/>
      <c r="AD25" s="2217"/>
      <c r="AE25" s="2217"/>
      <c r="AF25" s="2596">
        <v>1</v>
      </c>
      <c r="AG25" s="2308"/>
      <c r="AH25" s="2308"/>
      <c r="AI25" s="2308"/>
      <c r="AJ25" s="2308"/>
      <c r="AK25" s="2308"/>
      <c r="AL25" s="2308"/>
      <c r="AM25" s="2308"/>
      <c r="AN25" s="2308"/>
      <c r="AO25" s="2308"/>
      <c r="AP25" s="2308"/>
      <c r="AQ25" s="2242"/>
      <c r="AR25" s="2308"/>
      <c r="AS25" s="2308"/>
      <c r="AT25" s="2308"/>
      <c r="AU25" s="2308"/>
      <c r="AV25" s="2308"/>
      <c r="AW25" s="2242"/>
      <c r="AX25" s="2217"/>
      <c r="AY25" s="2217"/>
      <c r="AZ25" s="2217"/>
      <c r="BA25" s="2217"/>
      <c r="BB25" s="2217"/>
      <c r="BC25" s="2242"/>
      <c r="BD25" s="2217"/>
      <c r="BE25" s="2217"/>
      <c r="BF25" s="2217"/>
      <c r="BG25" s="2217"/>
      <c r="BH25" s="2217"/>
      <c r="BI25" s="2217"/>
      <c r="BJ25" s="2217"/>
      <c r="BK25" s="2217"/>
      <c r="BL25" s="2217"/>
      <c r="BM25" s="2242"/>
      <c r="BN25" s="2295" t="str">
        <f>IF(AR25*AX25*BD25=0,"",AR25*PI()*AX25*AX25*BD25/(4*27*144))</f>
        <v/>
      </c>
      <c r="BO25" s="2295"/>
      <c r="BP25" s="2295"/>
      <c r="BQ25" s="2295"/>
      <c r="BR25" s="2295"/>
      <c r="BS25" s="2295"/>
      <c r="BT25" s="2295"/>
      <c r="BU25" s="2295"/>
      <c r="BV25" s="2295"/>
      <c r="BW25" s="2595" t="s">
        <v>133</v>
      </c>
      <c r="BX25" s="2595"/>
      <c r="BY25" s="2595"/>
      <c r="BZ25" s="2595"/>
      <c r="CA25" s="2574" t="s">
        <v>130</v>
      </c>
      <c r="CB25" s="2574"/>
      <c r="CC25" s="2217"/>
      <c r="CD25" s="2217"/>
      <c r="CE25" s="2217"/>
      <c r="CF25" s="2217"/>
      <c r="CG25" s="2217"/>
      <c r="CH25" s="2322"/>
    </row>
    <row r="26" spans="1:129" ht="9.6" customHeight="1">
      <c r="A26" s="1"/>
      <c r="B26" s="2832"/>
      <c r="C26" s="2833"/>
      <c r="D26" s="2630"/>
      <c r="E26" s="2293"/>
      <c r="F26" s="2293"/>
      <c r="G26" s="2293"/>
      <c r="H26" s="2293"/>
      <c r="I26" s="2293"/>
      <c r="J26" s="2293"/>
      <c r="K26" s="2293"/>
      <c r="L26" s="2217"/>
      <c r="M26" s="2217"/>
      <c r="N26" s="2217"/>
      <c r="O26" s="2217"/>
      <c r="P26" s="2217"/>
      <c r="Q26" s="2631"/>
      <c r="R26" s="2631"/>
      <c r="S26" s="2595"/>
      <c r="T26" s="2595"/>
      <c r="U26" s="2595"/>
      <c r="V26" s="2595"/>
      <c r="W26" s="2595"/>
      <c r="X26" s="2595"/>
      <c r="Y26" s="2595"/>
      <c r="Z26" s="2595"/>
      <c r="AA26" s="2595"/>
      <c r="AB26" s="2217"/>
      <c r="AC26" s="2217"/>
      <c r="AD26" s="2217"/>
      <c r="AE26" s="2217"/>
      <c r="AF26" s="2596"/>
      <c r="AG26" s="2308"/>
      <c r="AH26" s="2308"/>
      <c r="AI26" s="2308"/>
      <c r="AJ26" s="2308"/>
      <c r="AK26" s="2308"/>
      <c r="AL26" s="2308"/>
      <c r="AM26" s="2308"/>
      <c r="AN26" s="2308"/>
      <c r="AO26" s="2308"/>
      <c r="AP26" s="2308"/>
      <c r="AQ26" s="2242"/>
      <c r="AR26" s="2308"/>
      <c r="AS26" s="2308"/>
      <c r="AT26" s="2308"/>
      <c r="AU26" s="2308"/>
      <c r="AV26" s="2308"/>
      <c r="AW26" s="2242"/>
      <c r="AX26" s="2217"/>
      <c r="AY26" s="2217"/>
      <c r="AZ26" s="2217"/>
      <c r="BA26" s="2217"/>
      <c r="BB26" s="2217"/>
      <c r="BC26" s="2242"/>
      <c r="BD26" s="2217"/>
      <c r="BE26" s="2217"/>
      <c r="BF26" s="2217"/>
      <c r="BG26" s="2217"/>
      <c r="BH26" s="2217"/>
      <c r="BI26" s="2217"/>
      <c r="BJ26" s="2217"/>
      <c r="BK26" s="2217"/>
      <c r="BL26" s="2217"/>
      <c r="BM26" s="2242"/>
      <c r="BN26" s="2295"/>
      <c r="BO26" s="2295"/>
      <c r="BP26" s="2295"/>
      <c r="BQ26" s="2295"/>
      <c r="BR26" s="2295"/>
      <c r="BS26" s="2295"/>
      <c r="BT26" s="2295"/>
      <c r="BU26" s="2295"/>
      <c r="BV26" s="2295"/>
      <c r="BW26" s="2595"/>
      <c r="BX26" s="2595"/>
      <c r="BY26" s="2595"/>
      <c r="BZ26" s="2595"/>
      <c r="CA26" s="2574"/>
      <c r="CB26" s="2574"/>
      <c r="CC26" s="2217"/>
      <c r="CD26" s="2217"/>
      <c r="CE26" s="2217"/>
      <c r="CF26" s="2217"/>
      <c r="CG26" s="2217"/>
      <c r="CH26" s="2322"/>
      <c r="CY26" s="2733" t="s">
        <v>244</v>
      </c>
      <c r="CZ26" s="2734"/>
      <c r="DA26" s="2734"/>
      <c r="DB26" s="2734"/>
      <c r="DC26" s="2734"/>
      <c r="DD26" s="2734"/>
      <c r="DE26" s="2734"/>
      <c r="DF26" s="2734"/>
      <c r="DG26" s="2734"/>
      <c r="DH26" s="2734"/>
      <c r="DI26" s="2734"/>
      <c r="DJ26" s="2734"/>
      <c r="DK26" s="2734"/>
      <c r="DL26" s="2734"/>
      <c r="DM26" s="2734"/>
      <c r="DN26" s="2734"/>
      <c r="DO26" s="2734"/>
      <c r="DP26" s="2734"/>
      <c r="DQ26" s="2734"/>
      <c r="DR26" s="2734"/>
      <c r="DS26" s="2734"/>
      <c r="DT26" s="2734"/>
      <c r="DU26" s="2734"/>
      <c r="DV26" s="2734"/>
      <c r="DW26" s="2734"/>
      <c r="DX26" s="2734"/>
      <c r="DY26" s="2735"/>
    </row>
    <row r="27" spans="1:129" ht="9.6" customHeight="1">
      <c r="A27" s="1"/>
      <c r="B27" s="2832"/>
      <c r="C27" s="2833"/>
      <c r="D27" s="2630"/>
      <c r="E27" s="2293"/>
      <c r="F27" s="2293"/>
      <c r="G27" s="2293"/>
      <c r="H27" s="2293"/>
      <c r="I27" s="2293"/>
      <c r="J27" s="2293"/>
      <c r="K27" s="2293"/>
      <c r="L27" s="2218"/>
      <c r="M27" s="2218"/>
      <c r="N27" s="2218"/>
      <c r="O27" s="2218"/>
      <c r="P27" s="2218"/>
      <c r="Q27" s="2631"/>
      <c r="R27" s="2631"/>
      <c r="S27" s="2595"/>
      <c r="T27" s="2595"/>
      <c r="U27" s="2595"/>
      <c r="V27" s="2595"/>
      <c r="W27" s="2595"/>
      <c r="X27" s="2595"/>
      <c r="Y27" s="2595"/>
      <c r="Z27" s="2595"/>
      <c r="AA27" s="2595"/>
      <c r="AB27" s="2218"/>
      <c r="AC27" s="2218"/>
      <c r="AD27" s="2218"/>
      <c r="AE27" s="2218"/>
      <c r="AF27" s="2596"/>
      <c r="AG27" s="2309"/>
      <c r="AH27" s="2309"/>
      <c r="AI27" s="2309"/>
      <c r="AJ27" s="2309"/>
      <c r="AK27" s="2309"/>
      <c r="AL27" s="2309"/>
      <c r="AM27" s="2309"/>
      <c r="AN27" s="2309"/>
      <c r="AO27" s="2309"/>
      <c r="AP27" s="2309"/>
      <c r="AQ27" s="2242"/>
      <c r="AR27" s="2309"/>
      <c r="AS27" s="2309"/>
      <c r="AT27" s="2309"/>
      <c r="AU27" s="2309"/>
      <c r="AV27" s="2309"/>
      <c r="AW27" s="2242"/>
      <c r="AX27" s="2218"/>
      <c r="AY27" s="2218"/>
      <c r="AZ27" s="2218"/>
      <c r="BA27" s="2218"/>
      <c r="BB27" s="2218"/>
      <c r="BC27" s="2242"/>
      <c r="BD27" s="2218"/>
      <c r="BE27" s="2218"/>
      <c r="BF27" s="2218"/>
      <c r="BG27" s="2218"/>
      <c r="BH27" s="2218"/>
      <c r="BI27" s="2218"/>
      <c r="BJ27" s="2218"/>
      <c r="BK27" s="2218"/>
      <c r="BL27" s="2218"/>
      <c r="BM27" s="2242"/>
      <c r="BN27" s="2296"/>
      <c r="BO27" s="2296"/>
      <c r="BP27" s="2296"/>
      <c r="BQ27" s="2296"/>
      <c r="BR27" s="2296"/>
      <c r="BS27" s="2296"/>
      <c r="BT27" s="2296"/>
      <c r="BU27" s="2296"/>
      <c r="BV27" s="2296"/>
      <c r="BW27" s="2595"/>
      <c r="BX27" s="2595"/>
      <c r="BY27" s="2595"/>
      <c r="BZ27" s="2595"/>
      <c r="CA27" s="2574"/>
      <c r="CB27" s="2574"/>
      <c r="CC27" s="2218"/>
      <c r="CD27" s="2218"/>
      <c r="CE27" s="2218"/>
      <c r="CF27" s="2218"/>
      <c r="CG27" s="2218"/>
      <c r="CH27" s="2322"/>
      <c r="CQ27" s="1619" t="s">
        <v>407</v>
      </c>
      <c r="CR27" s="1619"/>
      <c r="CS27" s="1619"/>
      <c r="CT27" s="1619"/>
      <c r="CY27" s="2736"/>
      <c r="CZ27" s="2737"/>
      <c r="DA27" s="2737"/>
      <c r="DB27" s="2737"/>
      <c r="DC27" s="2737"/>
      <c r="DD27" s="2737"/>
      <c r="DE27" s="2737"/>
      <c r="DF27" s="2737"/>
      <c r="DG27" s="2737"/>
      <c r="DH27" s="2737"/>
      <c r="DI27" s="2737"/>
      <c r="DJ27" s="2737"/>
      <c r="DK27" s="2737"/>
      <c r="DL27" s="2737"/>
      <c r="DM27" s="2737"/>
      <c r="DN27" s="2737"/>
      <c r="DO27" s="2737"/>
      <c r="DP27" s="2737"/>
      <c r="DQ27" s="2737"/>
      <c r="DR27" s="2737"/>
      <c r="DS27" s="2737"/>
      <c r="DT27" s="2737"/>
      <c r="DU27" s="2737"/>
      <c r="DV27" s="2737"/>
      <c r="DW27" s="2737"/>
      <c r="DX27" s="2737"/>
      <c r="DY27" s="2738"/>
    </row>
    <row r="28" spans="1:129" ht="9.6" customHeight="1">
      <c r="A28" s="1"/>
      <c r="B28" s="2832"/>
      <c r="C28" s="2833"/>
      <c r="D28" s="2293" t="s">
        <v>27</v>
      </c>
      <c r="E28" s="2293"/>
      <c r="F28" s="2293"/>
      <c r="G28" s="2293"/>
      <c r="H28" s="2293"/>
      <c r="I28" s="2293"/>
      <c r="J28" s="2293"/>
      <c r="K28" s="2293"/>
      <c r="L28" s="2214"/>
      <c r="M28" s="2214"/>
      <c r="N28" s="2214"/>
      <c r="O28" s="2214"/>
      <c r="P28" s="2214"/>
      <c r="Q28" s="2228" t="s">
        <v>56</v>
      </c>
      <c r="R28" s="2228"/>
      <c r="S28" s="2595" t="s">
        <v>125</v>
      </c>
      <c r="T28" s="2595"/>
      <c r="U28" s="2595"/>
      <c r="V28" s="2595"/>
      <c r="W28" s="2595"/>
      <c r="X28" s="2595"/>
      <c r="Y28" s="2595"/>
      <c r="Z28" s="2595"/>
      <c r="AA28" s="2595"/>
      <c r="AB28" s="2217"/>
      <c r="AC28" s="2217"/>
      <c r="AD28" s="2217"/>
      <c r="AE28" s="2217"/>
      <c r="AF28" s="2596">
        <v>2</v>
      </c>
      <c r="AG28" s="2308"/>
      <c r="AH28" s="2308"/>
      <c r="AI28" s="2308"/>
      <c r="AJ28" s="2308"/>
      <c r="AK28" s="2308"/>
      <c r="AL28" s="2308"/>
      <c r="AM28" s="2308"/>
      <c r="AN28" s="2308"/>
      <c r="AO28" s="2308"/>
      <c r="AP28" s="2308"/>
      <c r="AQ28" s="2242"/>
      <c r="AR28" s="2308"/>
      <c r="AS28" s="2308"/>
      <c r="AT28" s="2308"/>
      <c r="AU28" s="2308"/>
      <c r="AV28" s="2308"/>
      <c r="AW28" s="2242"/>
      <c r="AX28" s="2217"/>
      <c r="AY28" s="2217"/>
      <c r="AZ28" s="2217"/>
      <c r="BA28" s="2217"/>
      <c r="BB28" s="2217"/>
      <c r="BC28" s="2242"/>
      <c r="BD28" s="2217"/>
      <c r="BE28" s="2217"/>
      <c r="BF28" s="2217"/>
      <c r="BG28" s="2217"/>
      <c r="BH28" s="2217"/>
      <c r="BI28" s="2217"/>
      <c r="BJ28" s="2217"/>
      <c r="BK28" s="2217"/>
      <c r="BL28" s="2217"/>
      <c r="BM28" s="2242"/>
      <c r="BN28" s="2294" t="str">
        <f>IF(AR28*AX28*BD28=0,"",AR28*PI()*AX28*AX28*BD28/(4*27*144))</f>
        <v/>
      </c>
      <c r="BO28" s="2294"/>
      <c r="BP28" s="2294"/>
      <c r="BQ28" s="2294"/>
      <c r="BR28" s="2294"/>
      <c r="BS28" s="2294"/>
      <c r="BT28" s="2294"/>
      <c r="BU28" s="2294"/>
      <c r="BV28" s="2294"/>
      <c r="BW28" s="2595" t="s">
        <v>134</v>
      </c>
      <c r="BX28" s="2595"/>
      <c r="BY28" s="2595"/>
      <c r="BZ28" s="2595"/>
      <c r="CA28" s="2574" t="s">
        <v>131</v>
      </c>
      <c r="CB28" s="2574"/>
      <c r="CC28" s="2217"/>
      <c r="CD28" s="2217"/>
      <c r="CE28" s="2217"/>
      <c r="CF28" s="2217"/>
      <c r="CG28" s="2217"/>
      <c r="CH28" s="2322"/>
      <c r="CQ28" s="1619"/>
      <c r="CR28" s="1619"/>
      <c r="CS28" s="1619"/>
      <c r="CT28" s="1619"/>
      <c r="CY28" s="2736"/>
      <c r="CZ28" s="2737"/>
      <c r="DA28" s="2737"/>
      <c r="DB28" s="2737"/>
      <c r="DC28" s="2737"/>
      <c r="DD28" s="2737"/>
      <c r="DE28" s="2737"/>
      <c r="DF28" s="2737"/>
      <c r="DG28" s="2737"/>
      <c r="DH28" s="2737"/>
      <c r="DI28" s="2737"/>
      <c r="DJ28" s="2737"/>
      <c r="DK28" s="2737"/>
      <c r="DL28" s="2737"/>
      <c r="DM28" s="2737"/>
      <c r="DN28" s="2737"/>
      <c r="DO28" s="2737"/>
      <c r="DP28" s="2737"/>
      <c r="DQ28" s="2737"/>
      <c r="DR28" s="2737"/>
      <c r="DS28" s="2737"/>
      <c r="DT28" s="2737"/>
      <c r="DU28" s="2737"/>
      <c r="DV28" s="2737"/>
      <c r="DW28" s="2737"/>
      <c r="DX28" s="2737"/>
      <c r="DY28" s="2738"/>
    </row>
    <row r="29" spans="1:129" ht="9.6" customHeight="1">
      <c r="A29" s="1"/>
      <c r="B29" s="2832"/>
      <c r="C29" s="2833"/>
      <c r="D29" s="2293"/>
      <c r="E29" s="2293"/>
      <c r="F29" s="2293"/>
      <c r="G29" s="2293"/>
      <c r="H29" s="2293"/>
      <c r="I29" s="2293"/>
      <c r="J29" s="2293"/>
      <c r="K29" s="2293"/>
      <c r="L29" s="2215"/>
      <c r="M29" s="2215"/>
      <c r="N29" s="2215"/>
      <c r="O29" s="2215"/>
      <c r="P29" s="2215"/>
      <c r="Q29" s="2228"/>
      <c r="R29" s="2228"/>
      <c r="S29" s="2595"/>
      <c r="T29" s="2595"/>
      <c r="U29" s="2595"/>
      <c r="V29" s="2595"/>
      <c r="W29" s="2595"/>
      <c r="X29" s="2595"/>
      <c r="Y29" s="2595"/>
      <c r="Z29" s="2595"/>
      <c r="AA29" s="2595"/>
      <c r="AB29" s="2217"/>
      <c r="AC29" s="2217"/>
      <c r="AD29" s="2217"/>
      <c r="AE29" s="2217"/>
      <c r="AF29" s="2596"/>
      <c r="AG29" s="2308"/>
      <c r="AH29" s="2308"/>
      <c r="AI29" s="2308"/>
      <c r="AJ29" s="2308"/>
      <c r="AK29" s="2308"/>
      <c r="AL29" s="2308"/>
      <c r="AM29" s="2308"/>
      <c r="AN29" s="2308"/>
      <c r="AO29" s="2308"/>
      <c r="AP29" s="2308"/>
      <c r="AQ29" s="2242"/>
      <c r="AR29" s="2308"/>
      <c r="AS29" s="2308"/>
      <c r="AT29" s="2308"/>
      <c r="AU29" s="2308"/>
      <c r="AV29" s="2308"/>
      <c r="AW29" s="2242"/>
      <c r="AX29" s="2217"/>
      <c r="AY29" s="2217"/>
      <c r="AZ29" s="2217"/>
      <c r="BA29" s="2217"/>
      <c r="BB29" s="2217"/>
      <c r="BC29" s="2242"/>
      <c r="BD29" s="2217"/>
      <c r="BE29" s="2217"/>
      <c r="BF29" s="2217"/>
      <c r="BG29" s="2217"/>
      <c r="BH29" s="2217"/>
      <c r="BI29" s="2217"/>
      <c r="BJ29" s="2217"/>
      <c r="BK29" s="2217"/>
      <c r="BL29" s="2217"/>
      <c r="BM29" s="2242"/>
      <c r="BN29" s="2295"/>
      <c r="BO29" s="2295"/>
      <c r="BP29" s="2295"/>
      <c r="BQ29" s="2295"/>
      <c r="BR29" s="2295"/>
      <c r="BS29" s="2295"/>
      <c r="BT29" s="2295"/>
      <c r="BU29" s="2295"/>
      <c r="BV29" s="2295"/>
      <c r="BW29" s="2595"/>
      <c r="BX29" s="2595"/>
      <c r="BY29" s="2595"/>
      <c r="BZ29" s="2595"/>
      <c r="CA29" s="2574"/>
      <c r="CB29" s="2574"/>
      <c r="CC29" s="2217"/>
      <c r="CD29" s="2217"/>
      <c r="CE29" s="2217"/>
      <c r="CF29" s="2217"/>
      <c r="CG29" s="2217"/>
      <c r="CH29" s="2322"/>
      <c r="CQ29" s="2719">
        <f>L31-L34</f>
        <v>0</v>
      </c>
      <c r="CR29" s="2720"/>
      <c r="CS29" s="2720"/>
      <c r="CT29" s="2721"/>
      <c r="CU29" s="2227" t="s">
        <v>408</v>
      </c>
      <c r="CV29" s="2228"/>
      <c r="CY29" s="2736"/>
      <c r="CZ29" s="2737"/>
      <c r="DA29" s="2737"/>
      <c r="DB29" s="2737"/>
      <c r="DC29" s="2737"/>
      <c r="DD29" s="2737"/>
      <c r="DE29" s="2737"/>
      <c r="DF29" s="2737"/>
      <c r="DG29" s="2737"/>
      <c r="DH29" s="2737"/>
      <c r="DI29" s="2737"/>
      <c r="DJ29" s="2737"/>
      <c r="DK29" s="2737"/>
      <c r="DL29" s="2737"/>
      <c r="DM29" s="2737"/>
      <c r="DN29" s="2737"/>
      <c r="DO29" s="2737"/>
      <c r="DP29" s="2737"/>
      <c r="DQ29" s="2737"/>
      <c r="DR29" s="2737"/>
      <c r="DS29" s="2737"/>
      <c r="DT29" s="2737"/>
      <c r="DU29" s="2737"/>
      <c r="DV29" s="2737"/>
      <c r="DW29" s="2737"/>
      <c r="DX29" s="2737"/>
      <c r="DY29" s="2738"/>
    </row>
    <row r="30" spans="1:129" ht="9.6" customHeight="1" thickBot="1">
      <c r="A30" s="1"/>
      <c r="B30" s="2832"/>
      <c r="C30" s="2833"/>
      <c r="D30" s="2293"/>
      <c r="E30" s="2293"/>
      <c r="F30" s="2293"/>
      <c r="G30" s="2293"/>
      <c r="H30" s="2293"/>
      <c r="I30" s="2293"/>
      <c r="J30" s="2293"/>
      <c r="K30" s="2293"/>
      <c r="L30" s="2216"/>
      <c r="M30" s="2216"/>
      <c r="N30" s="2216"/>
      <c r="O30" s="2216"/>
      <c r="P30" s="2216"/>
      <c r="Q30" s="2228"/>
      <c r="R30" s="2228"/>
      <c r="S30" s="2595"/>
      <c r="T30" s="2595"/>
      <c r="U30" s="2595"/>
      <c r="V30" s="2595"/>
      <c r="W30" s="2595"/>
      <c r="X30" s="2595"/>
      <c r="Y30" s="2595"/>
      <c r="Z30" s="2595"/>
      <c r="AA30" s="2595"/>
      <c r="AB30" s="2218"/>
      <c r="AC30" s="2218"/>
      <c r="AD30" s="2218"/>
      <c r="AE30" s="2218"/>
      <c r="AF30" s="2596"/>
      <c r="AG30" s="2309"/>
      <c r="AH30" s="2309"/>
      <c r="AI30" s="2309"/>
      <c r="AJ30" s="2309"/>
      <c r="AK30" s="2309"/>
      <c r="AL30" s="2309"/>
      <c r="AM30" s="2309"/>
      <c r="AN30" s="2309"/>
      <c r="AO30" s="2309"/>
      <c r="AP30" s="2309"/>
      <c r="AR30" s="2309"/>
      <c r="AS30" s="2309"/>
      <c r="AT30" s="2309"/>
      <c r="AU30" s="2309"/>
      <c r="AV30" s="2309"/>
      <c r="AW30" s="2242"/>
      <c r="AX30" s="2218"/>
      <c r="AY30" s="2218"/>
      <c r="AZ30" s="2218"/>
      <c r="BA30" s="2218"/>
      <c r="BB30" s="2218"/>
      <c r="BC30" s="2242"/>
      <c r="BD30" s="2218"/>
      <c r="BE30" s="2218"/>
      <c r="BF30" s="2218"/>
      <c r="BG30" s="2218"/>
      <c r="BH30" s="2218"/>
      <c r="BI30" s="2218"/>
      <c r="BJ30" s="2218"/>
      <c r="BK30" s="2218"/>
      <c r="BL30" s="2218"/>
      <c r="BM30" s="2242"/>
      <c r="BN30" s="2576"/>
      <c r="BO30" s="2576"/>
      <c r="BP30" s="2576"/>
      <c r="BQ30" s="2576"/>
      <c r="BR30" s="2576"/>
      <c r="BS30" s="2576"/>
      <c r="BT30" s="2576"/>
      <c r="BU30" s="2576"/>
      <c r="BV30" s="2576"/>
      <c r="BW30" s="2595"/>
      <c r="BX30" s="2595"/>
      <c r="BY30" s="2595"/>
      <c r="BZ30" s="2595"/>
      <c r="CA30" s="2574"/>
      <c r="CB30" s="2574"/>
      <c r="CC30" s="2218"/>
      <c r="CD30" s="2218"/>
      <c r="CE30" s="2218"/>
      <c r="CF30" s="2218"/>
      <c r="CG30" s="2218"/>
      <c r="CH30" s="2322"/>
      <c r="CQ30" s="2722"/>
      <c r="CR30" s="2723"/>
      <c r="CS30" s="2723"/>
      <c r="CT30" s="2724"/>
      <c r="CU30" s="2227"/>
      <c r="CV30" s="2228"/>
      <c r="CY30" s="2736"/>
      <c r="CZ30" s="2737"/>
      <c r="DA30" s="2737"/>
      <c r="DB30" s="2737"/>
      <c r="DC30" s="2737"/>
      <c r="DD30" s="2737"/>
      <c r="DE30" s="2737"/>
      <c r="DF30" s="2737"/>
      <c r="DG30" s="2737"/>
      <c r="DH30" s="2737"/>
      <c r="DI30" s="2737"/>
      <c r="DJ30" s="2737"/>
      <c r="DK30" s="2737"/>
      <c r="DL30" s="2737"/>
      <c r="DM30" s="2737"/>
      <c r="DN30" s="2737"/>
      <c r="DO30" s="2737"/>
      <c r="DP30" s="2737"/>
      <c r="DQ30" s="2737"/>
      <c r="DR30" s="2737"/>
      <c r="DS30" s="2737"/>
      <c r="DT30" s="2737"/>
      <c r="DU30" s="2737"/>
      <c r="DV30" s="2737"/>
      <c r="DW30" s="2737"/>
      <c r="DX30" s="2737"/>
      <c r="DY30" s="2738"/>
    </row>
    <row r="31" spans="1:129" ht="9.6" customHeight="1" thickTop="1">
      <c r="A31" s="1"/>
      <c r="B31" s="2832"/>
      <c r="C31" s="2833"/>
      <c r="D31" s="2293" t="s">
        <v>26</v>
      </c>
      <c r="E31" s="2293"/>
      <c r="F31" s="2293"/>
      <c r="G31" s="2293"/>
      <c r="H31" s="2293"/>
      <c r="I31" s="2293"/>
      <c r="J31" s="2293"/>
      <c r="K31" s="2293"/>
      <c r="L31" s="2214"/>
      <c r="M31" s="2214"/>
      <c r="N31" s="2214"/>
      <c r="O31" s="2214"/>
      <c r="P31" s="2214"/>
      <c r="Q31" s="2228" t="s">
        <v>56</v>
      </c>
      <c r="R31" s="2228"/>
      <c r="S31" s="2600" t="s">
        <v>394</v>
      </c>
      <c r="T31" s="2600"/>
      <c r="U31" s="2600"/>
      <c r="V31" s="2600"/>
      <c r="W31" s="2600"/>
      <c r="X31" s="2600"/>
      <c r="Y31" s="2600"/>
      <c r="Z31" s="2600"/>
      <c r="AA31" s="2600"/>
      <c r="AB31" s="2600"/>
      <c r="AC31" s="2600"/>
      <c r="AD31" s="2600"/>
      <c r="AE31" s="2600"/>
      <c r="AF31" s="2600"/>
      <c r="AG31" s="2600"/>
      <c r="AH31" s="2600"/>
      <c r="AI31" s="2600"/>
      <c r="AJ31" s="2600"/>
      <c r="AK31" s="2600"/>
      <c r="AL31" s="2242"/>
      <c r="AM31" s="2679" t="s">
        <v>1202</v>
      </c>
      <c r="AN31" s="2679"/>
      <c r="AO31" s="2679"/>
      <c r="AP31" s="2679"/>
      <c r="AQ31" s="2679"/>
      <c r="AS31" s="2589" t="s">
        <v>3</v>
      </c>
      <c r="AT31" s="2589"/>
      <c r="AU31" s="2589"/>
      <c r="AV31" s="2589"/>
      <c r="AW31" s="2340" t="str">
        <f>CONCATENATE("Total Volume in Lines (VL) (cy) = ")</f>
        <v xml:space="preserve">Total Volume in Lines (VL) (cy) = </v>
      </c>
      <c r="AX31" s="2340"/>
      <c r="AY31" s="2340"/>
      <c r="AZ31" s="2340"/>
      <c r="BA31" s="2340"/>
      <c r="BB31" s="2340"/>
      <c r="BC31" s="2340"/>
      <c r="BD31" s="2340"/>
      <c r="BE31" s="2340"/>
      <c r="BF31" s="2340"/>
      <c r="BG31" s="2340"/>
      <c r="BH31" s="2340"/>
      <c r="BI31" s="2340"/>
      <c r="BJ31" s="2340"/>
      <c r="BK31" s="2340"/>
      <c r="BL31" s="2340"/>
      <c r="BM31" s="2340"/>
      <c r="BN31" s="2594" t="str">
        <f>IF(SUM(BN25:BV30)=0,"",SUM(BN25:BV30))</f>
        <v/>
      </c>
      <c r="BO31" s="2594"/>
      <c r="BP31" s="2594"/>
      <c r="BQ31" s="2594"/>
      <c r="BR31" s="2594"/>
      <c r="BS31" s="2594"/>
      <c r="BT31" s="2594"/>
      <c r="BU31" s="2594"/>
      <c r="BV31" s="2594"/>
      <c r="BW31" s="2575" t="s">
        <v>37</v>
      </c>
      <c r="BX31" s="2575"/>
      <c r="BY31" s="2575"/>
      <c r="BZ31" s="2575"/>
      <c r="CA31" s="2575"/>
      <c r="CB31" s="2575"/>
      <c r="CC31" s="2575"/>
      <c r="CD31" s="2575"/>
      <c r="CE31" s="2575"/>
      <c r="CF31" s="2575"/>
      <c r="CG31" s="2575"/>
      <c r="CH31" s="2588"/>
      <c r="CQ31" s="2725" t="s">
        <v>59</v>
      </c>
      <c r="CR31" s="2725"/>
      <c r="CS31" s="2725"/>
      <c r="CT31" s="2725"/>
      <c r="CY31" s="2736"/>
      <c r="CZ31" s="2737"/>
      <c r="DA31" s="2737"/>
      <c r="DB31" s="2737"/>
      <c r="DC31" s="2737"/>
      <c r="DD31" s="2737"/>
      <c r="DE31" s="2737"/>
      <c r="DF31" s="2737"/>
      <c r="DG31" s="2737"/>
      <c r="DH31" s="2737"/>
      <c r="DI31" s="2737"/>
      <c r="DJ31" s="2737"/>
      <c r="DK31" s="2737"/>
      <c r="DL31" s="2737"/>
      <c r="DM31" s="2737"/>
      <c r="DN31" s="2737"/>
      <c r="DO31" s="2737"/>
      <c r="DP31" s="2737"/>
      <c r="DQ31" s="2737"/>
      <c r="DR31" s="2737"/>
      <c r="DS31" s="2737"/>
      <c r="DT31" s="2737"/>
      <c r="DU31" s="2737"/>
      <c r="DV31" s="2737"/>
      <c r="DW31" s="2737"/>
      <c r="DX31" s="2737"/>
      <c r="DY31" s="2738"/>
    </row>
    <row r="32" spans="1:129" ht="9.6" customHeight="1">
      <c r="A32" s="1"/>
      <c r="B32" s="2832"/>
      <c r="C32" s="2833"/>
      <c r="D32" s="2293"/>
      <c r="E32" s="2293"/>
      <c r="F32" s="2293"/>
      <c r="G32" s="2293"/>
      <c r="H32" s="2293"/>
      <c r="I32" s="2293"/>
      <c r="J32" s="2293"/>
      <c r="K32" s="2293"/>
      <c r="L32" s="2215"/>
      <c r="M32" s="2215"/>
      <c r="N32" s="2215"/>
      <c r="O32" s="2215"/>
      <c r="P32" s="2215"/>
      <c r="Q32" s="2228"/>
      <c r="R32" s="2228"/>
      <c r="S32" s="2600"/>
      <c r="T32" s="2600"/>
      <c r="U32" s="2600"/>
      <c r="V32" s="2600"/>
      <c r="W32" s="2600"/>
      <c r="X32" s="2600"/>
      <c r="Y32" s="2600"/>
      <c r="Z32" s="2600"/>
      <c r="AA32" s="2600"/>
      <c r="AB32" s="2600"/>
      <c r="AC32" s="2600"/>
      <c r="AD32" s="2600"/>
      <c r="AE32" s="2600"/>
      <c r="AF32" s="2600"/>
      <c r="AG32" s="2600"/>
      <c r="AH32" s="2600"/>
      <c r="AI32" s="2600"/>
      <c r="AJ32" s="2600"/>
      <c r="AK32" s="2600"/>
      <c r="AL32" s="2242"/>
      <c r="AM32" s="2679"/>
      <c r="AN32" s="2679"/>
      <c r="AO32" s="2679"/>
      <c r="AP32" s="2679"/>
      <c r="AQ32" s="2679"/>
      <c r="AR32" s="1317"/>
      <c r="AS32" s="2590"/>
      <c r="AT32" s="2590"/>
      <c r="AU32" s="2590"/>
      <c r="AV32" s="2590"/>
      <c r="AW32" s="2340"/>
      <c r="AX32" s="2340"/>
      <c r="AY32" s="2340"/>
      <c r="AZ32" s="2340"/>
      <c r="BA32" s="2340"/>
      <c r="BB32" s="2340"/>
      <c r="BC32" s="2340"/>
      <c r="BD32" s="2340"/>
      <c r="BE32" s="2340"/>
      <c r="BF32" s="2340"/>
      <c r="BG32" s="2340"/>
      <c r="BH32" s="2340"/>
      <c r="BI32" s="2340"/>
      <c r="BJ32" s="2340"/>
      <c r="BK32" s="2340"/>
      <c r="BL32" s="2340"/>
      <c r="BM32" s="2340"/>
      <c r="BN32" s="2295"/>
      <c r="BO32" s="2295"/>
      <c r="BP32" s="2295"/>
      <c r="BQ32" s="2295"/>
      <c r="BR32" s="2295"/>
      <c r="BS32" s="2295"/>
      <c r="BT32" s="2295"/>
      <c r="BU32" s="2295"/>
      <c r="BV32" s="2295"/>
      <c r="BW32" s="2575"/>
      <c r="BX32" s="2575"/>
      <c r="BY32" s="2575"/>
      <c r="BZ32" s="2575"/>
      <c r="CA32" s="2575"/>
      <c r="CB32" s="2575"/>
      <c r="CC32" s="2575"/>
      <c r="CD32" s="2575"/>
      <c r="CE32" s="2575"/>
      <c r="CF32" s="2575"/>
      <c r="CG32" s="2575"/>
      <c r="CH32" s="2588"/>
      <c r="CQ32" s="1619"/>
      <c r="CR32" s="1619"/>
      <c r="CS32" s="1619"/>
      <c r="CT32" s="1619"/>
      <c r="CY32" s="2739"/>
      <c r="CZ32" s="2740"/>
      <c r="DA32" s="2740"/>
      <c r="DB32" s="2740"/>
      <c r="DC32" s="2740"/>
      <c r="DD32" s="2740"/>
      <c r="DE32" s="2740"/>
      <c r="DF32" s="2740"/>
      <c r="DG32" s="2740"/>
      <c r="DH32" s="2740"/>
      <c r="DI32" s="2740"/>
      <c r="DJ32" s="2740"/>
      <c r="DK32" s="2740"/>
      <c r="DL32" s="2740"/>
      <c r="DM32" s="2740"/>
      <c r="DN32" s="2740"/>
      <c r="DO32" s="2740"/>
      <c r="DP32" s="2740"/>
      <c r="DQ32" s="2740"/>
      <c r="DR32" s="2740"/>
      <c r="DS32" s="2740"/>
      <c r="DT32" s="2740"/>
      <c r="DU32" s="2740"/>
      <c r="DV32" s="2740"/>
      <c r="DW32" s="2740"/>
      <c r="DX32" s="2740"/>
      <c r="DY32" s="2741"/>
    </row>
    <row r="33" spans="1:129" ht="9.6" customHeight="1">
      <c r="A33" s="1"/>
      <c r="B33" s="2832"/>
      <c r="C33" s="2833"/>
      <c r="D33" s="2293"/>
      <c r="E33" s="2293"/>
      <c r="F33" s="2293"/>
      <c r="G33" s="2293"/>
      <c r="H33" s="2293"/>
      <c r="I33" s="2293"/>
      <c r="J33" s="2293"/>
      <c r="K33" s="2293"/>
      <c r="L33" s="2216"/>
      <c r="M33" s="2216"/>
      <c r="N33" s="2216"/>
      <c r="O33" s="2216"/>
      <c r="P33" s="2216"/>
      <c r="Q33" s="2228"/>
      <c r="R33" s="2228"/>
      <c r="S33" s="2600"/>
      <c r="T33" s="2600"/>
      <c r="U33" s="2600"/>
      <c r="V33" s="2600"/>
      <c r="W33" s="2600"/>
      <c r="X33" s="2600"/>
      <c r="Y33" s="2600"/>
      <c r="Z33" s="2600"/>
      <c r="AA33" s="2600"/>
      <c r="AB33" s="2600"/>
      <c r="AC33" s="2600"/>
      <c r="AD33" s="2600"/>
      <c r="AE33" s="2600"/>
      <c r="AF33" s="2600"/>
      <c r="AG33" s="2600"/>
      <c r="AH33" s="2600"/>
      <c r="AI33" s="2600"/>
      <c r="AJ33" s="2600"/>
      <c r="AK33" s="2600"/>
      <c r="AL33" s="2242"/>
      <c r="AM33" s="2679"/>
      <c r="AN33" s="2679"/>
      <c r="AO33" s="2679"/>
      <c r="AP33" s="2679"/>
      <c r="AQ33" s="2679"/>
      <c r="AR33" s="1317"/>
      <c r="AS33" s="2590"/>
      <c r="AT33" s="2590"/>
      <c r="AU33" s="2590"/>
      <c r="AV33" s="2590"/>
      <c r="AW33" s="2340"/>
      <c r="AX33" s="2340"/>
      <c r="AY33" s="2340"/>
      <c r="AZ33" s="2340"/>
      <c r="BA33" s="2340"/>
      <c r="BB33" s="2340"/>
      <c r="BC33" s="2340"/>
      <c r="BD33" s="2340"/>
      <c r="BE33" s="2340"/>
      <c r="BF33" s="2340"/>
      <c r="BG33" s="2340"/>
      <c r="BH33" s="2340"/>
      <c r="BI33" s="2340"/>
      <c r="BJ33" s="2340"/>
      <c r="BK33" s="2340"/>
      <c r="BL33" s="2340"/>
      <c r="BM33" s="2340"/>
      <c r="BN33" s="2296"/>
      <c r="BO33" s="2296"/>
      <c r="BP33" s="2296"/>
      <c r="BQ33" s="2296"/>
      <c r="BR33" s="2296"/>
      <c r="BS33" s="2296"/>
      <c r="BT33" s="2296"/>
      <c r="BU33" s="2296"/>
      <c r="BV33" s="2296"/>
      <c r="BW33" s="2575"/>
      <c r="BX33" s="2575"/>
      <c r="BY33" s="2575"/>
      <c r="BZ33" s="2575"/>
      <c r="CA33" s="2575"/>
      <c r="CB33" s="2575"/>
      <c r="CC33" s="2575"/>
      <c r="CD33" s="2575"/>
      <c r="CE33" s="2575"/>
      <c r="CF33" s="2575"/>
      <c r="CG33" s="2575"/>
      <c r="CH33" s="2588"/>
    </row>
    <row r="34" spans="1:129" ht="9.6" customHeight="1">
      <c r="A34" s="1"/>
      <c r="B34" s="2832"/>
      <c r="C34" s="2833"/>
      <c r="D34" s="2293" t="s">
        <v>28</v>
      </c>
      <c r="E34" s="2293"/>
      <c r="F34" s="2293"/>
      <c r="G34" s="2293"/>
      <c r="H34" s="2293"/>
      <c r="I34" s="2293"/>
      <c r="J34" s="2293"/>
      <c r="K34" s="2293"/>
      <c r="L34" s="2214"/>
      <c r="M34" s="2214"/>
      <c r="N34" s="2214"/>
      <c r="O34" s="2214"/>
      <c r="P34" s="2214"/>
      <c r="Q34" s="2228" t="s">
        <v>56</v>
      </c>
      <c r="R34" s="2228"/>
      <c r="S34" s="2597" t="str">
        <f>CONCATENATE("@ Start ")</f>
        <v xml:space="preserve">@ Start </v>
      </c>
      <c r="T34" s="2597"/>
      <c r="U34" s="2597"/>
      <c r="V34" s="2597"/>
      <c r="W34" s="2597"/>
      <c r="X34" s="2597"/>
      <c r="Y34" s="2597"/>
      <c r="Z34" s="2597"/>
      <c r="AA34" s="2597"/>
      <c r="AB34" s="2597"/>
      <c r="AC34" s="2597"/>
      <c r="AD34" s="2597"/>
      <c r="AE34" s="2597"/>
      <c r="AF34" s="2597"/>
      <c r="AG34" s="2217"/>
      <c r="AH34" s="2217"/>
      <c r="AI34" s="2217"/>
      <c r="AJ34" s="2217"/>
      <c r="AK34" s="2217"/>
      <c r="AL34" s="2242"/>
      <c r="AM34" s="2679"/>
      <c r="AN34" s="2679"/>
      <c r="AO34" s="2679"/>
      <c r="AP34" s="2679"/>
      <c r="AQ34" s="2679"/>
      <c r="AS34" s="2591"/>
      <c r="AT34" s="2591"/>
      <c r="AU34" s="2591"/>
      <c r="AV34" s="2591"/>
      <c r="AW34" s="2591"/>
      <c r="AX34" s="2591"/>
      <c r="AY34" s="2591"/>
      <c r="AZ34" s="2591"/>
      <c r="BA34" s="2591"/>
      <c r="BB34" s="2591"/>
      <c r="BC34" s="2591"/>
      <c r="BD34" s="2591"/>
      <c r="BE34" s="2591"/>
      <c r="BF34" s="2591"/>
      <c r="BG34" s="2591"/>
      <c r="BH34" s="2591"/>
      <c r="BI34" s="2591"/>
      <c r="BJ34" s="2591"/>
      <c r="BK34" s="2591"/>
      <c r="BL34" s="2591"/>
      <c r="BM34" s="2591"/>
      <c r="BN34" s="2591"/>
      <c r="BO34" s="2591"/>
      <c r="BP34" s="2591"/>
      <c r="BQ34" s="2591"/>
      <c r="BR34" s="2591"/>
      <c r="BS34" s="2591"/>
      <c r="BT34" s="2591"/>
      <c r="BU34" s="2591"/>
      <c r="BV34" s="2591"/>
      <c r="BW34" s="2591"/>
      <c r="BX34" s="2591"/>
      <c r="BY34" s="2591"/>
      <c r="BZ34" s="2591"/>
      <c r="CA34" s="2591"/>
      <c r="CB34" s="2591"/>
      <c r="CC34" s="2591"/>
      <c r="CD34" s="2591"/>
      <c r="CE34" s="2591"/>
      <c r="CF34" s="2591"/>
      <c r="CG34" s="2591"/>
      <c r="CH34" s="2322"/>
      <c r="CY34" s="2675" t="s">
        <v>120</v>
      </c>
      <c r="CZ34" s="2676"/>
      <c r="DA34" s="2676"/>
      <c r="DB34" s="2676"/>
      <c r="DC34" s="2676"/>
      <c r="DD34" s="2676"/>
      <c r="DE34" s="2676"/>
      <c r="DF34" s="2676"/>
      <c r="DG34" s="2676"/>
      <c r="DH34" s="2676"/>
      <c r="DI34" s="2676"/>
      <c r="DJ34" s="2676"/>
      <c r="DK34" s="2676"/>
      <c r="DL34" s="2676"/>
      <c r="DM34" s="2676"/>
      <c r="DN34" s="2676"/>
      <c r="DO34" s="2676"/>
      <c r="DP34" s="2676"/>
      <c r="DQ34" s="2676"/>
      <c r="DR34" s="2676"/>
      <c r="DS34" s="2676"/>
      <c r="DT34" s="2676"/>
      <c r="DU34" s="2676"/>
      <c r="DV34" s="2676"/>
      <c r="DW34" s="2676"/>
      <c r="DX34" s="2676"/>
      <c r="DY34" s="2677"/>
    </row>
    <row r="35" spans="1:129" ht="9.6" customHeight="1">
      <c r="A35" s="1"/>
      <c r="B35" s="2832"/>
      <c r="C35" s="2833"/>
      <c r="D35" s="2293"/>
      <c r="E35" s="2293"/>
      <c r="F35" s="2293"/>
      <c r="G35" s="2293"/>
      <c r="H35" s="2293"/>
      <c r="I35" s="2293"/>
      <c r="J35" s="2293"/>
      <c r="K35" s="2293"/>
      <c r="L35" s="2215"/>
      <c r="M35" s="2215"/>
      <c r="N35" s="2215"/>
      <c r="O35" s="2215"/>
      <c r="P35" s="2215"/>
      <c r="Q35" s="2228"/>
      <c r="R35" s="2228"/>
      <c r="S35" s="2597"/>
      <c r="T35" s="2597"/>
      <c r="U35" s="2597"/>
      <c r="V35" s="2597"/>
      <c r="W35" s="2597"/>
      <c r="X35" s="2597"/>
      <c r="Y35" s="2597"/>
      <c r="Z35" s="2597"/>
      <c r="AA35" s="2597"/>
      <c r="AB35" s="2597"/>
      <c r="AC35" s="2597"/>
      <c r="AD35" s="2597"/>
      <c r="AE35" s="2597"/>
      <c r="AF35" s="2597"/>
      <c r="AG35" s="2217"/>
      <c r="AH35" s="2217"/>
      <c r="AI35" s="2217"/>
      <c r="AJ35" s="2217"/>
      <c r="AK35" s="2217"/>
      <c r="AL35" s="2242"/>
      <c r="AM35" s="2679"/>
      <c r="AN35" s="2679"/>
      <c r="AO35" s="2679"/>
      <c r="AP35" s="2679"/>
      <c r="AQ35" s="2679"/>
      <c r="AS35" s="2591"/>
      <c r="AT35" s="2591"/>
      <c r="AU35" s="2591"/>
      <c r="AV35" s="2591"/>
      <c r="AW35" s="2591"/>
      <c r="AX35" s="2591"/>
      <c r="AY35" s="2591"/>
      <c r="AZ35" s="2591"/>
      <c r="BA35" s="2591"/>
      <c r="BB35" s="2591"/>
      <c r="BC35" s="2591"/>
      <c r="BD35" s="2591"/>
      <c r="BE35" s="2591"/>
      <c r="BF35" s="2591"/>
      <c r="BG35" s="2591"/>
      <c r="BH35" s="2591"/>
      <c r="BI35" s="2591"/>
      <c r="BJ35" s="2591"/>
      <c r="BK35" s="2591"/>
      <c r="BL35" s="2591"/>
      <c r="BM35" s="2591"/>
      <c r="BN35" s="2591"/>
      <c r="BO35" s="2591"/>
      <c r="BP35" s="2591"/>
      <c r="BQ35" s="2591"/>
      <c r="BR35" s="2591"/>
      <c r="BS35" s="2591"/>
      <c r="BT35" s="2591"/>
      <c r="BU35" s="2591"/>
      <c r="BV35" s="2591"/>
      <c r="BW35" s="2591"/>
      <c r="BX35" s="2591"/>
      <c r="BY35" s="2591"/>
      <c r="BZ35" s="2591"/>
      <c r="CA35" s="2591"/>
      <c r="CB35" s="2591"/>
      <c r="CC35" s="2591"/>
      <c r="CD35" s="2591"/>
      <c r="CE35" s="2591"/>
      <c r="CF35" s="2591"/>
      <c r="CG35" s="2591"/>
      <c r="CH35" s="2322"/>
      <c r="CI35" s="3"/>
      <c r="CQ35" s="1619" t="s">
        <v>232</v>
      </c>
      <c r="CR35" s="1619"/>
      <c r="CS35" s="1619"/>
      <c r="CT35" s="1619"/>
      <c r="CY35" s="2678"/>
      <c r="CZ35" s="2679"/>
      <c r="DA35" s="2679"/>
      <c r="DB35" s="2679"/>
      <c r="DC35" s="2679"/>
      <c r="DD35" s="2679"/>
      <c r="DE35" s="2679"/>
      <c r="DF35" s="2679"/>
      <c r="DG35" s="2679"/>
      <c r="DH35" s="2679"/>
      <c r="DI35" s="2679"/>
      <c r="DJ35" s="2679"/>
      <c r="DK35" s="2679"/>
      <c r="DL35" s="2679"/>
      <c r="DM35" s="2679"/>
      <c r="DN35" s="2679"/>
      <c r="DO35" s="2679"/>
      <c r="DP35" s="2679"/>
      <c r="DQ35" s="2679"/>
      <c r="DR35" s="2679"/>
      <c r="DS35" s="2679"/>
      <c r="DT35" s="2679"/>
      <c r="DU35" s="2679"/>
      <c r="DV35" s="2679"/>
      <c r="DW35" s="2679"/>
      <c r="DX35" s="2679"/>
      <c r="DY35" s="2680"/>
    </row>
    <row r="36" spans="1:129" ht="9.6" customHeight="1">
      <c r="A36" s="1"/>
      <c r="B36" s="2834"/>
      <c r="C36" s="2835"/>
      <c r="D36" s="2293"/>
      <c r="E36" s="2293"/>
      <c r="F36" s="2293"/>
      <c r="G36" s="2293"/>
      <c r="H36" s="2293"/>
      <c r="I36" s="2293"/>
      <c r="J36" s="2293"/>
      <c r="K36" s="2293"/>
      <c r="L36" s="2216"/>
      <c r="M36" s="2216"/>
      <c r="N36" s="2216"/>
      <c r="O36" s="2216"/>
      <c r="P36" s="2216"/>
      <c r="Q36" s="2228"/>
      <c r="R36" s="2228"/>
      <c r="S36" s="2597"/>
      <c r="T36" s="2597"/>
      <c r="U36" s="2597"/>
      <c r="V36" s="2597"/>
      <c r="W36" s="2597"/>
      <c r="X36" s="2597"/>
      <c r="Y36" s="2597"/>
      <c r="Z36" s="2597"/>
      <c r="AA36" s="2597"/>
      <c r="AB36" s="2597"/>
      <c r="AC36" s="2597"/>
      <c r="AD36" s="2597"/>
      <c r="AE36" s="2597"/>
      <c r="AF36" s="2597"/>
      <c r="AG36" s="2218"/>
      <c r="AH36" s="2218"/>
      <c r="AI36" s="2218"/>
      <c r="AJ36" s="2218"/>
      <c r="AK36" s="2218"/>
      <c r="AL36" s="2242"/>
      <c r="AM36" s="2679"/>
      <c r="AN36" s="2679"/>
      <c r="AO36" s="2679"/>
      <c r="AP36" s="2679"/>
      <c r="AQ36" s="2679"/>
      <c r="AS36" s="2592"/>
      <c r="AT36" s="2592"/>
      <c r="AU36" s="2592"/>
      <c r="AV36" s="2592"/>
      <c r="AW36" s="2592"/>
      <c r="AX36" s="2592"/>
      <c r="AY36" s="2592"/>
      <c r="AZ36" s="2592"/>
      <c r="BA36" s="2592"/>
      <c r="BB36" s="2592"/>
      <c r="BC36" s="2592"/>
      <c r="BD36" s="2592"/>
      <c r="BE36" s="2592"/>
      <c r="BF36" s="2592"/>
      <c r="BG36" s="2592"/>
      <c r="BH36" s="2592"/>
      <c r="BI36" s="2592"/>
      <c r="BJ36" s="2592"/>
      <c r="BK36" s="2592"/>
      <c r="BL36" s="2592"/>
      <c r="BM36" s="2592"/>
      <c r="BN36" s="2592"/>
      <c r="BO36" s="2592"/>
      <c r="BP36" s="2592"/>
      <c r="BQ36" s="2592"/>
      <c r="BR36" s="2592"/>
      <c r="BS36" s="2592"/>
      <c r="BT36" s="2592"/>
      <c r="BU36" s="2592"/>
      <c r="BV36" s="2592"/>
      <c r="BW36" s="2592"/>
      <c r="BX36" s="2592"/>
      <c r="BY36" s="2592"/>
      <c r="BZ36" s="2592"/>
      <c r="CA36" s="2592"/>
      <c r="CB36" s="2592"/>
      <c r="CC36" s="2592"/>
      <c r="CD36" s="2592"/>
      <c r="CE36" s="2592"/>
      <c r="CF36" s="2592"/>
      <c r="CG36" s="2592"/>
      <c r="CH36" s="2322"/>
      <c r="CI36" s="3"/>
      <c r="CQ36" s="1619"/>
      <c r="CR36" s="1619"/>
      <c r="CS36" s="1619"/>
      <c r="CT36" s="1619"/>
      <c r="CY36" s="2678"/>
      <c r="CZ36" s="2679"/>
      <c r="DA36" s="2679"/>
      <c r="DB36" s="2679"/>
      <c r="DC36" s="2679"/>
      <c r="DD36" s="2679"/>
      <c r="DE36" s="2679"/>
      <c r="DF36" s="2679"/>
      <c r="DG36" s="2679"/>
      <c r="DH36" s="2679"/>
      <c r="DI36" s="2679"/>
      <c r="DJ36" s="2679"/>
      <c r="DK36" s="2679"/>
      <c r="DL36" s="2679"/>
      <c r="DM36" s="2679"/>
      <c r="DN36" s="2679"/>
      <c r="DO36" s="2679"/>
      <c r="DP36" s="2679"/>
      <c r="DQ36" s="2679"/>
      <c r="DR36" s="2679"/>
      <c r="DS36" s="2679"/>
      <c r="DT36" s="2679"/>
      <c r="DU36" s="2679"/>
      <c r="DV36" s="2679"/>
      <c r="DW36" s="2679"/>
      <c r="DX36" s="2679"/>
      <c r="DY36" s="2680"/>
    </row>
    <row r="37" spans="1:129" ht="9.6" customHeight="1">
      <c r="A37" s="1"/>
      <c r="B37" s="2471" t="str">
        <f>CONCATENATE("Max. Temp. During Pour ")</f>
        <v xml:space="preserve">Max. Temp. During Pour </v>
      </c>
      <c r="C37" s="2340"/>
      <c r="D37" s="2340"/>
      <c r="E37" s="2340"/>
      <c r="F37" s="2340"/>
      <c r="G37" s="2340"/>
      <c r="H37" s="2340"/>
      <c r="I37" s="2340"/>
      <c r="J37" s="2340"/>
      <c r="K37" s="2340"/>
      <c r="L37" s="2340"/>
      <c r="M37" s="2340"/>
      <c r="N37" s="2340"/>
      <c r="O37" s="2601"/>
      <c r="P37" s="2601"/>
      <c r="Q37" s="2601"/>
      <c r="R37" s="2601"/>
      <c r="S37" s="2601"/>
      <c r="T37" s="2603" t="s">
        <v>57</v>
      </c>
      <c r="U37" s="2603"/>
      <c r="V37" s="2603"/>
      <c r="W37" s="2603"/>
      <c r="X37" s="2597" t="str">
        <f>CONCATENATE("@ Finish ")</f>
        <v xml:space="preserve">@ Finish </v>
      </c>
      <c r="Y37" s="2597"/>
      <c r="Z37" s="2597"/>
      <c r="AA37" s="2597"/>
      <c r="AB37" s="2597"/>
      <c r="AC37" s="2597"/>
      <c r="AD37" s="2597"/>
      <c r="AE37" s="2597"/>
      <c r="AF37" s="2597"/>
      <c r="AG37" s="2217"/>
      <c r="AH37" s="2217"/>
      <c r="AI37" s="2217"/>
      <c r="AJ37" s="2217"/>
      <c r="AK37" s="2217"/>
      <c r="AL37" s="2242"/>
      <c r="AM37" s="2598" t="str">
        <f>IF(OR(L31="",AG37=""),"",(L31-AG37)*12)</f>
        <v/>
      </c>
      <c r="AN37" s="2598"/>
      <c r="AO37" s="2598"/>
      <c r="AP37" s="2598"/>
      <c r="AQ37" s="2598"/>
      <c r="AS37" s="2593"/>
      <c r="AT37" s="2593"/>
      <c r="AU37" s="2593"/>
      <c r="AV37" s="2593"/>
      <c r="AW37" s="2593"/>
      <c r="AX37" s="2593"/>
      <c r="AY37" s="2593"/>
      <c r="AZ37" s="2593"/>
      <c r="BA37" s="2593"/>
      <c r="BB37" s="2593"/>
      <c r="BC37" s="2593"/>
      <c r="BD37" s="2593"/>
      <c r="BE37" s="2593"/>
      <c r="BF37" s="2593"/>
      <c r="BG37" s="2593"/>
      <c r="BH37" s="2593"/>
      <c r="BI37" s="2593"/>
      <c r="BJ37" s="2593"/>
      <c r="BK37" s="2593"/>
      <c r="BL37" s="2593"/>
      <c r="BM37" s="2593"/>
      <c r="BN37" s="2593"/>
      <c r="BO37" s="2593"/>
      <c r="BP37" s="2593"/>
      <c r="BQ37" s="2593"/>
      <c r="BR37" s="2593"/>
      <c r="BS37" s="2593"/>
      <c r="BT37" s="2593"/>
      <c r="BU37" s="2593"/>
      <c r="BV37" s="2593"/>
      <c r="BW37" s="2593"/>
      <c r="BX37" s="2593"/>
      <c r="BY37" s="2593"/>
      <c r="BZ37" s="2593"/>
      <c r="CA37" s="2593"/>
      <c r="CB37" s="2593"/>
      <c r="CC37" s="2593"/>
      <c r="CD37" s="2593"/>
      <c r="CE37" s="2593"/>
      <c r="CF37" s="2593"/>
      <c r="CG37" s="2593"/>
      <c r="CH37" s="2322"/>
      <c r="CI37" s="3"/>
      <c r="CQ37" s="2719">
        <f>L28-L34</f>
        <v>0</v>
      </c>
      <c r="CR37" s="2720"/>
      <c r="CS37" s="2720"/>
      <c r="CT37" s="2721"/>
      <c r="CU37" s="2227" t="s">
        <v>408</v>
      </c>
      <c r="CV37" s="2228"/>
      <c r="CY37" s="2678"/>
      <c r="CZ37" s="2679"/>
      <c r="DA37" s="2679"/>
      <c r="DB37" s="2679"/>
      <c r="DC37" s="2679"/>
      <c r="DD37" s="2679"/>
      <c r="DE37" s="2679"/>
      <c r="DF37" s="2679"/>
      <c r="DG37" s="2679"/>
      <c r="DH37" s="2679"/>
      <c r="DI37" s="2679"/>
      <c r="DJ37" s="2679"/>
      <c r="DK37" s="2679"/>
      <c r="DL37" s="2679"/>
      <c r="DM37" s="2679"/>
      <c r="DN37" s="2679"/>
      <c r="DO37" s="2679"/>
      <c r="DP37" s="2679"/>
      <c r="DQ37" s="2679"/>
      <c r="DR37" s="2679"/>
      <c r="DS37" s="2679"/>
      <c r="DT37" s="2679"/>
      <c r="DU37" s="2679"/>
      <c r="DV37" s="2679"/>
      <c r="DW37" s="2679"/>
      <c r="DX37" s="2679"/>
      <c r="DY37" s="2680"/>
    </row>
    <row r="38" spans="1:129" ht="9.6" customHeight="1">
      <c r="A38" s="1"/>
      <c r="B38" s="2471"/>
      <c r="C38" s="2340"/>
      <c r="D38" s="2340"/>
      <c r="E38" s="2340"/>
      <c r="F38" s="2340"/>
      <c r="G38" s="2340"/>
      <c r="H38" s="2340"/>
      <c r="I38" s="2340"/>
      <c r="J38" s="2340"/>
      <c r="K38" s="2340"/>
      <c r="L38" s="2340"/>
      <c r="M38" s="2340"/>
      <c r="N38" s="2340"/>
      <c r="O38" s="2601"/>
      <c r="P38" s="2601"/>
      <c r="Q38" s="2601"/>
      <c r="R38" s="2601"/>
      <c r="S38" s="2601"/>
      <c r="T38" s="2603"/>
      <c r="U38" s="2603"/>
      <c r="V38" s="2603"/>
      <c r="W38" s="2603"/>
      <c r="X38" s="2597"/>
      <c r="Y38" s="2597"/>
      <c r="Z38" s="2597"/>
      <c r="AA38" s="2597"/>
      <c r="AB38" s="2597"/>
      <c r="AC38" s="2597"/>
      <c r="AD38" s="2597"/>
      <c r="AE38" s="2597"/>
      <c r="AF38" s="2597"/>
      <c r="AG38" s="2217"/>
      <c r="AH38" s="2217"/>
      <c r="AI38" s="2217"/>
      <c r="AJ38" s="2217"/>
      <c r="AK38" s="2217"/>
      <c r="AL38" s="2242"/>
      <c r="AM38" s="2598"/>
      <c r="AN38" s="2598"/>
      <c r="AO38" s="2598"/>
      <c r="AP38" s="2598"/>
      <c r="AQ38" s="2598"/>
      <c r="AS38" s="2591"/>
      <c r="AT38" s="2591"/>
      <c r="AU38" s="2591"/>
      <c r="AV38" s="2591"/>
      <c r="AW38" s="2591"/>
      <c r="AX38" s="2591"/>
      <c r="AY38" s="2591"/>
      <c r="AZ38" s="2591"/>
      <c r="BA38" s="2591"/>
      <c r="BB38" s="2591"/>
      <c r="BC38" s="2591"/>
      <c r="BD38" s="2591"/>
      <c r="BE38" s="2591"/>
      <c r="BF38" s="2591"/>
      <c r="BG38" s="2591"/>
      <c r="BH38" s="2591"/>
      <c r="BI38" s="2591"/>
      <c r="BJ38" s="2591"/>
      <c r="BK38" s="2591"/>
      <c r="BL38" s="2591"/>
      <c r="BM38" s="2591"/>
      <c r="BN38" s="2591"/>
      <c r="BO38" s="2591"/>
      <c r="BP38" s="2591"/>
      <c r="BQ38" s="2591"/>
      <c r="BR38" s="2591"/>
      <c r="BS38" s="2591"/>
      <c r="BT38" s="2591"/>
      <c r="BU38" s="2591"/>
      <c r="BV38" s="2591"/>
      <c r="BW38" s="2591"/>
      <c r="BX38" s="2591"/>
      <c r="BY38" s="2591"/>
      <c r="BZ38" s="2591"/>
      <c r="CA38" s="2591"/>
      <c r="CB38" s="2591"/>
      <c r="CC38" s="2591"/>
      <c r="CD38" s="2591"/>
      <c r="CE38" s="2591"/>
      <c r="CF38" s="2591"/>
      <c r="CG38" s="2591"/>
      <c r="CH38" s="2322"/>
      <c r="CI38" s="3"/>
      <c r="CQ38" s="2722"/>
      <c r="CR38" s="2723"/>
      <c r="CS38" s="2723"/>
      <c r="CT38" s="2724"/>
      <c r="CU38" s="2227"/>
      <c r="CV38" s="2228"/>
      <c r="CY38" s="2678"/>
      <c r="CZ38" s="2679"/>
      <c r="DA38" s="2679"/>
      <c r="DB38" s="2679"/>
      <c r="DC38" s="2679"/>
      <c r="DD38" s="2679"/>
      <c r="DE38" s="2679"/>
      <c r="DF38" s="2679"/>
      <c r="DG38" s="2679"/>
      <c r="DH38" s="2679"/>
      <c r="DI38" s="2679"/>
      <c r="DJ38" s="2679"/>
      <c r="DK38" s="2679"/>
      <c r="DL38" s="2679"/>
      <c r="DM38" s="2679"/>
      <c r="DN38" s="2679"/>
      <c r="DO38" s="2679"/>
      <c r="DP38" s="2679"/>
      <c r="DQ38" s="2679"/>
      <c r="DR38" s="2679"/>
      <c r="DS38" s="2679"/>
      <c r="DT38" s="2679"/>
      <c r="DU38" s="2679"/>
      <c r="DV38" s="2679"/>
      <c r="DW38" s="2679"/>
      <c r="DX38" s="2679"/>
      <c r="DY38" s="2680"/>
    </row>
    <row r="39" spans="1:129" ht="9.6" customHeight="1">
      <c r="A39" s="1"/>
      <c r="B39" s="2471"/>
      <c r="C39" s="2340"/>
      <c r="D39" s="2340"/>
      <c r="E39" s="2340"/>
      <c r="F39" s="2340"/>
      <c r="G39" s="2340"/>
      <c r="H39" s="2340"/>
      <c r="I39" s="2340"/>
      <c r="J39" s="2340"/>
      <c r="K39" s="2340"/>
      <c r="L39" s="2340"/>
      <c r="M39" s="2340"/>
      <c r="N39" s="2340"/>
      <c r="O39" s="2602"/>
      <c r="P39" s="2602"/>
      <c r="Q39" s="2602"/>
      <c r="R39" s="2602"/>
      <c r="S39" s="2602"/>
      <c r="T39" s="2603"/>
      <c r="U39" s="2603"/>
      <c r="V39" s="2603"/>
      <c r="W39" s="2603"/>
      <c r="X39" s="2597"/>
      <c r="Y39" s="2597"/>
      <c r="Z39" s="2597"/>
      <c r="AA39" s="2597"/>
      <c r="AB39" s="2597"/>
      <c r="AC39" s="2597"/>
      <c r="AD39" s="2597"/>
      <c r="AE39" s="2597"/>
      <c r="AF39" s="2597"/>
      <c r="AG39" s="2218"/>
      <c r="AH39" s="2218"/>
      <c r="AI39" s="2218"/>
      <c r="AJ39" s="2218"/>
      <c r="AK39" s="2218"/>
      <c r="AL39" s="2242"/>
      <c r="AM39" s="2599"/>
      <c r="AN39" s="2599"/>
      <c r="AO39" s="2599"/>
      <c r="AP39" s="2599"/>
      <c r="AQ39" s="2599"/>
      <c r="AS39" s="2592"/>
      <c r="AT39" s="2592"/>
      <c r="AU39" s="2592"/>
      <c r="AV39" s="2592"/>
      <c r="AW39" s="2592"/>
      <c r="AX39" s="2592"/>
      <c r="AY39" s="2592"/>
      <c r="AZ39" s="2592"/>
      <c r="BA39" s="2592"/>
      <c r="BB39" s="2592"/>
      <c r="BC39" s="2592"/>
      <c r="BD39" s="2592"/>
      <c r="BE39" s="2592"/>
      <c r="BF39" s="2592"/>
      <c r="BG39" s="2592"/>
      <c r="BH39" s="2592"/>
      <c r="BI39" s="2592"/>
      <c r="BJ39" s="2592"/>
      <c r="BK39" s="2592"/>
      <c r="BL39" s="2592"/>
      <c r="BM39" s="2592"/>
      <c r="BN39" s="2592"/>
      <c r="BO39" s="2592"/>
      <c r="BP39" s="2592"/>
      <c r="BQ39" s="2592"/>
      <c r="BR39" s="2592"/>
      <c r="BS39" s="2592"/>
      <c r="BT39" s="2592"/>
      <c r="BU39" s="2592"/>
      <c r="BV39" s="2592"/>
      <c r="BW39" s="2592"/>
      <c r="BX39" s="2592"/>
      <c r="BY39" s="2592"/>
      <c r="BZ39" s="2592"/>
      <c r="CA39" s="2592"/>
      <c r="CB39" s="2592"/>
      <c r="CC39" s="2592"/>
      <c r="CD39" s="2592"/>
      <c r="CE39" s="2592"/>
      <c r="CF39" s="2592"/>
      <c r="CG39" s="2592"/>
      <c r="CH39" s="2322"/>
      <c r="CI39" s="3"/>
      <c r="CQ39" s="2725" t="s">
        <v>59</v>
      </c>
      <c r="CR39" s="2725"/>
      <c r="CS39" s="2725"/>
      <c r="CT39" s="2725"/>
      <c r="CY39" s="2681"/>
      <c r="CZ39" s="2682"/>
      <c r="DA39" s="2682"/>
      <c r="DB39" s="2682"/>
      <c r="DC39" s="2682"/>
      <c r="DD39" s="2682"/>
      <c r="DE39" s="2682"/>
      <c r="DF39" s="2682"/>
      <c r="DG39" s="2682"/>
      <c r="DH39" s="2682"/>
      <c r="DI39" s="2682"/>
      <c r="DJ39" s="2682"/>
      <c r="DK39" s="2682"/>
      <c r="DL39" s="2682"/>
      <c r="DM39" s="2682"/>
      <c r="DN39" s="2682"/>
      <c r="DO39" s="2682"/>
      <c r="DP39" s="2682"/>
      <c r="DQ39" s="2682"/>
      <c r="DR39" s="2682"/>
      <c r="DS39" s="2682"/>
      <c r="DT39" s="2682"/>
      <c r="DU39" s="2682"/>
      <c r="DV39" s="2682"/>
      <c r="DW39" s="2682"/>
      <c r="DX39" s="2682"/>
      <c r="DY39" s="2683"/>
    </row>
    <row r="40" spans="1:129" ht="8.1" customHeight="1" thickBot="1">
      <c r="A40" s="1"/>
      <c r="B40" s="2650">
        <v>118.61</v>
      </c>
      <c r="C40" s="2651"/>
      <c r="D40" s="2651"/>
      <c r="E40" s="2651"/>
      <c r="F40" s="2651"/>
      <c r="G40" s="2651"/>
      <c r="H40" s="2651"/>
      <c r="I40" s="2651"/>
      <c r="J40" s="2651"/>
      <c r="K40" s="2651"/>
      <c r="L40" s="2651"/>
      <c r="M40" s="2651"/>
      <c r="N40" s="2651"/>
      <c r="O40" s="2651"/>
      <c r="P40" s="2651"/>
      <c r="Q40" s="2651"/>
      <c r="R40" s="2651"/>
      <c r="S40" s="2651"/>
      <c r="T40" s="2651"/>
      <c r="U40" s="2651"/>
      <c r="V40" s="2651"/>
      <c r="W40" s="2651"/>
      <c r="X40" s="2651"/>
      <c r="Y40" s="2651"/>
      <c r="Z40" s="2651"/>
      <c r="AA40" s="2651"/>
      <c r="AB40" s="2651"/>
      <c r="AC40" s="2651"/>
      <c r="AD40" s="2651"/>
      <c r="AE40" s="2651"/>
      <c r="AF40" s="2651"/>
      <c r="AG40" s="2651"/>
      <c r="AH40" s="2651"/>
      <c r="AI40" s="2651"/>
      <c r="AJ40" s="2242"/>
      <c r="AK40" s="2242"/>
      <c r="AL40" s="2242"/>
      <c r="AM40" s="2242"/>
      <c r="AN40" s="2242"/>
      <c r="AO40" s="2242"/>
      <c r="AP40" s="2242"/>
      <c r="AQ40" s="2242"/>
      <c r="AR40" s="2242"/>
      <c r="AS40" s="2242"/>
      <c r="AT40" s="2242"/>
      <c r="AU40" s="2242"/>
      <c r="AV40" s="2242"/>
      <c r="AW40" s="2242"/>
      <c r="AX40" s="2242"/>
      <c r="AY40" s="2242"/>
      <c r="AZ40" s="2242"/>
      <c r="BA40" s="2242"/>
      <c r="BB40" s="2242"/>
      <c r="BC40" s="2242"/>
      <c r="BD40" s="2242"/>
      <c r="BE40" s="2242"/>
      <c r="BF40" s="2242"/>
      <c r="BG40" s="2242"/>
      <c r="BH40" s="2242"/>
      <c r="BI40" s="2242"/>
      <c r="BJ40" s="2651"/>
      <c r="BK40" s="2651"/>
      <c r="BL40" s="2651"/>
      <c r="BM40" s="2651"/>
      <c r="BN40" s="2651"/>
      <c r="BO40" s="2651"/>
      <c r="BP40" s="2651"/>
      <c r="BQ40" s="2651"/>
      <c r="BR40" s="2651"/>
      <c r="BS40" s="2651"/>
      <c r="BT40" s="2651"/>
      <c r="BU40" s="2651"/>
      <c r="BV40" s="2651"/>
      <c r="BW40" s="2651"/>
      <c r="BX40" s="2651"/>
      <c r="BY40" s="2651"/>
      <c r="BZ40" s="2651"/>
      <c r="CA40" s="2651"/>
      <c r="CB40" s="2651"/>
      <c r="CC40" s="2651"/>
      <c r="CD40" s="2651"/>
      <c r="CE40" s="2651"/>
      <c r="CF40" s="2651"/>
      <c r="CG40" s="2651"/>
      <c r="CH40" s="2652"/>
      <c r="CQ40" s="1619"/>
      <c r="CR40" s="1619"/>
      <c r="CS40" s="1619"/>
      <c r="CT40" s="1619"/>
    </row>
    <row r="41" spans="1:129" ht="7.95" customHeight="1">
      <c r="A41" s="1"/>
      <c r="B41" s="2849" t="s">
        <v>439</v>
      </c>
      <c r="C41" s="2850"/>
      <c r="D41" s="2850"/>
      <c r="E41" s="2850"/>
      <c r="F41" s="2850"/>
      <c r="G41" s="2851"/>
      <c r="H41" s="2615" t="s">
        <v>147</v>
      </c>
      <c r="I41" s="2616"/>
      <c r="J41" s="2616"/>
      <c r="K41" s="2617"/>
      <c r="L41" s="2615" t="s">
        <v>194</v>
      </c>
      <c r="M41" s="2836"/>
      <c r="N41" s="2836"/>
      <c r="O41" s="2837"/>
      <c r="P41" s="2615" t="s">
        <v>5</v>
      </c>
      <c r="Q41" s="2819"/>
      <c r="R41" s="2819"/>
      <c r="S41" s="2617"/>
      <c r="T41" s="2615" t="s">
        <v>11</v>
      </c>
      <c r="U41" s="2616"/>
      <c r="V41" s="2616"/>
      <c r="W41" s="2617"/>
      <c r="X41" s="2615" t="s">
        <v>24</v>
      </c>
      <c r="Y41" s="2616"/>
      <c r="Z41" s="2616"/>
      <c r="AA41" s="2616"/>
      <c r="AB41" s="2570" t="s">
        <v>25</v>
      </c>
      <c r="AC41" s="2571"/>
      <c r="AD41" s="2571"/>
      <c r="AE41" s="2571"/>
      <c r="AF41" s="2610" t="s">
        <v>40</v>
      </c>
      <c r="AG41" s="2611"/>
      <c r="AH41" s="2611"/>
      <c r="AI41" s="2612"/>
      <c r="AJ41" s="2604" t="s">
        <v>144</v>
      </c>
      <c r="AK41" s="2605"/>
      <c r="AL41" s="2605"/>
      <c r="AM41" s="2606"/>
      <c r="AN41" s="2624" t="s">
        <v>329</v>
      </c>
      <c r="AO41" s="2624"/>
      <c r="AP41" s="2624"/>
      <c r="AQ41" s="2625"/>
      <c r="AR41" s="2764" t="s">
        <v>143</v>
      </c>
      <c r="AS41" s="2764"/>
      <c r="AT41" s="2764"/>
      <c r="AU41" s="2764"/>
      <c r="AV41" s="2764"/>
      <c r="AW41" s="2764"/>
      <c r="AX41" s="2764"/>
      <c r="AY41" s="2764"/>
      <c r="AZ41" s="2764"/>
      <c r="BA41" s="2764"/>
      <c r="BB41" s="2764"/>
      <c r="BC41" s="2764"/>
      <c r="BD41" s="2764"/>
      <c r="BE41" s="2764"/>
      <c r="BF41" s="2764"/>
      <c r="BG41" s="2765"/>
      <c r="BH41" s="2615" t="s">
        <v>41</v>
      </c>
      <c r="BI41" s="2616"/>
      <c r="BJ41" s="2616"/>
      <c r="BK41" s="2828"/>
      <c r="BL41" s="2616" t="s">
        <v>42</v>
      </c>
      <c r="BM41" s="2616"/>
      <c r="BN41" s="2616"/>
      <c r="BO41" s="2617"/>
      <c r="BP41" s="2687" t="s">
        <v>15</v>
      </c>
      <c r="BQ41" s="2688"/>
      <c r="BR41" s="2688"/>
      <c r="BS41" s="2689"/>
      <c r="BT41" s="2703" t="s">
        <v>9</v>
      </c>
      <c r="BU41" s="2703"/>
      <c r="BV41" s="2703"/>
      <c r="BW41" s="2703"/>
      <c r="BX41" s="2703"/>
      <c r="BY41" s="2703"/>
      <c r="BZ41" s="2703"/>
      <c r="CA41" s="2703"/>
      <c r="CB41" s="2703"/>
      <c r="CC41" s="2703"/>
      <c r="CD41" s="2703"/>
      <c r="CE41" s="2703"/>
      <c r="CF41" s="2703"/>
      <c r="CG41" s="2703"/>
      <c r="CH41" s="2704"/>
      <c r="CO41" s="2"/>
      <c r="CP41" s="2"/>
      <c r="CQ41" s="2"/>
      <c r="CR41" s="2"/>
      <c r="CS41" s="2"/>
      <c r="CT41" s="2"/>
      <c r="CU41" s="2"/>
      <c r="CV41" s="2"/>
      <c r="DB41" s="2783" t="s">
        <v>121</v>
      </c>
      <c r="DC41" s="2784"/>
      <c r="DD41" s="2784"/>
      <c r="DE41" s="2784"/>
      <c r="DF41" s="2784"/>
      <c r="DG41" s="2784"/>
      <c r="DH41" s="2784"/>
      <c r="DI41" s="2784"/>
      <c r="DJ41" s="2784"/>
      <c r="DK41" s="2784"/>
      <c r="DL41" s="2784"/>
      <c r="DM41" s="2784"/>
      <c r="DN41" s="2784"/>
      <c r="DO41" s="2784"/>
      <c r="DP41" s="2784"/>
      <c r="DQ41" s="2784"/>
      <c r="DR41" s="2693" t="str">
        <f>IF(L28="","",IF(L34="","",L28-L34))</f>
        <v/>
      </c>
      <c r="DS41" s="2694"/>
      <c r="DT41" s="2694"/>
      <c r="DU41" s="2694"/>
      <c r="DV41" s="2695"/>
    </row>
    <row r="42" spans="1:129" ht="8.6999999999999993" customHeight="1">
      <c r="A42" s="1"/>
      <c r="B42" s="2852"/>
      <c r="C42" s="2853"/>
      <c r="D42" s="2853"/>
      <c r="E42" s="2853"/>
      <c r="F42" s="2853"/>
      <c r="G42" s="2854"/>
      <c r="H42" s="2582"/>
      <c r="I42" s="2583"/>
      <c r="J42" s="2583"/>
      <c r="K42" s="2618"/>
      <c r="L42" s="2838"/>
      <c r="M42" s="1617"/>
      <c r="N42" s="1617"/>
      <c r="O42" s="2839"/>
      <c r="P42" s="2582"/>
      <c r="Q42" s="2583"/>
      <c r="R42" s="2583"/>
      <c r="S42" s="2618"/>
      <c r="T42" s="2582"/>
      <c r="U42" s="2583"/>
      <c r="V42" s="2583"/>
      <c r="W42" s="2618"/>
      <c r="X42" s="2582"/>
      <c r="Y42" s="2583"/>
      <c r="Z42" s="2583"/>
      <c r="AA42" s="2583"/>
      <c r="AB42" s="2572"/>
      <c r="AC42" s="2573"/>
      <c r="AD42" s="2573"/>
      <c r="AE42" s="2573"/>
      <c r="AF42" s="2613"/>
      <c r="AG42" s="2583"/>
      <c r="AH42" s="2583"/>
      <c r="AI42" s="2614"/>
      <c r="AJ42" s="2607"/>
      <c r="AK42" s="2608"/>
      <c r="AL42" s="2608"/>
      <c r="AM42" s="2609"/>
      <c r="AN42" s="2626"/>
      <c r="AO42" s="2626"/>
      <c r="AP42" s="2626"/>
      <c r="AQ42" s="2627"/>
      <c r="AR42" s="2766"/>
      <c r="AS42" s="2766"/>
      <c r="AT42" s="2766"/>
      <c r="AU42" s="2766"/>
      <c r="AV42" s="2766"/>
      <c r="AW42" s="2766"/>
      <c r="AX42" s="2766"/>
      <c r="AY42" s="2766"/>
      <c r="AZ42" s="2766"/>
      <c r="BA42" s="2766"/>
      <c r="BB42" s="2766"/>
      <c r="BC42" s="2766"/>
      <c r="BD42" s="2766"/>
      <c r="BE42" s="2766"/>
      <c r="BF42" s="2766"/>
      <c r="BG42" s="2767"/>
      <c r="BH42" s="2582"/>
      <c r="BI42" s="2583"/>
      <c r="BJ42" s="2583"/>
      <c r="BK42" s="2829"/>
      <c r="BL42" s="2583"/>
      <c r="BM42" s="2583"/>
      <c r="BN42" s="2583"/>
      <c r="BO42" s="2618"/>
      <c r="BP42" s="2690"/>
      <c r="BQ42" s="2691"/>
      <c r="BR42" s="2691"/>
      <c r="BS42" s="2692"/>
      <c r="BT42" s="2340"/>
      <c r="BU42" s="2340"/>
      <c r="BV42" s="2340"/>
      <c r="BW42" s="2340"/>
      <c r="BX42" s="2340"/>
      <c r="BY42" s="2340"/>
      <c r="BZ42" s="2340"/>
      <c r="CA42" s="2340"/>
      <c r="CB42" s="2340"/>
      <c r="CC42" s="2340"/>
      <c r="CD42" s="2340"/>
      <c r="CE42" s="2340"/>
      <c r="CF42" s="2340"/>
      <c r="CG42" s="2340"/>
      <c r="CH42" s="2705"/>
      <c r="CO42" s="2768" t="s">
        <v>1198</v>
      </c>
      <c r="CP42" s="2769"/>
      <c r="CQ42" s="2769"/>
      <c r="CR42" s="2769"/>
      <c r="CS42" s="2769"/>
      <c r="CT42" s="2769"/>
      <c r="CU42" s="2769"/>
      <c r="CV42" s="2770"/>
      <c r="DB42" s="2785"/>
      <c r="DC42" s="2786"/>
      <c r="DD42" s="2786"/>
      <c r="DE42" s="2786"/>
      <c r="DF42" s="2786"/>
      <c r="DG42" s="2786"/>
      <c r="DH42" s="2786"/>
      <c r="DI42" s="2786"/>
      <c r="DJ42" s="2786"/>
      <c r="DK42" s="2786"/>
      <c r="DL42" s="2786"/>
      <c r="DM42" s="2786"/>
      <c r="DN42" s="2786"/>
      <c r="DO42" s="2786"/>
      <c r="DP42" s="2786"/>
      <c r="DQ42" s="2786"/>
      <c r="DR42" s="2696"/>
      <c r="DS42" s="2697"/>
      <c r="DT42" s="2697"/>
      <c r="DU42" s="2697"/>
      <c r="DV42" s="2698"/>
    </row>
    <row r="43" spans="1:129" ht="12" customHeight="1" thickBot="1">
      <c r="A43" s="1"/>
      <c r="B43" s="2843"/>
      <c r="C43" s="2844"/>
      <c r="D43" s="2844"/>
      <c r="E43" s="2844"/>
      <c r="F43" s="2844"/>
      <c r="G43" s="2845"/>
      <c r="H43" s="2582"/>
      <c r="I43" s="2583"/>
      <c r="J43" s="2583"/>
      <c r="K43" s="2618"/>
      <c r="L43" s="2838"/>
      <c r="M43" s="1617"/>
      <c r="N43" s="1617"/>
      <c r="O43" s="2839"/>
      <c r="P43" s="2582"/>
      <c r="Q43" s="2583"/>
      <c r="R43" s="2583"/>
      <c r="S43" s="2618"/>
      <c r="T43" s="2582"/>
      <c r="U43" s="2583"/>
      <c r="V43" s="2583"/>
      <c r="W43" s="2618"/>
      <c r="X43" s="2582"/>
      <c r="Y43" s="2583"/>
      <c r="Z43" s="2583"/>
      <c r="AA43" s="2583"/>
      <c r="AB43" s="2572"/>
      <c r="AC43" s="2573"/>
      <c r="AD43" s="2573"/>
      <c r="AE43" s="2573"/>
      <c r="AF43" s="2613"/>
      <c r="AG43" s="2583"/>
      <c r="AH43" s="2583"/>
      <c r="AI43" s="2614"/>
      <c r="AJ43" s="2855" t="s">
        <v>136</v>
      </c>
      <c r="AK43" s="2855"/>
      <c r="AL43" s="2855"/>
      <c r="AM43" s="2855"/>
      <c r="AN43" s="2855"/>
      <c r="AO43" s="2855"/>
      <c r="AP43" s="2855"/>
      <c r="AQ43" s="2856"/>
      <c r="AR43" s="2582" t="s">
        <v>1</v>
      </c>
      <c r="AS43" s="2583"/>
      <c r="AT43" s="2583"/>
      <c r="AU43" s="2583"/>
      <c r="AV43" s="2582" t="s">
        <v>2</v>
      </c>
      <c r="AW43" s="2583"/>
      <c r="AX43" s="2583"/>
      <c r="AY43" s="2583"/>
      <c r="AZ43" s="2582" t="s">
        <v>986</v>
      </c>
      <c r="BA43" s="2583"/>
      <c r="BB43" s="2583"/>
      <c r="BC43" s="2583"/>
      <c r="BD43" s="2582" t="s">
        <v>14</v>
      </c>
      <c r="BE43" s="2583"/>
      <c r="BF43" s="2583"/>
      <c r="BG43" s="2583"/>
      <c r="BH43" s="2582"/>
      <c r="BI43" s="2583"/>
      <c r="BJ43" s="2583"/>
      <c r="BK43" s="2829"/>
      <c r="BL43" s="2583"/>
      <c r="BM43" s="2583"/>
      <c r="BN43" s="2583"/>
      <c r="BO43" s="2618"/>
      <c r="BP43" s="2690"/>
      <c r="BQ43" s="2691"/>
      <c r="BR43" s="2691"/>
      <c r="BS43" s="2692"/>
      <c r="BT43" s="2340"/>
      <c r="BU43" s="2340"/>
      <c r="BV43" s="2340"/>
      <c r="BW43" s="2340"/>
      <c r="BX43" s="2340"/>
      <c r="BY43" s="2340"/>
      <c r="BZ43" s="2340"/>
      <c r="CA43" s="2340"/>
      <c r="CB43" s="2340"/>
      <c r="CC43" s="2340"/>
      <c r="CD43" s="2340"/>
      <c r="CE43" s="2340"/>
      <c r="CF43" s="2340"/>
      <c r="CG43" s="2340"/>
      <c r="CH43" s="2705"/>
      <c r="CO43" s="2771"/>
      <c r="CP43" s="2463"/>
      <c r="CQ43" s="2463"/>
      <c r="CR43" s="2463"/>
      <c r="CS43" s="2463"/>
      <c r="CT43" s="2463"/>
      <c r="CU43" s="2463"/>
      <c r="CV43" s="2585"/>
      <c r="DB43" s="2787"/>
      <c r="DC43" s="2788"/>
      <c r="DD43" s="2788"/>
      <c r="DE43" s="2788"/>
      <c r="DF43" s="2788"/>
      <c r="DG43" s="2788"/>
      <c r="DH43" s="2788"/>
      <c r="DI43" s="2788"/>
      <c r="DJ43" s="2788"/>
      <c r="DK43" s="2788"/>
      <c r="DL43" s="2788"/>
      <c r="DM43" s="2788"/>
      <c r="DN43" s="2788"/>
      <c r="DO43" s="2788"/>
      <c r="DP43" s="2788"/>
      <c r="DQ43" s="2788"/>
      <c r="DR43" s="2699"/>
      <c r="DS43" s="2700"/>
      <c r="DT43" s="2700"/>
      <c r="DU43" s="2700"/>
      <c r="DV43" s="2701"/>
    </row>
    <row r="44" spans="1:129" ht="7.95" customHeight="1">
      <c r="A44" s="1"/>
      <c r="B44" s="2846"/>
      <c r="C44" s="2847"/>
      <c r="D44" s="2847"/>
      <c r="E44" s="2847"/>
      <c r="F44" s="2847"/>
      <c r="G44" s="2848"/>
      <c r="H44" s="2582"/>
      <c r="I44" s="2583"/>
      <c r="J44" s="2583"/>
      <c r="K44" s="2618"/>
      <c r="L44" s="2840"/>
      <c r="M44" s="2841"/>
      <c r="N44" s="2841"/>
      <c r="O44" s="2842"/>
      <c r="P44" s="2582"/>
      <c r="Q44" s="2583"/>
      <c r="R44" s="2583"/>
      <c r="S44" s="2618"/>
      <c r="T44" s="2582"/>
      <c r="U44" s="2583"/>
      <c r="V44" s="2583"/>
      <c r="W44" s="2618"/>
      <c r="X44" s="2582"/>
      <c r="Y44" s="2583"/>
      <c r="Z44" s="2583"/>
      <c r="AA44" s="2583"/>
      <c r="AB44" s="2572"/>
      <c r="AC44" s="2573"/>
      <c r="AD44" s="2573"/>
      <c r="AE44" s="2573"/>
      <c r="AF44" s="2613"/>
      <c r="AG44" s="2583"/>
      <c r="AH44" s="2583"/>
      <c r="AI44" s="2614"/>
      <c r="AJ44" s="2855"/>
      <c r="AK44" s="2855"/>
      <c r="AL44" s="2855"/>
      <c r="AM44" s="2855"/>
      <c r="AN44" s="2855"/>
      <c r="AO44" s="2855"/>
      <c r="AP44" s="2855"/>
      <c r="AQ44" s="2856"/>
      <c r="AR44" s="2582"/>
      <c r="AS44" s="2583"/>
      <c r="AT44" s="2583"/>
      <c r="AU44" s="2583"/>
      <c r="AV44" s="2582"/>
      <c r="AW44" s="2583"/>
      <c r="AX44" s="2583"/>
      <c r="AY44" s="2583"/>
      <c r="AZ44" s="2582"/>
      <c r="BA44" s="2583"/>
      <c r="BB44" s="2583"/>
      <c r="BC44" s="2583"/>
      <c r="BD44" s="2582"/>
      <c r="BE44" s="2583"/>
      <c r="BF44" s="2583"/>
      <c r="BG44" s="2583"/>
      <c r="BH44" s="2582"/>
      <c r="BI44" s="2583"/>
      <c r="BJ44" s="2583"/>
      <c r="BK44" s="2829"/>
      <c r="BL44" s="2583"/>
      <c r="BM44" s="2583"/>
      <c r="BN44" s="2583"/>
      <c r="BO44" s="2618"/>
      <c r="BP44" s="2690"/>
      <c r="BQ44" s="2691"/>
      <c r="BR44" s="2691"/>
      <c r="BS44" s="2692"/>
      <c r="BT44" s="2706"/>
      <c r="BU44" s="2706"/>
      <c r="BV44" s="2706"/>
      <c r="BW44" s="2706"/>
      <c r="BX44" s="2706"/>
      <c r="BY44" s="2706"/>
      <c r="BZ44" s="2706"/>
      <c r="CA44" s="2706"/>
      <c r="CB44" s="2706"/>
      <c r="CC44" s="2706"/>
      <c r="CD44" s="2706"/>
      <c r="CE44" s="2706"/>
      <c r="CF44" s="2706"/>
      <c r="CG44" s="2706"/>
      <c r="CH44" s="2707"/>
      <c r="CO44" s="2771" t="s">
        <v>1199</v>
      </c>
      <c r="CP44" s="2463"/>
      <c r="CQ44" s="2463"/>
      <c r="CR44" s="2463"/>
      <c r="CS44" s="2463"/>
      <c r="CT44" s="2463"/>
      <c r="CU44" s="2463"/>
      <c r="CV44" s="2585"/>
    </row>
    <row r="45" spans="1:129" ht="8.6999999999999993" customHeight="1" thickBot="1">
      <c r="A45" s="1"/>
      <c r="B45" s="2544" t="s">
        <v>952</v>
      </c>
      <c r="C45" s="2545"/>
      <c r="D45" s="2545"/>
      <c r="E45" s="2545"/>
      <c r="F45" s="2545"/>
      <c r="G45" s="2546"/>
      <c r="H45" s="2582"/>
      <c r="I45" s="2583"/>
      <c r="J45" s="2583"/>
      <c r="K45" s="2618"/>
      <c r="L45" s="2822" t="s">
        <v>148</v>
      </c>
      <c r="M45" s="2823"/>
      <c r="N45" s="2823"/>
      <c r="O45" s="2824"/>
      <c r="P45" s="2628" t="s">
        <v>1197</v>
      </c>
      <c r="Q45" s="1957"/>
      <c r="R45" s="1957"/>
      <c r="S45" s="2629"/>
      <c r="T45" s="2582"/>
      <c r="U45" s="2583"/>
      <c r="V45" s="2583"/>
      <c r="W45" s="2618"/>
      <c r="X45" s="2582"/>
      <c r="Y45" s="2583"/>
      <c r="Z45" s="2583"/>
      <c r="AA45" s="2583"/>
      <c r="AB45" s="2572"/>
      <c r="AC45" s="2573"/>
      <c r="AD45" s="2573"/>
      <c r="AE45" s="2573"/>
      <c r="AF45" s="2613"/>
      <c r="AG45" s="2583"/>
      <c r="AH45" s="2583"/>
      <c r="AI45" s="2614"/>
      <c r="AJ45" s="2855"/>
      <c r="AK45" s="2855"/>
      <c r="AL45" s="2855"/>
      <c r="AM45" s="2855"/>
      <c r="AN45" s="2855"/>
      <c r="AO45" s="2855"/>
      <c r="AP45" s="2855"/>
      <c r="AQ45" s="2856"/>
      <c r="AR45" s="2582"/>
      <c r="AS45" s="2583"/>
      <c r="AT45" s="2583"/>
      <c r="AU45" s="2583"/>
      <c r="AV45" s="2582"/>
      <c r="AW45" s="2583"/>
      <c r="AX45" s="2583"/>
      <c r="AY45" s="2583"/>
      <c r="AZ45" s="2582"/>
      <c r="BA45" s="2583"/>
      <c r="BB45" s="2583"/>
      <c r="BC45" s="2583"/>
      <c r="BD45" s="2582"/>
      <c r="BE45" s="2583"/>
      <c r="BF45" s="2583"/>
      <c r="BG45" s="2583"/>
      <c r="BH45" s="2582"/>
      <c r="BI45" s="2583"/>
      <c r="BJ45" s="2583"/>
      <c r="BK45" s="2829"/>
      <c r="BL45" s="2583"/>
      <c r="BM45" s="2583"/>
      <c r="BN45" s="2583"/>
      <c r="BO45" s="2618"/>
      <c r="BP45" s="2690"/>
      <c r="BQ45" s="2691"/>
      <c r="BR45" s="2691"/>
      <c r="BS45" s="2692"/>
      <c r="BT45" s="2368"/>
      <c r="BU45" s="2368"/>
      <c r="BV45" s="2368"/>
      <c r="BW45" s="2368"/>
      <c r="BX45" s="2368"/>
      <c r="BY45" s="2368"/>
      <c r="BZ45" s="2368"/>
      <c r="CA45" s="2368"/>
      <c r="CB45" s="2368"/>
      <c r="CC45" s="2368"/>
      <c r="CD45" s="2368"/>
      <c r="CE45" s="2368"/>
      <c r="CF45" s="2368"/>
      <c r="CG45" s="2368"/>
      <c r="CH45" s="2369"/>
      <c r="CO45" s="2771"/>
      <c r="CP45" s="2463"/>
      <c r="CQ45" s="2463"/>
      <c r="CR45" s="2463"/>
      <c r="CS45" s="2463"/>
      <c r="CT45" s="2463"/>
      <c r="CU45" s="2463"/>
      <c r="CV45" s="2585"/>
      <c r="DB45" s="5"/>
      <c r="DC45" s="6"/>
      <c r="DD45" s="6"/>
      <c r="DE45" s="6"/>
      <c r="DF45" s="6"/>
      <c r="DG45" s="6"/>
      <c r="DH45" s="6"/>
      <c r="DI45" s="6"/>
      <c r="DJ45" s="6"/>
      <c r="DK45" s="6"/>
      <c r="DL45" s="6"/>
      <c r="DM45" s="6"/>
      <c r="DN45" s="6"/>
      <c r="DO45" s="6"/>
      <c r="DP45" s="6"/>
      <c r="DQ45" s="6"/>
      <c r="DR45" s="6"/>
      <c r="DS45" s="6"/>
      <c r="DT45" s="6"/>
      <c r="DU45" s="6"/>
      <c r="DV45" s="7"/>
    </row>
    <row r="46" spans="1:129" ht="12" customHeight="1">
      <c r="A46" s="1"/>
      <c r="B46" s="2547"/>
      <c r="C46" s="2548"/>
      <c r="D46" s="2548"/>
      <c r="E46" s="2548"/>
      <c r="F46" s="2548"/>
      <c r="G46" s="2549"/>
      <c r="H46" s="2582"/>
      <c r="I46" s="2583"/>
      <c r="J46" s="2583"/>
      <c r="K46" s="2618"/>
      <c r="L46" s="2822"/>
      <c r="M46" s="2823"/>
      <c r="N46" s="2823"/>
      <c r="O46" s="2824"/>
      <c r="P46" s="2628"/>
      <c r="Q46" s="1957"/>
      <c r="R46" s="1957"/>
      <c r="S46" s="2629"/>
      <c r="T46" s="2582"/>
      <c r="U46" s="2583"/>
      <c r="V46" s="2583"/>
      <c r="W46" s="2618"/>
      <c r="X46" s="2582"/>
      <c r="Y46" s="2583"/>
      <c r="Z46" s="2583"/>
      <c r="AA46" s="2583"/>
      <c r="AB46" s="2572"/>
      <c r="AC46" s="2573"/>
      <c r="AD46" s="2573"/>
      <c r="AE46" s="2573"/>
      <c r="AF46" s="2613"/>
      <c r="AG46" s="2583"/>
      <c r="AH46" s="2583"/>
      <c r="AI46" s="2614"/>
      <c r="AJ46" s="2855"/>
      <c r="AK46" s="2855"/>
      <c r="AL46" s="2855"/>
      <c r="AM46" s="2855"/>
      <c r="AN46" s="2855"/>
      <c r="AO46" s="2855"/>
      <c r="AP46" s="2855"/>
      <c r="AQ46" s="2856"/>
      <c r="AR46" s="2582"/>
      <c r="AS46" s="2583"/>
      <c r="AT46" s="2583"/>
      <c r="AU46" s="2583"/>
      <c r="AV46" s="2582"/>
      <c r="AW46" s="2583"/>
      <c r="AX46" s="2583"/>
      <c r="AY46" s="2583"/>
      <c r="AZ46" s="2582"/>
      <c r="BA46" s="2583"/>
      <c r="BB46" s="2583"/>
      <c r="BC46" s="2583"/>
      <c r="BD46" s="2582"/>
      <c r="BE46" s="2583"/>
      <c r="BF46" s="2583"/>
      <c r="BG46" s="2583"/>
      <c r="BH46" s="2582"/>
      <c r="BI46" s="2583"/>
      <c r="BJ46" s="2583"/>
      <c r="BK46" s="2829"/>
      <c r="BL46" s="2583"/>
      <c r="BM46" s="2583"/>
      <c r="BN46" s="2583"/>
      <c r="BO46" s="2618"/>
      <c r="BP46" s="2690"/>
      <c r="BQ46" s="2691"/>
      <c r="BR46" s="2691"/>
      <c r="BS46" s="2692"/>
      <c r="BT46" s="2370"/>
      <c r="BU46" s="2370"/>
      <c r="BV46" s="2370"/>
      <c r="BW46" s="2370"/>
      <c r="BX46" s="2370"/>
      <c r="BY46" s="2370"/>
      <c r="BZ46" s="2370"/>
      <c r="CA46" s="2370"/>
      <c r="CB46" s="2370"/>
      <c r="CC46" s="2370"/>
      <c r="CD46" s="2370"/>
      <c r="CE46" s="2370"/>
      <c r="CF46" s="2370"/>
      <c r="CG46" s="2370"/>
      <c r="CH46" s="2371"/>
      <c r="CO46" s="2771" t="s">
        <v>1200</v>
      </c>
      <c r="CP46" s="2463"/>
      <c r="CQ46" s="2463"/>
      <c r="CR46" s="2463"/>
      <c r="CS46" s="2463"/>
      <c r="CT46" s="2463"/>
      <c r="CU46" s="2463"/>
      <c r="CV46" s="2585"/>
      <c r="DB46" s="8"/>
      <c r="DC46" s="2242"/>
      <c r="DD46" s="2242"/>
      <c r="DE46" s="2859" t="s">
        <v>7</v>
      </c>
      <c r="DF46" s="2775"/>
      <c r="DG46" s="2775"/>
      <c r="DH46" s="2775"/>
      <c r="DI46" s="2775" t="s">
        <v>32</v>
      </c>
      <c r="DJ46" s="2775"/>
      <c r="DK46" s="2775"/>
      <c r="DL46" s="2776"/>
      <c r="DM46" s="2773" t="s">
        <v>33</v>
      </c>
      <c r="DN46" s="2774"/>
      <c r="DO46" s="2774"/>
      <c r="DP46" s="2774"/>
      <c r="DV46" s="9"/>
    </row>
    <row r="47" spans="1:129" ht="9.6" customHeight="1">
      <c r="A47" s="1"/>
      <c r="B47" s="2538"/>
      <c r="C47" s="2539"/>
      <c r="D47" s="2539"/>
      <c r="E47" s="2539"/>
      <c r="F47" s="2539"/>
      <c r="G47" s="2540"/>
      <c r="H47" s="2582"/>
      <c r="I47" s="2583"/>
      <c r="J47" s="2583"/>
      <c r="K47" s="2618"/>
      <c r="L47" s="2822" t="s">
        <v>434</v>
      </c>
      <c r="M47" s="2823"/>
      <c r="N47" s="2823"/>
      <c r="O47" s="2824"/>
      <c r="P47" s="2241" t="s">
        <v>1196</v>
      </c>
      <c r="Q47" s="2242"/>
      <c r="R47" s="2242"/>
      <c r="S47" s="2243"/>
      <c r="T47" s="2582"/>
      <c r="U47" s="2583"/>
      <c r="V47" s="2583"/>
      <c r="W47" s="2618"/>
      <c r="X47" s="2582"/>
      <c r="Y47" s="2583"/>
      <c r="Z47" s="2583"/>
      <c r="AA47" s="2583"/>
      <c r="AB47" s="2572"/>
      <c r="AC47" s="2573"/>
      <c r="AD47" s="2573"/>
      <c r="AE47" s="2573"/>
      <c r="AF47" s="2613"/>
      <c r="AG47" s="2583"/>
      <c r="AH47" s="2583"/>
      <c r="AI47" s="2614"/>
      <c r="AJ47" s="2793" t="s">
        <v>127</v>
      </c>
      <c r="AK47" s="2579"/>
      <c r="AL47" s="2579"/>
      <c r="AM47" s="2579"/>
      <c r="AN47" s="2578" t="s">
        <v>128</v>
      </c>
      <c r="AO47" s="2579"/>
      <c r="AP47" s="2579"/>
      <c r="AQ47" s="2579"/>
      <c r="AR47" s="2582"/>
      <c r="AS47" s="2583"/>
      <c r="AT47" s="2583"/>
      <c r="AU47" s="2583"/>
      <c r="AV47" s="2582"/>
      <c r="AW47" s="2583"/>
      <c r="AX47" s="2583"/>
      <c r="AY47" s="2583"/>
      <c r="AZ47" s="2582"/>
      <c r="BA47" s="2583"/>
      <c r="BB47" s="2583"/>
      <c r="BC47" s="2583"/>
      <c r="BD47" s="2582"/>
      <c r="BE47" s="2583"/>
      <c r="BF47" s="2583"/>
      <c r="BG47" s="2583"/>
      <c r="BH47" s="2582"/>
      <c r="BI47" s="2583"/>
      <c r="BJ47" s="2583"/>
      <c r="BK47" s="2829"/>
      <c r="BL47" s="2583"/>
      <c r="BM47" s="2583"/>
      <c r="BN47" s="2583"/>
      <c r="BO47" s="2618"/>
      <c r="BP47" s="2690"/>
      <c r="BQ47" s="2691"/>
      <c r="BR47" s="2691"/>
      <c r="BS47" s="2692"/>
      <c r="BT47" s="2370"/>
      <c r="BU47" s="2370"/>
      <c r="BV47" s="2370"/>
      <c r="BW47" s="2370"/>
      <c r="BX47" s="2370"/>
      <c r="BY47" s="2370"/>
      <c r="BZ47" s="2370"/>
      <c r="CA47" s="2370"/>
      <c r="CB47" s="2370"/>
      <c r="CC47" s="2370"/>
      <c r="CD47" s="2370"/>
      <c r="CE47" s="2370"/>
      <c r="CF47" s="2370"/>
      <c r="CG47" s="2370"/>
      <c r="CH47" s="2371"/>
      <c r="CK47" s="2858" t="s">
        <v>334</v>
      </c>
      <c r="CL47" s="2858"/>
      <c r="CM47" s="2858"/>
      <c r="CO47" s="2771"/>
      <c r="CP47" s="2463"/>
      <c r="CQ47" s="2463"/>
      <c r="CR47" s="2463"/>
      <c r="CS47" s="2463"/>
      <c r="CT47" s="2463"/>
      <c r="CU47" s="2463"/>
      <c r="CV47" s="2585"/>
      <c r="DB47" s="8"/>
      <c r="DC47" s="2242"/>
      <c r="DD47" s="2242"/>
      <c r="DE47" s="2860"/>
      <c r="DF47" s="2777"/>
      <c r="DG47" s="2777"/>
      <c r="DH47" s="2777"/>
      <c r="DI47" s="2777"/>
      <c r="DJ47" s="2777"/>
      <c r="DK47" s="2777"/>
      <c r="DL47" s="2778"/>
      <c r="DM47" s="2773"/>
      <c r="DN47" s="2774"/>
      <c r="DO47" s="2774"/>
      <c r="DP47" s="2774"/>
      <c r="DV47" s="9"/>
    </row>
    <row r="48" spans="1:129" ht="9.6" customHeight="1">
      <c r="A48" s="1"/>
      <c r="B48" s="2541"/>
      <c r="C48" s="2542"/>
      <c r="D48" s="2542"/>
      <c r="E48" s="2542"/>
      <c r="F48" s="2542"/>
      <c r="G48" s="2543"/>
      <c r="H48" s="2582"/>
      <c r="I48" s="2583"/>
      <c r="J48" s="2583"/>
      <c r="K48" s="2618"/>
      <c r="L48" s="2822"/>
      <c r="M48" s="2823"/>
      <c r="N48" s="2823"/>
      <c r="O48" s="2824"/>
      <c r="P48" s="2241"/>
      <c r="Q48" s="2242"/>
      <c r="R48" s="2242"/>
      <c r="S48" s="2243"/>
      <c r="T48" s="2771" t="s">
        <v>13</v>
      </c>
      <c r="U48" s="2463"/>
      <c r="V48" s="2463"/>
      <c r="W48" s="2463"/>
      <c r="X48" s="2771" t="s">
        <v>13</v>
      </c>
      <c r="Y48" s="2463"/>
      <c r="Z48" s="2463"/>
      <c r="AA48" s="2463"/>
      <c r="AB48" s="2806" t="s">
        <v>13</v>
      </c>
      <c r="AC48" s="2807"/>
      <c r="AD48" s="2807"/>
      <c r="AE48" s="2807"/>
      <c r="AF48" s="2802" t="s">
        <v>12</v>
      </c>
      <c r="AG48" s="2463"/>
      <c r="AH48" s="2463"/>
      <c r="AI48" s="2803"/>
      <c r="AJ48" s="2794"/>
      <c r="AK48" s="2581"/>
      <c r="AL48" s="2581"/>
      <c r="AM48" s="2581"/>
      <c r="AN48" s="2580"/>
      <c r="AO48" s="2581"/>
      <c r="AP48" s="2581"/>
      <c r="AQ48" s="2581"/>
      <c r="AR48" s="2582"/>
      <c r="AS48" s="2583"/>
      <c r="AT48" s="2583"/>
      <c r="AU48" s="2583"/>
      <c r="AV48" s="2582"/>
      <c r="AW48" s="2583"/>
      <c r="AX48" s="2583"/>
      <c r="AY48" s="2583"/>
      <c r="AZ48" s="2582"/>
      <c r="BA48" s="2583"/>
      <c r="BB48" s="2583"/>
      <c r="BC48" s="2583"/>
      <c r="BD48" s="2582"/>
      <c r="BE48" s="2583"/>
      <c r="BF48" s="2583"/>
      <c r="BG48" s="2583"/>
      <c r="BH48" s="2771" t="s">
        <v>12</v>
      </c>
      <c r="BI48" s="2463"/>
      <c r="BJ48" s="2463"/>
      <c r="BK48" s="2803"/>
      <c r="BL48" s="2463" t="s">
        <v>12</v>
      </c>
      <c r="BM48" s="2463"/>
      <c r="BN48" s="2463"/>
      <c r="BO48" s="2585"/>
      <c r="BP48" s="2771" t="s">
        <v>12</v>
      </c>
      <c r="BQ48" s="2463"/>
      <c r="BR48" s="2463"/>
      <c r="BS48" s="2803"/>
      <c r="BT48" s="2370"/>
      <c r="BU48" s="2370"/>
      <c r="BV48" s="2370"/>
      <c r="BW48" s="2370"/>
      <c r="BX48" s="2370"/>
      <c r="BY48" s="2370"/>
      <c r="BZ48" s="2370"/>
      <c r="CA48" s="2370"/>
      <c r="CB48" s="2370"/>
      <c r="CC48" s="2370"/>
      <c r="CD48" s="2370"/>
      <c r="CE48" s="2370"/>
      <c r="CF48" s="2370"/>
      <c r="CG48" s="2370"/>
      <c r="CH48" s="2371"/>
      <c r="CK48" s="2858"/>
      <c r="CL48" s="2858"/>
      <c r="CM48" s="2858"/>
      <c r="CO48" s="2771" t="s">
        <v>1201</v>
      </c>
      <c r="CP48" s="2463"/>
      <c r="CQ48" s="2463"/>
      <c r="CR48" s="2463"/>
      <c r="CS48" s="2463"/>
      <c r="CT48" s="2463"/>
      <c r="CU48" s="2463"/>
      <c r="CV48" s="2585"/>
      <c r="DB48" s="8"/>
      <c r="DC48" s="2865" t="s">
        <v>34</v>
      </c>
      <c r="DD48" s="2866"/>
      <c r="DE48" s="2861" t="s">
        <v>30</v>
      </c>
      <c r="DF48" s="2222"/>
      <c r="DG48" s="2222"/>
      <c r="DH48" s="2222"/>
      <c r="DI48" s="2222" t="s">
        <v>31</v>
      </c>
      <c r="DJ48" s="2222"/>
      <c r="DK48" s="2222"/>
      <c r="DL48" s="2779"/>
      <c r="DM48" s="2782" t="s">
        <v>31</v>
      </c>
      <c r="DN48" s="2222"/>
      <c r="DO48" s="2222"/>
      <c r="DP48" s="2222"/>
      <c r="DV48" s="9"/>
    </row>
    <row r="49" spans="1:137" ht="9.6" customHeight="1">
      <c r="A49" s="1"/>
      <c r="B49" s="2532" t="s">
        <v>0</v>
      </c>
      <c r="C49" s="2533"/>
      <c r="D49" s="2533"/>
      <c r="E49" s="2533"/>
      <c r="F49" s="2533"/>
      <c r="G49" s="2534"/>
      <c r="H49" s="2582"/>
      <c r="I49" s="2583"/>
      <c r="J49" s="2583"/>
      <c r="K49" s="2618"/>
      <c r="L49" s="2822" t="s">
        <v>433</v>
      </c>
      <c r="M49" s="2823"/>
      <c r="N49" s="2823"/>
      <c r="O49" s="2824"/>
      <c r="P49" s="2678" t="s">
        <v>1195</v>
      </c>
      <c r="Q49" s="2679"/>
      <c r="R49" s="2679"/>
      <c r="S49" s="2680"/>
      <c r="T49" s="2771"/>
      <c r="U49" s="2463"/>
      <c r="V49" s="2463"/>
      <c r="W49" s="2463"/>
      <c r="X49" s="2771"/>
      <c r="Y49" s="2463"/>
      <c r="Z49" s="2463"/>
      <c r="AA49" s="2463"/>
      <c r="AB49" s="2806"/>
      <c r="AC49" s="2807"/>
      <c r="AD49" s="2807"/>
      <c r="AE49" s="2807"/>
      <c r="AF49" s="2802"/>
      <c r="AG49" s="2463"/>
      <c r="AH49" s="2463"/>
      <c r="AI49" s="2803"/>
      <c r="AJ49" s="2619" t="s">
        <v>129</v>
      </c>
      <c r="AK49" s="2620"/>
      <c r="AL49" s="2620"/>
      <c r="AM49" s="2620"/>
      <c r="AN49" s="2620"/>
      <c r="AO49" s="2620"/>
      <c r="AP49" s="2620"/>
      <c r="AQ49" s="2621"/>
      <c r="AR49" s="2582"/>
      <c r="AS49" s="2583"/>
      <c r="AT49" s="2583"/>
      <c r="AU49" s="2583"/>
      <c r="AV49" s="2582"/>
      <c r="AW49" s="2583"/>
      <c r="AX49" s="2583"/>
      <c r="AY49" s="2583"/>
      <c r="AZ49" s="2582"/>
      <c r="BA49" s="2583"/>
      <c r="BB49" s="2583"/>
      <c r="BC49" s="2583"/>
      <c r="BD49" s="2582"/>
      <c r="BE49" s="2583"/>
      <c r="BF49" s="2583"/>
      <c r="BG49" s="2583"/>
      <c r="BH49" s="2771"/>
      <c r="BI49" s="2463"/>
      <c r="BJ49" s="2463"/>
      <c r="BK49" s="2803"/>
      <c r="BL49" s="2463"/>
      <c r="BM49" s="2463"/>
      <c r="BN49" s="2463"/>
      <c r="BO49" s="2585"/>
      <c r="BP49" s="2771"/>
      <c r="BQ49" s="2463"/>
      <c r="BR49" s="2463"/>
      <c r="BS49" s="2803"/>
      <c r="BT49" s="2370"/>
      <c r="BU49" s="2370"/>
      <c r="BV49" s="2370"/>
      <c r="BW49" s="2370"/>
      <c r="BX49" s="2370"/>
      <c r="BY49" s="2370"/>
      <c r="BZ49" s="2370"/>
      <c r="CA49" s="2370"/>
      <c r="CB49" s="2370"/>
      <c r="CC49" s="2370"/>
      <c r="CD49" s="2370"/>
      <c r="CE49" s="2370"/>
      <c r="CF49" s="2370"/>
      <c r="CG49" s="2370"/>
      <c r="CH49" s="2371"/>
      <c r="CK49" s="2858"/>
      <c r="CL49" s="2858"/>
      <c r="CM49" s="2858"/>
      <c r="CO49" s="2771"/>
      <c r="CP49" s="2463"/>
      <c r="CQ49" s="2463"/>
      <c r="CR49" s="2463"/>
      <c r="CS49" s="2463"/>
      <c r="CT49" s="2463"/>
      <c r="CU49" s="2463"/>
      <c r="CV49" s="2585"/>
      <c r="CW49" s="2241" t="s">
        <v>1209</v>
      </c>
      <c r="CX49" s="2242"/>
      <c r="CY49" s="2242"/>
      <c r="CZ49" s="2242"/>
      <c r="DB49" s="8"/>
      <c r="DC49" s="2867"/>
      <c r="DD49" s="2868"/>
      <c r="DE49" s="2861"/>
      <c r="DF49" s="2222"/>
      <c r="DG49" s="2222"/>
      <c r="DH49" s="2222"/>
      <c r="DI49" s="2222"/>
      <c r="DJ49" s="2222"/>
      <c r="DK49" s="2222"/>
      <c r="DL49" s="2779"/>
      <c r="DM49" s="2782"/>
      <c r="DN49" s="2222"/>
      <c r="DO49" s="2222"/>
      <c r="DP49" s="2222"/>
      <c r="DV49" s="9"/>
    </row>
    <row r="50" spans="1:137" ht="9.6" customHeight="1" thickBot="1">
      <c r="A50" s="1"/>
      <c r="B50" s="2535"/>
      <c r="C50" s="2536"/>
      <c r="D50" s="2536"/>
      <c r="E50" s="2536"/>
      <c r="F50" s="2536"/>
      <c r="G50" s="2537"/>
      <c r="H50" s="2582"/>
      <c r="I50" s="2583"/>
      <c r="J50" s="2583"/>
      <c r="K50" s="2618"/>
      <c r="L50" s="2825"/>
      <c r="M50" s="2826"/>
      <c r="N50" s="2826"/>
      <c r="O50" s="2827"/>
      <c r="P50" s="2681"/>
      <c r="Q50" s="2682"/>
      <c r="R50" s="2682"/>
      <c r="S50" s="2683"/>
      <c r="T50" s="2772"/>
      <c r="U50" s="2586"/>
      <c r="V50" s="2586"/>
      <c r="W50" s="2586"/>
      <c r="X50" s="2772"/>
      <c r="Y50" s="2586"/>
      <c r="Z50" s="2586"/>
      <c r="AA50" s="2586"/>
      <c r="AB50" s="2808"/>
      <c r="AC50" s="2809"/>
      <c r="AD50" s="2809"/>
      <c r="AE50" s="2809"/>
      <c r="AF50" s="2804"/>
      <c r="AG50" s="2586"/>
      <c r="AH50" s="2586"/>
      <c r="AI50" s="2805"/>
      <c r="AJ50" s="2622"/>
      <c r="AK50" s="2622"/>
      <c r="AL50" s="2622"/>
      <c r="AM50" s="2622"/>
      <c r="AN50" s="2622"/>
      <c r="AO50" s="2622"/>
      <c r="AP50" s="2622"/>
      <c r="AQ50" s="2623"/>
      <c r="AR50" s="2584"/>
      <c r="AS50" s="2536"/>
      <c r="AT50" s="2536"/>
      <c r="AU50" s="2536"/>
      <c r="AV50" s="2584"/>
      <c r="AW50" s="2536"/>
      <c r="AX50" s="2536"/>
      <c r="AY50" s="2536"/>
      <c r="AZ50" s="2584"/>
      <c r="BA50" s="2536"/>
      <c r="BB50" s="2536"/>
      <c r="BC50" s="2536"/>
      <c r="BD50" s="2584"/>
      <c r="BE50" s="2536"/>
      <c r="BF50" s="2536"/>
      <c r="BG50" s="2536"/>
      <c r="BH50" s="2772"/>
      <c r="BI50" s="2586"/>
      <c r="BJ50" s="2586"/>
      <c r="BK50" s="2805"/>
      <c r="BL50" s="2586"/>
      <c r="BM50" s="2586"/>
      <c r="BN50" s="2586"/>
      <c r="BO50" s="2587"/>
      <c r="BP50" s="2772"/>
      <c r="BQ50" s="2586"/>
      <c r="BR50" s="2586"/>
      <c r="BS50" s="2805"/>
      <c r="BT50" s="2372"/>
      <c r="BU50" s="2372"/>
      <c r="BV50" s="2372"/>
      <c r="BW50" s="2372"/>
      <c r="BX50" s="2372"/>
      <c r="BY50" s="2372"/>
      <c r="BZ50" s="2372"/>
      <c r="CA50" s="2372"/>
      <c r="CB50" s="2372"/>
      <c r="CC50" s="2372"/>
      <c r="CD50" s="2372"/>
      <c r="CE50" s="2372"/>
      <c r="CF50" s="2372"/>
      <c r="CG50" s="2372"/>
      <c r="CH50" s="2373"/>
      <c r="CK50" s="2858"/>
      <c r="CL50" s="2858"/>
      <c r="CM50" s="2858"/>
      <c r="CO50" s="2772"/>
      <c r="CP50" s="2586"/>
      <c r="CQ50" s="2586"/>
      <c r="CR50" s="2586"/>
      <c r="CS50" s="2586"/>
      <c r="CT50" s="2586"/>
      <c r="CU50" s="2586"/>
      <c r="CV50" s="2587"/>
      <c r="CW50" s="2244"/>
      <c r="CX50" s="2245"/>
      <c r="CY50" s="2245"/>
      <c r="CZ50" s="2245"/>
      <c r="DB50" s="8"/>
      <c r="DC50" s="2867"/>
      <c r="DD50" s="2868"/>
      <c r="DE50" s="2862"/>
      <c r="DF50" s="2780"/>
      <c r="DG50" s="2780"/>
      <c r="DH50" s="2780"/>
      <c r="DI50" s="2780"/>
      <c r="DJ50" s="2780"/>
      <c r="DK50" s="2780"/>
      <c r="DL50" s="2781"/>
      <c r="DM50" s="2782"/>
      <c r="DN50" s="2222"/>
      <c r="DO50" s="2222"/>
      <c r="DP50" s="2222"/>
      <c r="DV50" s="9"/>
    </row>
    <row r="51" spans="1:137" ht="8.85" customHeight="1">
      <c r="A51" s="2518">
        <v>1</v>
      </c>
      <c r="B51" s="2519"/>
      <c r="C51" s="2520"/>
      <c r="D51" s="2520"/>
      <c r="E51" s="2520"/>
      <c r="F51" s="2520"/>
      <c r="G51" s="2520"/>
      <c r="H51" s="2503"/>
      <c r="I51" s="2504"/>
      <c r="J51" s="2504"/>
      <c r="K51" s="2505"/>
      <c r="L51" s="2474"/>
      <c r="M51" s="2475"/>
      <c r="N51" s="2475"/>
      <c r="O51" s="2476"/>
      <c r="P51" s="2503"/>
      <c r="Q51" s="2504"/>
      <c r="R51" s="2504"/>
      <c r="S51" s="2505"/>
      <c r="T51" s="2810"/>
      <c r="U51" s="2811"/>
      <c r="V51" s="2811"/>
      <c r="W51" s="2812"/>
      <c r="X51" s="2420"/>
      <c r="Y51" s="2421"/>
      <c r="Z51" s="2421"/>
      <c r="AA51" s="2450"/>
      <c r="AB51" s="2795" t="str">
        <f>IF(OR(L51="REJECTED",L51="Not Placed"),IF(L34="","",L34),IF(OR(X51="",L$28=""),"",L$28-X51))</f>
        <v/>
      </c>
      <c r="AC51" s="2796"/>
      <c r="AD51" s="2796"/>
      <c r="AE51" s="2797"/>
      <c r="AF51" s="2440"/>
      <c r="AG51" s="2421"/>
      <c r="AH51" s="2421"/>
      <c r="AI51" s="2441"/>
      <c r="AJ51" s="2438"/>
      <c r="AK51" s="2356"/>
      <c r="AL51" s="2356"/>
      <c r="AM51" s="2356"/>
      <c r="AN51" s="2438"/>
      <c r="AO51" s="2356"/>
      <c r="AP51" s="2356"/>
      <c r="AQ51" s="2356"/>
      <c r="AR51" s="2356"/>
      <c r="AS51" s="2356"/>
      <c r="AT51" s="2356"/>
      <c r="AU51" s="2356"/>
      <c r="AV51" s="2356"/>
      <c r="AW51" s="2356"/>
      <c r="AX51" s="2356"/>
      <c r="AY51" s="2356"/>
      <c r="AZ51" s="2420"/>
      <c r="BA51" s="2421"/>
      <c r="BB51" s="2421"/>
      <c r="BC51" s="2421"/>
      <c r="BD51" s="2356"/>
      <c r="BE51" s="2356"/>
      <c r="BF51" s="2356"/>
      <c r="BG51" s="2356"/>
      <c r="BH51" s="2356"/>
      <c r="BI51" s="2356"/>
      <c r="BJ51" s="2356"/>
      <c r="BK51" s="2374"/>
      <c r="BL51" s="2410" t="str">
        <f>IF(OR(L51="REJECTED",L51="Not Placed"),0,IF(AF51="","",SUM(AF51:AM54)-SUM(AN51:BK54)))</f>
        <v/>
      </c>
      <c r="BM51" s="2375"/>
      <c r="BN51" s="2375"/>
      <c r="BO51" s="2375"/>
      <c r="BP51" s="2375" t="str">
        <f>IF(L51="REJECTED",0,IF(AF51="","",BL51))</f>
        <v/>
      </c>
      <c r="BQ51" s="2375"/>
      <c r="BR51" s="2375"/>
      <c r="BS51" s="2376"/>
      <c r="BT51" s="2368"/>
      <c r="BU51" s="2368"/>
      <c r="BV51" s="2368"/>
      <c r="BW51" s="2368"/>
      <c r="BX51" s="2368"/>
      <c r="BY51" s="2368"/>
      <c r="BZ51" s="2368"/>
      <c r="CA51" s="2368"/>
      <c r="CB51" s="2368"/>
      <c r="CC51" s="2368"/>
      <c r="CD51" s="2368"/>
      <c r="CE51" s="2368"/>
      <c r="CF51" s="2368"/>
      <c r="CG51" s="2368"/>
      <c r="CH51" s="2369"/>
      <c r="CI51" s="2702">
        <v>1</v>
      </c>
      <c r="CJ51" s="2702"/>
      <c r="CK51" s="2857" t="e">
        <f>'Concr. Curve'!BL55</f>
        <v>#DIV/0!</v>
      </c>
      <c r="CL51" s="2857"/>
      <c r="CM51" s="2857"/>
      <c r="CN51" s="139"/>
      <c r="CP51" s="139"/>
      <c r="CQ51" s="2742" t="str">
        <f t="shared" ref="CQ51" si="0">IF(OR(P51="",H51=""),"",MOD(P51-H51,1)*24*60)</f>
        <v/>
      </c>
      <c r="CR51" s="2743"/>
      <c r="CS51" s="2743"/>
      <c r="CT51" s="2744"/>
      <c r="CU51" s="139"/>
      <c r="CV51" s="139"/>
      <c r="CW51" s="2754">
        <f>L28-T51</f>
        <v>0</v>
      </c>
      <c r="CX51" s="2300"/>
      <c r="CY51" s="2300"/>
      <c r="CZ51" s="2755"/>
      <c r="DB51" s="8"/>
      <c r="DC51" s="2867"/>
      <c r="DD51" s="2868"/>
      <c r="DE51" s="2863">
        <v>0</v>
      </c>
      <c r="DF51" s="2789"/>
      <c r="DG51" s="2789"/>
      <c r="DH51" s="2789"/>
      <c r="DI51" s="2789">
        <v>0</v>
      </c>
      <c r="DJ51" s="2789"/>
      <c r="DK51" s="2789"/>
      <c r="DL51" s="2790"/>
      <c r="DM51" s="2270">
        <f>L34</f>
        <v>0</v>
      </c>
      <c r="DN51" s="2271"/>
      <c r="DO51" s="2271"/>
      <c r="DP51" s="2271"/>
      <c r="DQ51" s="2771" t="s">
        <v>243</v>
      </c>
      <c r="DR51" s="2463"/>
      <c r="DS51" s="2463"/>
      <c r="DT51" s="2463"/>
      <c r="DU51" s="2463"/>
      <c r="DV51" s="9"/>
    </row>
    <row r="52" spans="1:137" ht="8.85" customHeight="1">
      <c r="A52" s="2518"/>
      <c r="B52" s="2521"/>
      <c r="C52" s="2522"/>
      <c r="D52" s="2522"/>
      <c r="E52" s="2522"/>
      <c r="F52" s="2522"/>
      <c r="G52" s="2522"/>
      <c r="H52" s="2506"/>
      <c r="I52" s="2507"/>
      <c r="J52" s="2507"/>
      <c r="K52" s="2508"/>
      <c r="L52" s="2477"/>
      <c r="M52" s="2478"/>
      <c r="N52" s="2478"/>
      <c r="O52" s="2479"/>
      <c r="P52" s="2506"/>
      <c r="Q52" s="2507"/>
      <c r="R52" s="2507"/>
      <c r="S52" s="2508"/>
      <c r="T52" s="2813"/>
      <c r="U52" s="2814"/>
      <c r="V52" s="2814"/>
      <c r="W52" s="2815"/>
      <c r="X52" s="2422"/>
      <c r="Y52" s="2297"/>
      <c r="Z52" s="2297"/>
      <c r="AA52" s="2451"/>
      <c r="AB52" s="2798"/>
      <c r="AC52" s="2799"/>
      <c r="AD52" s="2799"/>
      <c r="AE52" s="2800"/>
      <c r="AF52" s="2442"/>
      <c r="AG52" s="2297"/>
      <c r="AH52" s="2297"/>
      <c r="AI52" s="2443"/>
      <c r="AJ52" s="2438"/>
      <c r="AK52" s="2356"/>
      <c r="AL52" s="2356"/>
      <c r="AM52" s="2356"/>
      <c r="AN52" s="2438"/>
      <c r="AO52" s="2356"/>
      <c r="AP52" s="2356"/>
      <c r="AQ52" s="2356"/>
      <c r="AR52" s="2356"/>
      <c r="AS52" s="2356"/>
      <c r="AT52" s="2356"/>
      <c r="AU52" s="2356"/>
      <c r="AV52" s="2356"/>
      <c r="AW52" s="2356"/>
      <c r="AX52" s="2356"/>
      <c r="AY52" s="2356"/>
      <c r="AZ52" s="2422"/>
      <c r="BA52" s="2297"/>
      <c r="BB52" s="2297"/>
      <c r="BC52" s="2297"/>
      <c r="BD52" s="2356"/>
      <c r="BE52" s="2356"/>
      <c r="BF52" s="2356"/>
      <c r="BG52" s="2356"/>
      <c r="BH52" s="2356"/>
      <c r="BI52" s="2356"/>
      <c r="BJ52" s="2356"/>
      <c r="BK52" s="2374"/>
      <c r="BL52" s="2410"/>
      <c r="BM52" s="2375"/>
      <c r="BN52" s="2375"/>
      <c r="BO52" s="2375"/>
      <c r="BP52" s="2375"/>
      <c r="BQ52" s="2375"/>
      <c r="BR52" s="2375"/>
      <c r="BS52" s="2376"/>
      <c r="BT52" s="2370"/>
      <c r="BU52" s="2370"/>
      <c r="BV52" s="2370"/>
      <c r="BW52" s="2370"/>
      <c r="BX52" s="2370"/>
      <c r="BY52" s="2370"/>
      <c r="BZ52" s="2370"/>
      <c r="CA52" s="2370"/>
      <c r="CB52" s="2370"/>
      <c r="CC52" s="2370"/>
      <c r="CD52" s="2370"/>
      <c r="CE52" s="2370"/>
      <c r="CF52" s="2370"/>
      <c r="CG52" s="2370"/>
      <c r="CH52" s="2371"/>
      <c r="CI52" s="2702"/>
      <c r="CJ52" s="2702"/>
      <c r="CK52" s="2857"/>
      <c r="CL52" s="2857"/>
      <c r="CM52" s="2857"/>
      <c r="CN52" s="139"/>
      <c r="CP52" s="139"/>
      <c r="CQ52" s="2742"/>
      <c r="CR52" s="2743"/>
      <c r="CS52" s="2743"/>
      <c r="CT52" s="2744"/>
      <c r="CU52" s="139"/>
      <c r="CV52" s="139"/>
      <c r="CW52" s="2756"/>
      <c r="CX52" s="2301"/>
      <c r="CY52" s="2301"/>
      <c r="CZ52" s="2757"/>
      <c r="DB52" s="8"/>
      <c r="DC52" s="2867"/>
      <c r="DD52" s="2868"/>
      <c r="DE52" s="2864"/>
      <c r="DF52" s="2791"/>
      <c r="DG52" s="2791"/>
      <c r="DH52" s="2791"/>
      <c r="DI52" s="2791"/>
      <c r="DJ52" s="2791"/>
      <c r="DK52" s="2791"/>
      <c r="DL52" s="2792"/>
      <c r="DM52" s="2270"/>
      <c r="DN52" s="2271"/>
      <c r="DO52" s="2271"/>
      <c r="DP52" s="2271"/>
      <c r="DQ52" s="2771"/>
      <c r="DR52" s="2463"/>
      <c r="DS52" s="2463"/>
      <c r="DT52" s="2463"/>
      <c r="DU52" s="2463"/>
      <c r="DV52" s="9"/>
    </row>
    <row r="53" spans="1:137" ht="8.85" customHeight="1">
      <c r="A53" s="2518"/>
      <c r="B53" s="2521"/>
      <c r="C53" s="2522"/>
      <c r="D53" s="2522"/>
      <c r="E53" s="2522"/>
      <c r="F53" s="2522"/>
      <c r="G53" s="2522"/>
      <c r="H53" s="2506"/>
      <c r="I53" s="2507"/>
      <c r="J53" s="2507"/>
      <c r="K53" s="2508"/>
      <c r="L53" s="2477"/>
      <c r="M53" s="2478"/>
      <c r="N53" s="2478"/>
      <c r="O53" s="2479"/>
      <c r="P53" s="2506"/>
      <c r="Q53" s="2507"/>
      <c r="R53" s="2507"/>
      <c r="S53" s="2508"/>
      <c r="T53" s="2813"/>
      <c r="U53" s="2814"/>
      <c r="V53" s="2814"/>
      <c r="W53" s="2815"/>
      <c r="X53" s="2422"/>
      <c r="Y53" s="2297"/>
      <c r="Z53" s="2297"/>
      <c r="AA53" s="2451"/>
      <c r="AB53" s="2798"/>
      <c r="AC53" s="2799"/>
      <c r="AD53" s="2799"/>
      <c r="AE53" s="2800"/>
      <c r="AF53" s="2442"/>
      <c r="AG53" s="2297"/>
      <c r="AH53" s="2297"/>
      <c r="AI53" s="2443"/>
      <c r="AJ53" s="2438"/>
      <c r="AK53" s="2356"/>
      <c r="AL53" s="2356"/>
      <c r="AM53" s="2356"/>
      <c r="AN53" s="2438"/>
      <c r="AO53" s="2356"/>
      <c r="AP53" s="2356"/>
      <c r="AQ53" s="2356"/>
      <c r="AR53" s="2356"/>
      <c r="AS53" s="2356"/>
      <c r="AT53" s="2356"/>
      <c r="AU53" s="2356"/>
      <c r="AV53" s="2356"/>
      <c r="AW53" s="2356"/>
      <c r="AX53" s="2356"/>
      <c r="AY53" s="2356"/>
      <c r="AZ53" s="2422"/>
      <c r="BA53" s="2297"/>
      <c r="BB53" s="2297"/>
      <c r="BC53" s="2297"/>
      <c r="BD53" s="2356"/>
      <c r="BE53" s="2356"/>
      <c r="BF53" s="2356"/>
      <c r="BG53" s="2356"/>
      <c r="BH53" s="2356"/>
      <c r="BI53" s="2356"/>
      <c r="BJ53" s="2356"/>
      <c r="BK53" s="2374"/>
      <c r="BL53" s="2410"/>
      <c r="BM53" s="2375"/>
      <c r="BN53" s="2375"/>
      <c r="BO53" s="2375"/>
      <c r="BP53" s="2375"/>
      <c r="BQ53" s="2375"/>
      <c r="BR53" s="2375"/>
      <c r="BS53" s="2376"/>
      <c r="BT53" s="2370"/>
      <c r="BU53" s="2370"/>
      <c r="BV53" s="2370"/>
      <c r="BW53" s="2370"/>
      <c r="BX53" s="2370"/>
      <c r="BY53" s="2370"/>
      <c r="BZ53" s="2370"/>
      <c r="CA53" s="2370"/>
      <c r="CB53" s="2370"/>
      <c r="CC53" s="2370"/>
      <c r="CD53" s="2370"/>
      <c r="CE53" s="2370"/>
      <c r="CF53" s="2370"/>
      <c r="CG53" s="2370"/>
      <c r="CH53" s="2371"/>
      <c r="CI53" s="2702"/>
      <c r="CJ53" s="2702"/>
      <c r="CK53" s="2857"/>
      <c r="CL53" s="2857"/>
      <c r="CM53" s="2857"/>
      <c r="CN53" s="139"/>
      <c r="CO53" s="139"/>
      <c r="CP53" s="139"/>
      <c r="CQ53" s="2742"/>
      <c r="CR53" s="2743"/>
      <c r="CS53" s="2743"/>
      <c r="CT53" s="2744"/>
      <c r="CU53" s="139"/>
      <c r="CV53" s="139"/>
      <c r="CW53" s="2756"/>
      <c r="CX53" s="2301"/>
      <c r="CY53" s="2301"/>
      <c r="CZ53" s="2757"/>
      <c r="DB53" s="8"/>
      <c r="DC53" s="2867"/>
      <c r="DD53" s="2868"/>
      <c r="DE53" s="2864"/>
      <c r="DF53" s="2791"/>
      <c r="DG53" s="2791"/>
      <c r="DH53" s="2791"/>
      <c r="DI53" s="2791"/>
      <c r="DJ53" s="2791"/>
      <c r="DK53" s="2791"/>
      <c r="DL53" s="2792"/>
      <c r="DM53" s="2270"/>
      <c r="DN53" s="2271"/>
      <c r="DO53" s="2271"/>
      <c r="DP53" s="2271"/>
      <c r="DQ53" s="2771"/>
      <c r="DR53" s="2463"/>
      <c r="DS53" s="2463"/>
      <c r="DT53" s="2463"/>
      <c r="DU53" s="2463"/>
      <c r="DV53" s="9"/>
    </row>
    <row r="54" spans="1:137" ht="8.85" customHeight="1">
      <c r="A54" s="2518"/>
      <c r="B54" s="2523"/>
      <c r="C54" s="2524"/>
      <c r="D54" s="2524"/>
      <c r="E54" s="2524"/>
      <c r="F54" s="2524"/>
      <c r="G54" s="2524"/>
      <c r="H54" s="2509"/>
      <c r="I54" s="2510"/>
      <c r="J54" s="2510"/>
      <c r="K54" s="2511"/>
      <c r="L54" s="2480"/>
      <c r="M54" s="2481"/>
      <c r="N54" s="2481"/>
      <c r="O54" s="2482"/>
      <c r="P54" s="2509"/>
      <c r="Q54" s="2510"/>
      <c r="R54" s="2510"/>
      <c r="S54" s="2511"/>
      <c r="T54" s="2816"/>
      <c r="U54" s="2817"/>
      <c r="V54" s="2817"/>
      <c r="W54" s="2818"/>
      <c r="X54" s="2439"/>
      <c r="Y54" s="2298"/>
      <c r="Z54" s="2298"/>
      <c r="AA54" s="2452"/>
      <c r="AB54" s="2714"/>
      <c r="AC54" s="2715"/>
      <c r="AD54" s="2715"/>
      <c r="AE54" s="2801"/>
      <c r="AF54" s="2444"/>
      <c r="AG54" s="2298"/>
      <c r="AH54" s="2298"/>
      <c r="AI54" s="2445"/>
      <c r="AJ54" s="2438"/>
      <c r="AK54" s="2356"/>
      <c r="AL54" s="2356"/>
      <c r="AM54" s="2356"/>
      <c r="AN54" s="2438"/>
      <c r="AO54" s="2356"/>
      <c r="AP54" s="2356"/>
      <c r="AQ54" s="2356"/>
      <c r="AR54" s="2356"/>
      <c r="AS54" s="2356"/>
      <c r="AT54" s="2356"/>
      <c r="AU54" s="2356"/>
      <c r="AV54" s="2356"/>
      <c r="AW54" s="2356"/>
      <c r="AX54" s="2356"/>
      <c r="AY54" s="2356"/>
      <c r="AZ54" s="2439"/>
      <c r="BA54" s="2298"/>
      <c r="BB54" s="2298"/>
      <c r="BC54" s="2298"/>
      <c r="BD54" s="2356"/>
      <c r="BE54" s="2356"/>
      <c r="BF54" s="2356"/>
      <c r="BG54" s="2356"/>
      <c r="BH54" s="2356"/>
      <c r="BI54" s="2356"/>
      <c r="BJ54" s="2356"/>
      <c r="BK54" s="2374"/>
      <c r="BL54" s="2410"/>
      <c r="BM54" s="2375"/>
      <c r="BN54" s="2375"/>
      <c r="BO54" s="2375"/>
      <c r="BP54" s="2375"/>
      <c r="BQ54" s="2375"/>
      <c r="BR54" s="2375"/>
      <c r="BS54" s="2376"/>
      <c r="BT54" s="2372"/>
      <c r="BU54" s="2372"/>
      <c r="BV54" s="2372"/>
      <c r="BW54" s="2372"/>
      <c r="BX54" s="2372"/>
      <c r="BY54" s="2372"/>
      <c r="BZ54" s="2372"/>
      <c r="CA54" s="2372"/>
      <c r="CB54" s="2372"/>
      <c r="CC54" s="2372"/>
      <c r="CD54" s="2372"/>
      <c r="CE54" s="2372"/>
      <c r="CF54" s="2372"/>
      <c r="CG54" s="2372"/>
      <c r="CH54" s="2373"/>
      <c r="CI54" s="2702"/>
      <c r="CJ54" s="2702"/>
      <c r="CK54" s="2857"/>
      <c r="CL54" s="2857"/>
      <c r="CM54" s="2857"/>
      <c r="CN54" s="139"/>
      <c r="CO54" s="139"/>
      <c r="CP54" s="139"/>
      <c r="CQ54" s="2745"/>
      <c r="CR54" s="2746"/>
      <c r="CS54" s="2746"/>
      <c r="CT54" s="2747"/>
      <c r="CU54" s="139"/>
      <c r="CV54" s="139"/>
      <c r="CW54" s="2756"/>
      <c r="CX54" s="2301"/>
      <c r="CY54" s="2301"/>
      <c r="CZ54" s="2757"/>
      <c r="DB54" s="8"/>
      <c r="DC54" s="2869"/>
      <c r="DD54" s="2870"/>
      <c r="DE54" s="2864"/>
      <c r="DF54" s="2791"/>
      <c r="DG54" s="2791"/>
      <c r="DH54" s="2791"/>
      <c r="DI54" s="2791"/>
      <c r="DJ54" s="2791"/>
      <c r="DK54" s="2791"/>
      <c r="DL54" s="2792"/>
      <c r="DM54" s="2270"/>
      <c r="DN54" s="2271"/>
      <c r="DO54" s="2271"/>
      <c r="DP54" s="2271"/>
      <c r="DQ54" s="2771"/>
      <c r="DR54" s="2463"/>
      <c r="DS54" s="2463"/>
      <c r="DT54" s="2463"/>
      <c r="DU54" s="2463"/>
      <c r="DV54" s="9"/>
    </row>
    <row r="55" spans="1:137" ht="8.85" customHeight="1">
      <c r="A55" s="2518">
        <v>2</v>
      </c>
      <c r="B55" s="2525"/>
      <c r="C55" s="2520"/>
      <c r="D55" s="2520"/>
      <c r="E55" s="2520"/>
      <c r="F55" s="2520"/>
      <c r="G55" s="2526"/>
      <c r="H55" s="2503"/>
      <c r="I55" s="2504"/>
      <c r="J55" s="2504"/>
      <c r="K55" s="2505"/>
      <c r="L55" s="2474"/>
      <c r="M55" s="2475"/>
      <c r="N55" s="2475"/>
      <c r="O55" s="2476"/>
      <c r="P55" s="2503"/>
      <c r="Q55" s="2504"/>
      <c r="R55" s="2504"/>
      <c r="S55" s="2505"/>
      <c r="T55" s="2420"/>
      <c r="U55" s="2421"/>
      <c r="V55" s="2421"/>
      <c r="W55" s="2450"/>
      <c r="X55" s="2420"/>
      <c r="Y55" s="2421"/>
      <c r="Z55" s="2421"/>
      <c r="AA55" s="2450"/>
      <c r="AB55" s="2795" t="str">
        <f>IF(OR(L55="REJECTED",L55="Not Placed"),AB51,IF(X55="","",IF(L$28="","",L$28-X55)))</f>
        <v/>
      </c>
      <c r="AC55" s="2796"/>
      <c r="AD55" s="2796"/>
      <c r="AE55" s="2797"/>
      <c r="AF55" s="2440"/>
      <c r="AG55" s="2421"/>
      <c r="AH55" s="2421"/>
      <c r="AI55" s="2441"/>
      <c r="AJ55" s="2438"/>
      <c r="AK55" s="2356"/>
      <c r="AL55" s="2356"/>
      <c r="AM55" s="2356"/>
      <c r="AN55" s="2438"/>
      <c r="AO55" s="2356"/>
      <c r="AP55" s="2356"/>
      <c r="AQ55" s="2356"/>
      <c r="AR55" s="2356"/>
      <c r="AS55" s="2356"/>
      <c r="AT55" s="2356"/>
      <c r="AU55" s="2356"/>
      <c r="AV55" s="2356"/>
      <c r="AW55" s="2356"/>
      <c r="AX55" s="2356"/>
      <c r="AY55" s="2356"/>
      <c r="AZ55" s="2420"/>
      <c r="BA55" s="2421"/>
      <c r="BB55" s="2421"/>
      <c r="BC55" s="2421"/>
      <c r="BD55" s="2356"/>
      <c r="BE55" s="2356"/>
      <c r="BF55" s="2356"/>
      <c r="BG55" s="2356"/>
      <c r="BH55" s="2356"/>
      <c r="BI55" s="2356"/>
      <c r="BJ55" s="2356"/>
      <c r="BK55" s="2374"/>
      <c r="BL55" s="2410" t="str">
        <f>IF(OR(L55="REJECTED",L55="Not Placed"),0,IF(AF55="","",SUM(AF55:AM58)-SUM(AN55:BK58)))</f>
        <v/>
      </c>
      <c r="BM55" s="2375"/>
      <c r="BN55" s="2375"/>
      <c r="BO55" s="2375"/>
      <c r="BP55" s="2375" t="str">
        <f>IF(L55="REJECTED",BP51,IF(AF55="","",BP51+BL55))</f>
        <v/>
      </c>
      <c r="BQ55" s="2375"/>
      <c r="BR55" s="2375"/>
      <c r="BS55" s="2376"/>
      <c r="BT55" s="2577"/>
      <c r="BU55" s="2368"/>
      <c r="BV55" s="2368"/>
      <c r="BW55" s="2368"/>
      <c r="BX55" s="2368"/>
      <c r="BY55" s="2368"/>
      <c r="BZ55" s="2368"/>
      <c r="CA55" s="2368"/>
      <c r="CB55" s="2368"/>
      <c r="CC55" s="2368"/>
      <c r="CD55" s="2368"/>
      <c r="CE55" s="2368"/>
      <c r="CF55" s="2368"/>
      <c r="CG55" s="2368"/>
      <c r="CH55" s="2369"/>
      <c r="CI55" s="2702">
        <v>2</v>
      </c>
      <c r="CJ55" s="2702"/>
      <c r="CK55" s="2857" t="e">
        <f>'Concr. Curve'!BL54</f>
        <v>#DIV/0!</v>
      </c>
      <c r="CL55" s="2857"/>
      <c r="CM55" s="2857"/>
      <c r="CN55" s="139"/>
      <c r="CO55" s="139"/>
      <c r="CP55" s="139"/>
      <c r="CQ55" s="2742" t="str">
        <f t="shared" ref="CQ55" si="1">IF(OR(P55="",H55=""),"",MOD(P55-H55,1)*24*60)</f>
        <v/>
      </c>
      <c r="CR55" s="2743"/>
      <c r="CS55" s="2743"/>
      <c r="CT55" s="2744"/>
      <c r="CU55" s="139"/>
      <c r="CV55" s="139"/>
      <c r="CW55" s="2758" t="s">
        <v>1210</v>
      </c>
      <c r="CX55" s="2759"/>
      <c r="CY55" s="2759"/>
      <c r="CZ55" s="2760"/>
      <c r="DB55" s="8"/>
      <c r="DC55" s="2222">
        <v>1</v>
      </c>
      <c r="DD55" s="2223"/>
      <c r="DE55" s="2220" t="str">
        <f>BP51</f>
        <v/>
      </c>
      <c r="DF55" s="2221"/>
      <c r="DG55" s="2221"/>
      <c r="DH55" s="2221"/>
      <c r="DI55" s="2221" t="str">
        <f>IF(DE55=DE51,DI51,IF(X51="","",DR$41-X51))</f>
        <v/>
      </c>
      <c r="DJ55" s="2221"/>
      <c r="DK55" s="2221"/>
      <c r="DL55" s="2269"/>
      <c r="DM55" s="2270" t="str">
        <f>IF(DI55=DI51,DM51,IF(L$28="","",IF(X51="","",L$28-X51)))</f>
        <v/>
      </c>
      <c r="DN55" s="2271"/>
      <c r="DO55" s="2271"/>
      <c r="DP55" s="2271"/>
      <c r="DQ55" s="2771"/>
      <c r="DR55" s="2463"/>
      <c r="DS55" s="2463"/>
      <c r="DT55" s="2463"/>
      <c r="DU55" s="2463"/>
      <c r="DV55" s="9"/>
    </row>
    <row r="56" spans="1:137" ht="8.85" customHeight="1">
      <c r="A56" s="2518"/>
      <c r="B56" s="2521"/>
      <c r="C56" s="2522"/>
      <c r="D56" s="2522"/>
      <c r="E56" s="2522"/>
      <c r="F56" s="2522"/>
      <c r="G56" s="2527"/>
      <c r="H56" s="2506"/>
      <c r="I56" s="2507"/>
      <c r="J56" s="2507"/>
      <c r="K56" s="2508"/>
      <c r="L56" s="2477"/>
      <c r="M56" s="2478"/>
      <c r="N56" s="2478"/>
      <c r="O56" s="2479"/>
      <c r="P56" s="2506"/>
      <c r="Q56" s="2507"/>
      <c r="R56" s="2507"/>
      <c r="S56" s="2508"/>
      <c r="T56" s="2422"/>
      <c r="U56" s="2297"/>
      <c r="V56" s="2297"/>
      <c r="W56" s="2451"/>
      <c r="X56" s="2422"/>
      <c r="Y56" s="2297"/>
      <c r="Z56" s="2297"/>
      <c r="AA56" s="2451"/>
      <c r="AB56" s="2798"/>
      <c r="AC56" s="2799"/>
      <c r="AD56" s="2799"/>
      <c r="AE56" s="2800"/>
      <c r="AF56" s="2442"/>
      <c r="AG56" s="2297"/>
      <c r="AH56" s="2297"/>
      <c r="AI56" s="2443"/>
      <c r="AJ56" s="2438"/>
      <c r="AK56" s="2356"/>
      <c r="AL56" s="2356"/>
      <c r="AM56" s="2356"/>
      <c r="AN56" s="2438"/>
      <c r="AO56" s="2356"/>
      <c r="AP56" s="2356"/>
      <c r="AQ56" s="2356"/>
      <c r="AR56" s="2356"/>
      <c r="AS56" s="2356"/>
      <c r="AT56" s="2356"/>
      <c r="AU56" s="2356"/>
      <c r="AV56" s="2356"/>
      <c r="AW56" s="2356"/>
      <c r="AX56" s="2356"/>
      <c r="AY56" s="2356"/>
      <c r="AZ56" s="2422"/>
      <c r="BA56" s="2297"/>
      <c r="BB56" s="2297"/>
      <c r="BC56" s="2297"/>
      <c r="BD56" s="2356"/>
      <c r="BE56" s="2356"/>
      <c r="BF56" s="2356"/>
      <c r="BG56" s="2356"/>
      <c r="BH56" s="2356"/>
      <c r="BI56" s="2356"/>
      <c r="BJ56" s="2356"/>
      <c r="BK56" s="2374"/>
      <c r="BL56" s="2410"/>
      <c r="BM56" s="2375"/>
      <c r="BN56" s="2375"/>
      <c r="BO56" s="2375"/>
      <c r="BP56" s="2375"/>
      <c r="BQ56" s="2375"/>
      <c r="BR56" s="2375"/>
      <c r="BS56" s="2376"/>
      <c r="BT56" s="2370"/>
      <c r="BU56" s="2370"/>
      <c r="BV56" s="2370"/>
      <c r="BW56" s="2370"/>
      <c r="BX56" s="2370"/>
      <c r="BY56" s="2370"/>
      <c r="BZ56" s="2370"/>
      <c r="CA56" s="2370"/>
      <c r="CB56" s="2370"/>
      <c r="CC56" s="2370"/>
      <c r="CD56" s="2370"/>
      <c r="CE56" s="2370"/>
      <c r="CF56" s="2370"/>
      <c r="CG56" s="2370"/>
      <c r="CH56" s="2371"/>
      <c r="CI56" s="2702"/>
      <c r="CJ56" s="2702"/>
      <c r="CK56" s="2857"/>
      <c r="CL56" s="2857"/>
      <c r="CM56" s="2857"/>
      <c r="CN56" s="139"/>
      <c r="CO56" s="139"/>
      <c r="CP56" s="139"/>
      <c r="CQ56" s="2742"/>
      <c r="CR56" s="2743"/>
      <c r="CS56" s="2743"/>
      <c r="CT56" s="2744"/>
      <c r="CU56" s="139"/>
      <c r="CV56" s="139"/>
      <c r="CW56" s="2761"/>
      <c r="CX56" s="2762"/>
      <c r="CY56" s="2762"/>
      <c r="CZ56" s="2763"/>
      <c r="DB56" s="8"/>
      <c r="DC56" s="2222"/>
      <c r="DD56" s="2223"/>
      <c r="DE56" s="2220"/>
      <c r="DF56" s="2221"/>
      <c r="DG56" s="2221"/>
      <c r="DH56" s="2221"/>
      <c r="DI56" s="2221"/>
      <c r="DJ56" s="2221"/>
      <c r="DK56" s="2221"/>
      <c r="DL56" s="2269"/>
      <c r="DM56" s="2270"/>
      <c r="DN56" s="2271"/>
      <c r="DO56" s="2271"/>
      <c r="DP56" s="2271"/>
      <c r="DV56" s="9"/>
    </row>
    <row r="57" spans="1:137" ht="8.85" customHeight="1">
      <c r="A57" s="2518"/>
      <c r="B57" s="2521"/>
      <c r="C57" s="2522"/>
      <c r="D57" s="2522"/>
      <c r="E57" s="2522"/>
      <c r="F57" s="2522"/>
      <c r="G57" s="2527"/>
      <c r="H57" s="2506"/>
      <c r="I57" s="2507"/>
      <c r="J57" s="2507"/>
      <c r="K57" s="2508"/>
      <c r="L57" s="2477"/>
      <c r="M57" s="2478"/>
      <c r="N57" s="2478"/>
      <c r="O57" s="2479"/>
      <c r="P57" s="2506"/>
      <c r="Q57" s="2507"/>
      <c r="R57" s="2507"/>
      <c r="S57" s="2508"/>
      <c r="T57" s="2422"/>
      <c r="U57" s="2297"/>
      <c r="V57" s="2297"/>
      <c r="W57" s="2451"/>
      <c r="X57" s="2422"/>
      <c r="Y57" s="2297"/>
      <c r="Z57" s="2297"/>
      <c r="AA57" s="2451"/>
      <c r="AB57" s="2798"/>
      <c r="AC57" s="2799"/>
      <c r="AD57" s="2799"/>
      <c r="AE57" s="2800"/>
      <c r="AF57" s="2442"/>
      <c r="AG57" s="2297"/>
      <c r="AH57" s="2297"/>
      <c r="AI57" s="2443"/>
      <c r="AJ57" s="2438"/>
      <c r="AK57" s="2356"/>
      <c r="AL57" s="2356"/>
      <c r="AM57" s="2356"/>
      <c r="AN57" s="2438"/>
      <c r="AO57" s="2356"/>
      <c r="AP57" s="2356"/>
      <c r="AQ57" s="2356"/>
      <c r="AR57" s="2356"/>
      <c r="AS57" s="2356"/>
      <c r="AT57" s="2356"/>
      <c r="AU57" s="2356"/>
      <c r="AV57" s="2356"/>
      <c r="AW57" s="2356"/>
      <c r="AX57" s="2356"/>
      <c r="AY57" s="2356"/>
      <c r="AZ57" s="2422"/>
      <c r="BA57" s="2297"/>
      <c r="BB57" s="2297"/>
      <c r="BC57" s="2297"/>
      <c r="BD57" s="2356"/>
      <c r="BE57" s="2356"/>
      <c r="BF57" s="2356"/>
      <c r="BG57" s="2356"/>
      <c r="BH57" s="2356"/>
      <c r="BI57" s="2356"/>
      <c r="BJ57" s="2356"/>
      <c r="BK57" s="2374"/>
      <c r="BL57" s="2410"/>
      <c r="BM57" s="2375"/>
      <c r="BN57" s="2375"/>
      <c r="BO57" s="2375"/>
      <c r="BP57" s="2375"/>
      <c r="BQ57" s="2375"/>
      <c r="BR57" s="2375"/>
      <c r="BS57" s="2376"/>
      <c r="BT57" s="2370"/>
      <c r="BU57" s="2370"/>
      <c r="BV57" s="2370"/>
      <c r="BW57" s="2370"/>
      <c r="BX57" s="2370"/>
      <c r="BY57" s="2370"/>
      <c r="BZ57" s="2370"/>
      <c r="CA57" s="2370"/>
      <c r="CB57" s="2370"/>
      <c r="CC57" s="2370"/>
      <c r="CD57" s="2370"/>
      <c r="CE57" s="2370"/>
      <c r="CF57" s="2370"/>
      <c r="CG57" s="2370"/>
      <c r="CH57" s="2371"/>
      <c r="CI57" s="2702"/>
      <c r="CJ57" s="2702"/>
      <c r="CK57" s="2857"/>
      <c r="CL57" s="2857"/>
      <c r="CM57" s="2857"/>
      <c r="CN57" s="139"/>
      <c r="CO57" s="139"/>
      <c r="CP57" s="139"/>
      <c r="CQ57" s="2742"/>
      <c r="CR57" s="2743"/>
      <c r="CS57" s="2743"/>
      <c r="CT57" s="2744"/>
      <c r="CU57" s="139"/>
      <c r="CV57" s="139"/>
      <c r="CW57" s="2748" t="s">
        <v>1211</v>
      </c>
      <c r="CX57" s="2749"/>
      <c r="CY57" s="2749"/>
      <c r="CZ57" s="2750"/>
      <c r="DB57" s="8"/>
      <c r="DC57" s="2222"/>
      <c r="DD57" s="2223"/>
      <c r="DE57" s="2220"/>
      <c r="DF57" s="2221"/>
      <c r="DG57" s="2221"/>
      <c r="DH57" s="2221"/>
      <c r="DI57" s="2221"/>
      <c r="DJ57" s="2221"/>
      <c r="DK57" s="2221"/>
      <c r="DL57" s="2269"/>
      <c r="DM57" s="2270"/>
      <c r="DN57" s="2271"/>
      <c r="DO57" s="2271"/>
      <c r="DP57" s="2271"/>
      <c r="DV57" s="9"/>
    </row>
    <row r="58" spans="1:137" ht="8.85" customHeight="1">
      <c r="A58" s="2518"/>
      <c r="B58" s="2523"/>
      <c r="C58" s="2524"/>
      <c r="D58" s="2524"/>
      <c r="E58" s="2524"/>
      <c r="F58" s="2524"/>
      <c r="G58" s="2528"/>
      <c r="H58" s="2509"/>
      <c r="I58" s="2510"/>
      <c r="J58" s="2510"/>
      <c r="K58" s="2511"/>
      <c r="L58" s="2480"/>
      <c r="M58" s="2481"/>
      <c r="N58" s="2481"/>
      <c r="O58" s="2482"/>
      <c r="P58" s="2509"/>
      <c r="Q58" s="2510"/>
      <c r="R58" s="2510"/>
      <c r="S58" s="2511"/>
      <c r="T58" s="2439"/>
      <c r="U58" s="2298"/>
      <c r="V58" s="2298"/>
      <c r="W58" s="2452"/>
      <c r="X58" s="2439"/>
      <c r="Y58" s="2298"/>
      <c r="Z58" s="2298"/>
      <c r="AA58" s="2452"/>
      <c r="AB58" s="2714"/>
      <c r="AC58" s="2715"/>
      <c r="AD58" s="2715"/>
      <c r="AE58" s="2801"/>
      <c r="AF58" s="2444"/>
      <c r="AG58" s="2298"/>
      <c r="AH58" s="2298"/>
      <c r="AI58" s="2445"/>
      <c r="AJ58" s="2438"/>
      <c r="AK58" s="2356"/>
      <c r="AL58" s="2356"/>
      <c r="AM58" s="2356"/>
      <c r="AN58" s="2438"/>
      <c r="AO58" s="2356"/>
      <c r="AP58" s="2356"/>
      <c r="AQ58" s="2356"/>
      <c r="AR58" s="2356"/>
      <c r="AS58" s="2356"/>
      <c r="AT58" s="2356"/>
      <c r="AU58" s="2356"/>
      <c r="AV58" s="2356"/>
      <c r="AW58" s="2356"/>
      <c r="AX58" s="2356"/>
      <c r="AY58" s="2356"/>
      <c r="AZ58" s="2439"/>
      <c r="BA58" s="2298"/>
      <c r="BB58" s="2298"/>
      <c r="BC58" s="2298"/>
      <c r="BD58" s="2356"/>
      <c r="BE58" s="2356"/>
      <c r="BF58" s="2356"/>
      <c r="BG58" s="2356"/>
      <c r="BH58" s="2356"/>
      <c r="BI58" s="2356"/>
      <c r="BJ58" s="2356"/>
      <c r="BK58" s="2374"/>
      <c r="BL58" s="2410"/>
      <c r="BM58" s="2375"/>
      <c r="BN58" s="2375"/>
      <c r="BO58" s="2375"/>
      <c r="BP58" s="2375"/>
      <c r="BQ58" s="2375"/>
      <c r="BR58" s="2375"/>
      <c r="BS58" s="2376"/>
      <c r="BT58" s="2372"/>
      <c r="BU58" s="2372"/>
      <c r="BV58" s="2372"/>
      <c r="BW58" s="2372"/>
      <c r="BX58" s="2372"/>
      <c r="BY58" s="2372"/>
      <c r="BZ58" s="2372"/>
      <c r="CA58" s="2372"/>
      <c r="CB58" s="2372"/>
      <c r="CC58" s="2372"/>
      <c r="CD58" s="2372"/>
      <c r="CE58" s="2372"/>
      <c r="CF58" s="2372"/>
      <c r="CG58" s="2372"/>
      <c r="CH58" s="2373"/>
      <c r="CI58" s="2702"/>
      <c r="CJ58" s="2702"/>
      <c r="CK58" s="2857"/>
      <c r="CL58" s="2857"/>
      <c r="CM58" s="2857"/>
      <c r="CN58" s="139"/>
      <c r="CO58" s="139"/>
      <c r="CP58" s="139"/>
      <c r="CQ58" s="2745"/>
      <c r="CR58" s="2746"/>
      <c r="CS58" s="2746"/>
      <c r="CT58" s="2747"/>
      <c r="CU58" s="139"/>
      <c r="CV58" s="139"/>
      <c r="CW58" s="2751"/>
      <c r="CX58" s="2752"/>
      <c r="CY58" s="2752"/>
      <c r="CZ58" s="2753"/>
      <c r="DB58" s="8"/>
      <c r="DC58" s="2222"/>
      <c r="DD58" s="2223"/>
      <c r="DE58" s="2220"/>
      <c r="DF58" s="2221"/>
      <c r="DG58" s="2221"/>
      <c r="DH58" s="2221"/>
      <c r="DI58" s="2221"/>
      <c r="DJ58" s="2221"/>
      <c r="DK58" s="2221"/>
      <c r="DL58" s="2269"/>
      <c r="DM58" s="2270"/>
      <c r="DN58" s="2271"/>
      <c r="DO58" s="2271"/>
      <c r="DP58" s="2271"/>
      <c r="DV58" s="9"/>
    </row>
    <row r="59" spans="1:137" ht="8.85" customHeight="1">
      <c r="A59" s="2518">
        <v>3</v>
      </c>
      <c r="B59" s="2525"/>
      <c r="C59" s="2520"/>
      <c r="D59" s="2520"/>
      <c r="E59" s="2520"/>
      <c r="F59" s="2520"/>
      <c r="G59" s="2526"/>
      <c r="H59" s="2503"/>
      <c r="I59" s="2504"/>
      <c r="J59" s="2504"/>
      <c r="K59" s="2505"/>
      <c r="L59" s="2474"/>
      <c r="M59" s="2475"/>
      <c r="N59" s="2475"/>
      <c r="O59" s="2476"/>
      <c r="P59" s="2503"/>
      <c r="Q59" s="2504"/>
      <c r="R59" s="2504"/>
      <c r="S59" s="2505"/>
      <c r="T59" s="2420"/>
      <c r="U59" s="2421"/>
      <c r="V59" s="2421"/>
      <c r="W59" s="2450"/>
      <c r="X59" s="2420"/>
      <c r="Y59" s="2421"/>
      <c r="Z59" s="2421"/>
      <c r="AA59" s="2450"/>
      <c r="AB59" s="2375" t="str">
        <f>IF(OR(L59="REJECTED",L59="Not Placed"),AB55,IF(X59="","",IF(L$28="","",L$28-X59)))</f>
        <v/>
      </c>
      <c r="AC59" s="2375"/>
      <c r="AD59" s="2375"/>
      <c r="AE59" s="2437"/>
      <c r="AF59" s="2440"/>
      <c r="AG59" s="2421"/>
      <c r="AH59" s="2421"/>
      <c r="AI59" s="2441"/>
      <c r="AJ59" s="2421"/>
      <c r="AK59" s="2421"/>
      <c r="AL59" s="2421"/>
      <c r="AM59" s="2450"/>
      <c r="AN59" s="2421"/>
      <c r="AO59" s="2421"/>
      <c r="AP59" s="2421"/>
      <c r="AQ59" s="2450"/>
      <c r="AR59" s="2356"/>
      <c r="AS59" s="2356"/>
      <c r="AT59" s="2356"/>
      <c r="AU59" s="2356"/>
      <c r="AV59" s="2356"/>
      <c r="AW59" s="2356"/>
      <c r="AX59" s="2356"/>
      <c r="AY59" s="2356"/>
      <c r="AZ59" s="2420"/>
      <c r="BA59" s="2421"/>
      <c r="BB59" s="2421"/>
      <c r="BC59" s="2421"/>
      <c r="BD59" s="2356"/>
      <c r="BE59" s="2356"/>
      <c r="BF59" s="2356"/>
      <c r="BG59" s="2356"/>
      <c r="BH59" s="2356"/>
      <c r="BI59" s="2356"/>
      <c r="BJ59" s="2356"/>
      <c r="BK59" s="2374"/>
      <c r="BL59" s="2410" t="str">
        <f>IF(OR(L59="REJECTED",L59="Not Placed"),0,IF(AF59="","",SUM(AF59:AM62)-SUM(AN59:BK62)))</f>
        <v/>
      </c>
      <c r="BM59" s="2375"/>
      <c r="BN59" s="2375"/>
      <c r="BO59" s="2375"/>
      <c r="BP59" s="2375" t="str">
        <f>IF(L59="REJECTED",BP55,IF(AF59="","",BP55+BL59))</f>
        <v/>
      </c>
      <c r="BQ59" s="2375"/>
      <c r="BR59" s="2375"/>
      <c r="BS59" s="2376"/>
      <c r="BT59" s="2368"/>
      <c r="BU59" s="2368"/>
      <c r="BV59" s="2368"/>
      <c r="BW59" s="2368"/>
      <c r="BX59" s="2368"/>
      <c r="BY59" s="2368"/>
      <c r="BZ59" s="2368"/>
      <c r="CA59" s="2368"/>
      <c r="CB59" s="2368"/>
      <c r="CC59" s="2368"/>
      <c r="CD59" s="2368"/>
      <c r="CE59" s="2368"/>
      <c r="CF59" s="2368"/>
      <c r="CG59" s="2368"/>
      <c r="CH59" s="2369"/>
      <c r="CI59" s="2702">
        <v>3</v>
      </c>
      <c r="CJ59" s="2702"/>
      <c r="CK59" s="2857" t="e">
        <f>'Concr. Curve'!BL53</f>
        <v>#DIV/0!</v>
      </c>
      <c r="CL59" s="2857"/>
      <c r="CM59" s="2857"/>
      <c r="CN59" s="139"/>
      <c r="CO59" s="139"/>
      <c r="CP59" s="139"/>
      <c r="CQ59" s="2742" t="str">
        <f t="shared" ref="CQ59" si="2">IF(OR(P59="",H59=""),"",MOD(P59-H59,1)*24*60)</f>
        <v/>
      </c>
      <c r="CR59" s="2743"/>
      <c r="CS59" s="2743"/>
      <c r="CT59" s="2744"/>
      <c r="CU59" s="139"/>
      <c r="CV59" s="139"/>
      <c r="CW59" s="1318"/>
      <c r="CX59" s="1318"/>
      <c r="CY59" s="1318"/>
      <c r="CZ59" s="1318"/>
      <c r="DB59" s="8"/>
      <c r="DC59" s="2222">
        <v>2</v>
      </c>
      <c r="DD59" s="2223"/>
      <c r="DE59" s="2220" t="str">
        <f>BP55</f>
        <v/>
      </c>
      <c r="DF59" s="2221"/>
      <c r="DG59" s="2221"/>
      <c r="DH59" s="2221"/>
      <c r="DI59" s="2221" t="str">
        <f>IF(DE59=DE55,DI55,IF(X55="","",DR$41-X55))</f>
        <v/>
      </c>
      <c r="DJ59" s="2221"/>
      <c r="DK59" s="2221"/>
      <c r="DL59" s="2269"/>
      <c r="DM59" s="2270" t="str">
        <f>IF(DI59=DI55,DM55,IF(L$28="","",IF(X55="","",L$28-X55)))</f>
        <v/>
      </c>
      <c r="DN59" s="2271"/>
      <c r="DO59" s="2271"/>
      <c r="DP59" s="2271"/>
      <c r="DV59" s="9"/>
    </row>
    <row r="60" spans="1:137" ht="8.85" customHeight="1">
      <c r="A60" s="2518"/>
      <c r="B60" s="2521"/>
      <c r="C60" s="2522"/>
      <c r="D60" s="2522"/>
      <c r="E60" s="2522"/>
      <c r="F60" s="2522"/>
      <c r="G60" s="2527"/>
      <c r="H60" s="2506"/>
      <c r="I60" s="2507"/>
      <c r="J60" s="2507"/>
      <c r="K60" s="2508"/>
      <c r="L60" s="2477"/>
      <c r="M60" s="2478"/>
      <c r="N60" s="2478"/>
      <c r="O60" s="2479"/>
      <c r="P60" s="2506"/>
      <c r="Q60" s="2507"/>
      <c r="R60" s="2507"/>
      <c r="S60" s="2508"/>
      <c r="T60" s="2422"/>
      <c r="U60" s="2297"/>
      <c r="V60" s="2297"/>
      <c r="W60" s="2451"/>
      <c r="X60" s="2422"/>
      <c r="Y60" s="2297"/>
      <c r="Z60" s="2297"/>
      <c r="AA60" s="2451"/>
      <c r="AB60" s="2375"/>
      <c r="AC60" s="2375"/>
      <c r="AD60" s="2375"/>
      <c r="AE60" s="2437"/>
      <c r="AF60" s="2442"/>
      <c r="AG60" s="2297"/>
      <c r="AH60" s="2297"/>
      <c r="AI60" s="2443"/>
      <c r="AJ60" s="2297"/>
      <c r="AK60" s="2297"/>
      <c r="AL60" s="2297"/>
      <c r="AM60" s="2451"/>
      <c r="AN60" s="2297"/>
      <c r="AO60" s="2297"/>
      <c r="AP60" s="2297"/>
      <c r="AQ60" s="2451"/>
      <c r="AR60" s="2356"/>
      <c r="AS60" s="2356"/>
      <c r="AT60" s="2356"/>
      <c r="AU60" s="2356"/>
      <c r="AV60" s="2356"/>
      <c r="AW60" s="2356"/>
      <c r="AX60" s="2356"/>
      <c r="AY60" s="2356"/>
      <c r="AZ60" s="2422"/>
      <c r="BA60" s="2297"/>
      <c r="BB60" s="2297"/>
      <c r="BC60" s="2297"/>
      <c r="BD60" s="2356"/>
      <c r="BE60" s="2356"/>
      <c r="BF60" s="2356"/>
      <c r="BG60" s="2356"/>
      <c r="BH60" s="2356"/>
      <c r="BI60" s="2356"/>
      <c r="BJ60" s="2356"/>
      <c r="BK60" s="2374"/>
      <c r="BL60" s="2410"/>
      <c r="BM60" s="2375"/>
      <c r="BN60" s="2375"/>
      <c r="BO60" s="2375"/>
      <c r="BP60" s="2375"/>
      <c r="BQ60" s="2375"/>
      <c r="BR60" s="2375"/>
      <c r="BS60" s="2376"/>
      <c r="BT60" s="2370"/>
      <c r="BU60" s="2370"/>
      <c r="BV60" s="2370"/>
      <c r="BW60" s="2370"/>
      <c r="BX60" s="2370"/>
      <c r="BY60" s="2370"/>
      <c r="BZ60" s="2370"/>
      <c r="CA60" s="2370"/>
      <c r="CB60" s="2370"/>
      <c r="CC60" s="2370"/>
      <c r="CD60" s="2370"/>
      <c r="CE60" s="2370"/>
      <c r="CF60" s="2370"/>
      <c r="CG60" s="2370"/>
      <c r="CH60" s="2371"/>
      <c r="CI60" s="2702"/>
      <c r="CJ60" s="2702"/>
      <c r="CK60" s="2857"/>
      <c r="CL60" s="2857"/>
      <c r="CM60" s="2857"/>
      <c r="CN60" s="139"/>
      <c r="CO60" s="139"/>
      <c r="CP60" s="139"/>
      <c r="CQ60" s="2742"/>
      <c r="CR60" s="2743"/>
      <c r="CS60" s="2743"/>
      <c r="CT60" s="2744"/>
      <c r="CU60" s="139"/>
      <c r="CV60" s="139"/>
      <c r="CW60" s="1318"/>
      <c r="CX60" s="1318"/>
      <c r="CY60" s="1318"/>
      <c r="CZ60" s="1318"/>
      <c r="DB60" s="8"/>
      <c r="DC60" s="2222"/>
      <c r="DD60" s="2223"/>
      <c r="DE60" s="2220"/>
      <c r="DF60" s="2221"/>
      <c r="DG60" s="2221"/>
      <c r="DH60" s="2221"/>
      <c r="DI60" s="2221"/>
      <c r="DJ60" s="2221"/>
      <c r="DK60" s="2221"/>
      <c r="DL60" s="2269"/>
      <c r="DM60" s="2270"/>
      <c r="DN60" s="2271"/>
      <c r="DO60" s="2271"/>
      <c r="DP60" s="2271"/>
      <c r="DV60" s="9"/>
    </row>
    <row r="61" spans="1:137" ht="8.85" customHeight="1">
      <c r="A61" s="2518"/>
      <c r="B61" s="2521"/>
      <c r="C61" s="2522"/>
      <c r="D61" s="2522"/>
      <c r="E61" s="2522"/>
      <c r="F61" s="2522"/>
      <c r="G61" s="2527"/>
      <c r="H61" s="2506"/>
      <c r="I61" s="2507"/>
      <c r="J61" s="2507"/>
      <c r="K61" s="2508"/>
      <c r="L61" s="2477"/>
      <c r="M61" s="2478"/>
      <c r="N61" s="2478"/>
      <c r="O61" s="2479"/>
      <c r="P61" s="2506"/>
      <c r="Q61" s="2507"/>
      <c r="R61" s="2507"/>
      <c r="S61" s="2508"/>
      <c r="T61" s="2422"/>
      <c r="U61" s="2297"/>
      <c r="V61" s="2297"/>
      <c r="W61" s="2451"/>
      <c r="X61" s="2422"/>
      <c r="Y61" s="2297"/>
      <c r="Z61" s="2297"/>
      <c r="AA61" s="2451"/>
      <c r="AB61" s="2375"/>
      <c r="AC61" s="2375"/>
      <c r="AD61" s="2375"/>
      <c r="AE61" s="2437"/>
      <c r="AF61" s="2442"/>
      <c r="AG61" s="2297"/>
      <c r="AH61" s="2297"/>
      <c r="AI61" s="2443"/>
      <c r="AJ61" s="2297"/>
      <c r="AK61" s="2297"/>
      <c r="AL61" s="2297"/>
      <c r="AM61" s="2451"/>
      <c r="AN61" s="2297"/>
      <c r="AO61" s="2297"/>
      <c r="AP61" s="2297"/>
      <c r="AQ61" s="2451"/>
      <c r="AR61" s="2356"/>
      <c r="AS61" s="2356"/>
      <c r="AT61" s="2356"/>
      <c r="AU61" s="2356"/>
      <c r="AV61" s="2356"/>
      <c r="AW61" s="2356"/>
      <c r="AX61" s="2356"/>
      <c r="AY61" s="2356"/>
      <c r="AZ61" s="2422"/>
      <c r="BA61" s="2297"/>
      <c r="BB61" s="2297"/>
      <c r="BC61" s="2297"/>
      <c r="BD61" s="2356"/>
      <c r="BE61" s="2356"/>
      <c r="BF61" s="2356"/>
      <c r="BG61" s="2356"/>
      <c r="BH61" s="2356"/>
      <c r="BI61" s="2356"/>
      <c r="BJ61" s="2356"/>
      <c r="BK61" s="2374"/>
      <c r="BL61" s="2410"/>
      <c r="BM61" s="2375"/>
      <c r="BN61" s="2375"/>
      <c r="BO61" s="2375"/>
      <c r="BP61" s="2375"/>
      <c r="BQ61" s="2375"/>
      <c r="BR61" s="2375"/>
      <c r="BS61" s="2376"/>
      <c r="BT61" s="2370"/>
      <c r="BU61" s="2370"/>
      <c r="BV61" s="2370"/>
      <c r="BW61" s="2370"/>
      <c r="BX61" s="2370"/>
      <c r="BY61" s="2370"/>
      <c r="BZ61" s="2370"/>
      <c r="CA61" s="2370"/>
      <c r="CB61" s="2370"/>
      <c r="CC61" s="2370"/>
      <c r="CD61" s="2370"/>
      <c r="CE61" s="2370"/>
      <c r="CF61" s="2370"/>
      <c r="CG61" s="2370"/>
      <c r="CH61" s="2371"/>
      <c r="CI61" s="2702"/>
      <c r="CJ61" s="2702"/>
      <c r="CK61" s="2857"/>
      <c r="CL61" s="2857"/>
      <c r="CM61" s="2857"/>
      <c r="CN61" s="139"/>
      <c r="CO61" s="139"/>
      <c r="CP61" s="139"/>
      <c r="CQ61" s="2742"/>
      <c r="CR61" s="2743"/>
      <c r="CS61" s="2743"/>
      <c r="CT61" s="2744"/>
      <c r="CU61" s="139"/>
      <c r="CV61" s="139"/>
      <c r="CW61" s="1321"/>
      <c r="CX61" s="139"/>
      <c r="CY61" s="139"/>
      <c r="CZ61" s="139"/>
      <c r="DB61" s="8"/>
      <c r="DC61" s="2222"/>
      <c r="DD61" s="2223"/>
      <c r="DE61" s="2220"/>
      <c r="DF61" s="2221"/>
      <c r="DG61" s="2221"/>
      <c r="DH61" s="2221"/>
      <c r="DI61" s="2221"/>
      <c r="DJ61" s="2221"/>
      <c r="DK61" s="2221"/>
      <c r="DL61" s="2269"/>
      <c r="DM61" s="2270"/>
      <c r="DN61" s="2271"/>
      <c r="DO61" s="2271"/>
      <c r="DP61" s="2271"/>
      <c r="DV61" s="9"/>
    </row>
    <row r="62" spans="1:137" ht="8.85" customHeight="1">
      <c r="A62" s="2518"/>
      <c r="B62" s="2523"/>
      <c r="C62" s="2524"/>
      <c r="D62" s="2524"/>
      <c r="E62" s="2524"/>
      <c r="F62" s="2524"/>
      <c r="G62" s="2528"/>
      <c r="H62" s="2509"/>
      <c r="I62" s="2510"/>
      <c r="J62" s="2510"/>
      <c r="K62" s="2511"/>
      <c r="L62" s="2480"/>
      <c r="M62" s="2481"/>
      <c r="N62" s="2481"/>
      <c r="O62" s="2482"/>
      <c r="P62" s="2509"/>
      <c r="Q62" s="2510"/>
      <c r="R62" s="2510"/>
      <c r="S62" s="2511"/>
      <c r="T62" s="2439"/>
      <c r="U62" s="2298"/>
      <c r="V62" s="2298"/>
      <c r="W62" s="2452"/>
      <c r="X62" s="2439"/>
      <c r="Y62" s="2298"/>
      <c r="Z62" s="2298"/>
      <c r="AA62" s="2452"/>
      <c r="AB62" s="2375"/>
      <c r="AC62" s="2375"/>
      <c r="AD62" s="2375"/>
      <c r="AE62" s="2437"/>
      <c r="AF62" s="2444"/>
      <c r="AG62" s="2298"/>
      <c r="AH62" s="2298"/>
      <c r="AI62" s="2445"/>
      <c r="AJ62" s="2298"/>
      <c r="AK62" s="2298"/>
      <c r="AL62" s="2298"/>
      <c r="AM62" s="2452"/>
      <c r="AN62" s="2298"/>
      <c r="AO62" s="2298"/>
      <c r="AP62" s="2298"/>
      <c r="AQ62" s="2452"/>
      <c r="AR62" s="2356"/>
      <c r="AS62" s="2356"/>
      <c r="AT62" s="2356"/>
      <c r="AU62" s="2356"/>
      <c r="AV62" s="2356"/>
      <c r="AW62" s="2356"/>
      <c r="AX62" s="2356"/>
      <c r="AY62" s="2356"/>
      <c r="AZ62" s="2439"/>
      <c r="BA62" s="2298"/>
      <c r="BB62" s="2298"/>
      <c r="BC62" s="2298"/>
      <c r="BD62" s="2356"/>
      <c r="BE62" s="2356"/>
      <c r="BF62" s="2356"/>
      <c r="BG62" s="2356"/>
      <c r="BH62" s="2356"/>
      <c r="BI62" s="2356"/>
      <c r="BJ62" s="2356"/>
      <c r="BK62" s="2374"/>
      <c r="BL62" s="2410"/>
      <c r="BM62" s="2375"/>
      <c r="BN62" s="2375"/>
      <c r="BO62" s="2375"/>
      <c r="BP62" s="2375"/>
      <c r="BQ62" s="2375"/>
      <c r="BR62" s="2375"/>
      <c r="BS62" s="2376"/>
      <c r="BT62" s="2372"/>
      <c r="BU62" s="2372"/>
      <c r="BV62" s="2372"/>
      <c r="BW62" s="2372"/>
      <c r="BX62" s="2372"/>
      <c r="BY62" s="2372"/>
      <c r="BZ62" s="2372"/>
      <c r="CA62" s="2372"/>
      <c r="CB62" s="2372"/>
      <c r="CC62" s="2372"/>
      <c r="CD62" s="2372"/>
      <c r="CE62" s="2372"/>
      <c r="CF62" s="2372"/>
      <c r="CG62" s="2372"/>
      <c r="CH62" s="2373"/>
      <c r="CI62" s="2702"/>
      <c r="CJ62" s="2702"/>
      <c r="CK62" s="2857"/>
      <c r="CL62" s="2857"/>
      <c r="CM62" s="2857"/>
      <c r="CN62" s="139"/>
      <c r="CO62" s="139"/>
      <c r="CP62" s="139"/>
      <c r="CQ62" s="2745"/>
      <c r="CR62" s="2746"/>
      <c r="CS62" s="2746"/>
      <c r="CT62" s="2747"/>
      <c r="CU62" s="139"/>
      <c r="CV62" s="139"/>
      <c r="CW62" s="139"/>
      <c r="CX62" s="139"/>
      <c r="CY62" s="139"/>
      <c r="CZ62" s="139"/>
      <c r="DB62" s="8"/>
      <c r="DC62" s="2222"/>
      <c r="DD62" s="2223"/>
      <c r="DE62" s="2220"/>
      <c r="DF62" s="2221"/>
      <c r="DG62" s="2221"/>
      <c r="DH62" s="2221"/>
      <c r="DI62" s="2221"/>
      <c r="DJ62" s="2221"/>
      <c r="DK62" s="2221"/>
      <c r="DL62" s="2269"/>
      <c r="DM62" s="2270"/>
      <c r="DN62" s="2271"/>
      <c r="DO62" s="2271"/>
      <c r="DP62" s="2271"/>
      <c r="DV62" s="9"/>
    </row>
    <row r="63" spans="1:137" ht="8.85" customHeight="1">
      <c r="A63" s="2518">
        <v>4</v>
      </c>
      <c r="B63" s="2525"/>
      <c r="C63" s="2520"/>
      <c r="D63" s="2520"/>
      <c r="E63" s="2520"/>
      <c r="F63" s="2520"/>
      <c r="G63" s="2526"/>
      <c r="H63" s="2503"/>
      <c r="I63" s="2504"/>
      <c r="J63" s="2504"/>
      <c r="K63" s="2505"/>
      <c r="L63" s="2531"/>
      <c r="M63" s="2475"/>
      <c r="N63" s="2475"/>
      <c r="O63" s="2476"/>
      <c r="P63" s="2503"/>
      <c r="Q63" s="2504"/>
      <c r="R63" s="2504"/>
      <c r="S63" s="2505"/>
      <c r="T63" s="2420"/>
      <c r="U63" s="2421"/>
      <c r="V63" s="2421"/>
      <c r="W63" s="2450"/>
      <c r="X63" s="2420"/>
      <c r="Y63" s="2421"/>
      <c r="Z63" s="2421"/>
      <c r="AA63" s="2450"/>
      <c r="AB63" s="2375" t="str">
        <f t="shared" ref="AB63" si="3">IF(OR(L63="REJECTED",L63="Not Placed"),AB59,IF(X63="","",IF(L$28="","",L$28-X63)))</f>
        <v/>
      </c>
      <c r="AC63" s="2375"/>
      <c r="AD63" s="2375"/>
      <c r="AE63" s="2437"/>
      <c r="AF63" s="2440"/>
      <c r="AG63" s="2421"/>
      <c r="AH63" s="2421"/>
      <c r="AI63" s="2441"/>
      <c r="AJ63" s="2421"/>
      <c r="AK63" s="2421"/>
      <c r="AL63" s="2421"/>
      <c r="AM63" s="2450"/>
      <c r="AN63" s="2421"/>
      <c r="AO63" s="2421"/>
      <c r="AP63" s="2421"/>
      <c r="AQ63" s="2450"/>
      <c r="AR63" s="2356"/>
      <c r="AS63" s="2356"/>
      <c r="AT63" s="2356"/>
      <c r="AU63" s="2356"/>
      <c r="AV63" s="2420"/>
      <c r="AW63" s="2421"/>
      <c r="AX63" s="2421"/>
      <c r="AY63" s="2450"/>
      <c r="AZ63" s="2420"/>
      <c r="BA63" s="2421"/>
      <c r="BB63" s="2421"/>
      <c r="BC63" s="2421"/>
      <c r="BD63" s="2356"/>
      <c r="BE63" s="2356"/>
      <c r="BF63" s="2356"/>
      <c r="BG63" s="2356"/>
      <c r="BH63" s="2356"/>
      <c r="BI63" s="2356"/>
      <c r="BJ63" s="2356"/>
      <c r="BK63" s="2374"/>
      <c r="BL63" s="2410" t="str">
        <f t="shared" ref="BL63" si="4">IF(OR(L63="REJECTED",L63="Not Placed"),0,IF(AF63="","",SUM(AF63:AM66)-SUM(AN63:BK66)))</f>
        <v/>
      </c>
      <c r="BM63" s="2375"/>
      <c r="BN63" s="2375"/>
      <c r="BO63" s="2375"/>
      <c r="BP63" s="2375" t="str">
        <f t="shared" ref="BP63" si="5">IF(L63="REJECTED",BP59,IF(AF63="","",BP59+BL63))</f>
        <v/>
      </c>
      <c r="BQ63" s="2375"/>
      <c r="BR63" s="2375"/>
      <c r="BS63" s="2376"/>
      <c r="BT63" s="2368"/>
      <c r="BU63" s="2368"/>
      <c r="BV63" s="2368"/>
      <c r="BW63" s="2368"/>
      <c r="BX63" s="2368"/>
      <c r="BY63" s="2368"/>
      <c r="BZ63" s="2368"/>
      <c r="CA63" s="2368"/>
      <c r="CB63" s="2368"/>
      <c r="CC63" s="2368"/>
      <c r="CD63" s="2368"/>
      <c r="CE63" s="2368"/>
      <c r="CF63" s="2368"/>
      <c r="CG63" s="2368"/>
      <c r="CH63" s="2369"/>
      <c r="CI63" s="2702">
        <v>4</v>
      </c>
      <c r="CJ63" s="2702"/>
      <c r="CK63" s="2857" t="e">
        <f>'Concr. Curve'!BL52</f>
        <v>#DIV/0!</v>
      </c>
      <c r="CL63" s="2857"/>
      <c r="CM63" s="2857"/>
      <c r="CN63" s="139"/>
      <c r="CO63" s="139"/>
      <c r="CP63" s="139"/>
      <c r="CQ63" s="2742" t="str">
        <f t="shared" ref="CQ63" si="6">IF(OR(P63="",H63=""),"",MOD(P63-H63,1)*24*60)</f>
        <v/>
      </c>
      <c r="CR63" s="2743"/>
      <c r="CS63" s="2743"/>
      <c r="CT63" s="2744"/>
      <c r="CU63" s="139"/>
      <c r="CV63" s="139"/>
      <c r="CW63" s="139"/>
      <c r="CX63" s="139"/>
      <c r="CY63" s="139"/>
      <c r="CZ63" s="139"/>
      <c r="DB63" s="8"/>
      <c r="DC63" s="2222">
        <v>3</v>
      </c>
      <c r="DD63" s="2223"/>
      <c r="DE63" s="2220" t="str">
        <f>BP59</f>
        <v/>
      </c>
      <c r="DF63" s="2221"/>
      <c r="DG63" s="2221"/>
      <c r="DH63" s="2221"/>
      <c r="DI63" s="2221" t="str">
        <f>IF(DE63=DE59,DI59,IF(X59="","",DR$41-X59))</f>
        <v/>
      </c>
      <c r="DJ63" s="2221"/>
      <c r="DK63" s="2221"/>
      <c r="DL63" s="2269"/>
      <c r="DM63" s="2270" t="str">
        <f>IF(DI63=DI59,DM59,IF(L$28="","",IF(X59="","",L$28-X59)))</f>
        <v/>
      </c>
      <c r="DN63" s="2271"/>
      <c r="DO63" s="2271"/>
      <c r="DP63" s="2271"/>
      <c r="DV63" s="9"/>
      <c r="DW63" s="180"/>
      <c r="DX63" s="181"/>
      <c r="DY63" s="181"/>
      <c r="DZ63" s="181"/>
      <c r="EA63" s="181"/>
      <c r="EB63" s="181"/>
      <c r="EC63" s="181"/>
      <c r="ED63" s="181"/>
      <c r="EE63" s="181"/>
      <c r="EF63" s="181"/>
      <c r="EG63" s="181"/>
    </row>
    <row r="64" spans="1:137" ht="8.85" customHeight="1">
      <c r="A64" s="2518"/>
      <c r="B64" s="2521"/>
      <c r="C64" s="2522"/>
      <c r="D64" s="2522"/>
      <c r="E64" s="2522"/>
      <c r="F64" s="2522"/>
      <c r="G64" s="2527"/>
      <c r="H64" s="2506"/>
      <c r="I64" s="2507"/>
      <c r="J64" s="2507"/>
      <c r="K64" s="2508"/>
      <c r="L64" s="2477"/>
      <c r="M64" s="2478"/>
      <c r="N64" s="2478"/>
      <c r="O64" s="2479"/>
      <c r="P64" s="2506"/>
      <c r="Q64" s="2507"/>
      <c r="R64" s="2507"/>
      <c r="S64" s="2508"/>
      <c r="T64" s="2422"/>
      <c r="U64" s="2297"/>
      <c r="V64" s="2297"/>
      <c r="W64" s="2451"/>
      <c r="X64" s="2422"/>
      <c r="Y64" s="2297"/>
      <c r="Z64" s="2297"/>
      <c r="AA64" s="2451"/>
      <c r="AB64" s="2375"/>
      <c r="AC64" s="2375"/>
      <c r="AD64" s="2375"/>
      <c r="AE64" s="2437"/>
      <c r="AF64" s="2442"/>
      <c r="AG64" s="2297"/>
      <c r="AH64" s="2297"/>
      <c r="AI64" s="2443"/>
      <c r="AJ64" s="2297"/>
      <c r="AK64" s="2297"/>
      <c r="AL64" s="2297"/>
      <c r="AM64" s="2451"/>
      <c r="AN64" s="2297"/>
      <c r="AO64" s="2297"/>
      <c r="AP64" s="2297"/>
      <c r="AQ64" s="2451"/>
      <c r="AR64" s="2356"/>
      <c r="AS64" s="2356"/>
      <c r="AT64" s="2356"/>
      <c r="AU64" s="2356"/>
      <c r="AV64" s="2422"/>
      <c r="AW64" s="2297"/>
      <c r="AX64" s="2297"/>
      <c r="AY64" s="2451"/>
      <c r="AZ64" s="2422"/>
      <c r="BA64" s="2297"/>
      <c r="BB64" s="2297"/>
      <c r="BC64" s="2297"/>
      <c r="BD64" s="2356"/>
      <c r="BE64" s="2356"/>
      <c r="BF64" s="2356"/>
      <c r="BG64" s="2356"/>
      <c r="BH64" s="2356"/>
      <c r="BI64" s="2356"/>
      <c r="BJ64" s="2356"/>
      <c r="BK64" s="2374"/>
      <c r="BL64" s="2410"/>
      <c r="BM64" s="2375"/>
      <c r="BN64" s="2375"/>
      <c r="BO64" s="2375"/>
      <c r="BP64" s="2375"/>
      <c r="BQ64" s="2375"/>
      <c r="BR64" s="2375"/>
      <c r="BS64" s="2376"/>
      <c r="BT64" s="2370"/>
      <c r="BU64" s="2370"/>
      <c r="BV64" s="2370"/>
      <c r="BW64" s="2370"/>
      <c r="BX64" s="2370"/>
      <c r="BY64" s="2370"/>
      <c r="BZ64" s="2370"/>
      <c r="CA64" s="2370"/>
      <c r="CB64" s="2370"/>
      <c r="CC64" s="2370"/>
      <c r="CD64" s="2370"/>
      <c r="CE64" s="2370"/>
      <c r="CF64" s="2370"/>
      <c r="CG64" s="2370"/>
      <c r="CH64" s="2371"/>
      <c r="CI64" s="2702"/>
      <c r="CJ64" s="2702"/>
      <c r="CK64" s="2857"/>
      <c r="CL64" s="2857"/>
      <c r="CM64" s="2857"/>
      <c r="CN64" s="139"/>
      <c r="CO64" s="139"/>
      <c r="CP64" s="139"/>
      <c r="CQ64" s="2742"/>
      <c r="CR64" s="2743"/>
      <c r="CS64" s="2743"/>
      <c r="CT64" s="2744"/>
      <c r="CU64" s="139"/>
      <c r="CV64" s="139"/>
      <c r="DB64" s="8"/>
      <c r="DC64" s="2222"/>
      <c r="DD64" s="2223"/>
      <c r="DE64" s="2220"/>
      <c r="DF64" s="2221"/>
      <c r="DG64" s="2221"/>
      <c r="DH64" s="2221"/>
      <c r="DI64" s="2221"/>
      <c r="DJ64" s="2221"/>
      <c r="DK64" s="2221"/>
      <c r="DL64" s="2269"/>
      <c r="DM64" s="2270"/>
      <c r="DN64" s="2271"/>
      <c r="DO64" s="2271"/>
      <c r="DP64" s="2271"/>
      <c r="DV64" s="9"/>
      <c r="DW64" s="180"/>
      <c r="DX64" s="181"/>
      <c r="DY64" s="181"/>
      <c r="DZ64" s="181"/>
      <c r="EA64" s="181"/>
      <c r="EB64" s="181"/>
      <c r="EC64" s="181"/>
      <c r="ED64" s="181"/>
      <c r="EE64" s="181"/>
      <c r="EF64" s="181"/>
      <c r="EG64" s="181"/>
    </row>
    <row r="65" spans="1:137" ht="8.85" customHeight="1">
      <c r="A65" s="2518"/>
      <c r="B65" s="2521"/>
      <c r="C65" s="2522"/>
      <c r="D65" s="2522"/>
      <c r="E65" s="2522"/>
      <c r="F65" s="2522"/>
      <c r="G65" s="2527"/>
      <c r="H65" s="2506"/>
      <c r="I65" s="2507"/>
      <c r="J65" s="2507"/>
      <c r="K65" s="2508"/>
      <c r="L65" s="2477"/>
      <c r="M65" s="2478"/>
      <c r="N65" s="2478"/>
      <c r="O65" s="2479"/>
      <c r="P65" s="2506"/>
      <c r="Q65" s="2507"/>
      <c r="R65" s="2507"/>
      <c r="S65" s="2508"/>
      <c r="T65" s="2422"/>
      <c r="U65" s="2297"/>
      <c r="V65" s="2297"/>
      <c r="W65" s="2451"/>
      <c r="X65" s="2422"/>
      <c r="Y65" s="2297"/>
      <c r="Z65" s="2297"/>
      <c r="AA65" s="2451"/>
      <c r="AB65" s="2375"/>
      <c r="AC65" s="2375"/>
      <c r="AD65" s="2375"/>
      <c r="AE65" s="2437"/>
      <c r="AF65" s="2442"/>
      <c r="AG65" s="2297"/>
      <c r="AH65" s="2297"/>
      <c r="AI65" s="2443"/>
      <c r="AJ65" s="2297"/>
      <c r="AK65" s="2297"/>
      <c r="AL65" s="2297"/>
      <c r="AM65" s="2451"/>
      <c r="AN65" s="2297"/>
      <c r="AO65" s="2297"/>
      <c r="AP65" s="2297"/>
      <c r="AQ65" s="2451"/>
      <c r="AR65" s="2356"/>
      <c r="AS65" s="2356"/>
      <c r="AT65" s="2356"/>
      <c r="AU65" s="2356"/>
      <c r="AV65" s="2422"/>
      <c r="AW65" s="2297"/>
      <c r="AX65" s="2297"/>
      <c r="AY65" s="2451"/>
      <c r="AZ65" s="2422"/>
      <c r="BA65" s="2297"/>
      <c r="BB65" s="2297"/>
      <c r="BC65" s="2297"/>
      <c r="BD65" s="2356"/>
      <c r="BE65" s="2356"/>
      <c r="BF65" s="2356"/>
      <c r="BG65" s="2356"/>
      <c r="BH65" s="2356"/>
      <c r="BI65" s="2356"/>
      <c r="BJ65" s="2356"/>
      <c r="BK65" s="2374"/>
      <c r="BL65" s="2410"/>
      <c r="BM65" s="2375"/>
      <c r="BN65" s="2375"/>
      <c r="BO65" s="2375"/>
      <c r="BP65" s="2375"/>
      <c r="BQ65" s="2375"/>
      <c r="BR65" s="2375"/>
      <c r="BS65" s="2376"/>
      <c r="BT65" s="2370"/>
      <c r="BU65" s="2370"/>
      <c r="BV65" s="2370"/>
      <c r="BW65" s="2370"/>
      <c r="BX65" s="2370"/>
      <c r="BY65" s="2370"/>
      <c r="BZ65" s="2370"/>
      <c r="CA65" s="2370"/>
      <c r="CB65" s="2370"/>
      <c r="CC65" s="2370"/>
      <c r="CD65" s="2370"/>
      <c r="CE65" s="2370"/>
      <c r="CF65" s="2370"/>
      <c r="CG65" s="2370"/>
      <c r="CH65" s="2371"/>
      <c r="CI65" s="2702"/>
      <c r="CJ65" s="2702"/>
      <c r="CK65" s="2857"/>
      <c r="CL65" s="2857"/>
      <c r="CM65" s="2857"/>
      <c r="CN65" s="139"/>
      <c r="CO65" s="139"/>
      <c r="CP65" s="139"/>
      <c r="CQ65" s="2742"/>
      <c r="CR65" s="2743"/>
      <c r="CS65" s="2743"/>
      <c r="CT65" s="2744"/>
      <c r="CU65" s="139"/>
      <c r="CV65" s="139"/>
      <c r="DB65" s="8"/>
      <c r="DC65" s="2222"/>
      <c r="DD65" s="2223"/>
      <c r="DE65" s="2220"/>
      <c r="DF65" s="2221"/>
      <c r="DG65" s="2221"/>
      <c r="DH65" s="2221"/>
      <c r="DI65" s="2221"/>
      <c r="DJ65" s="2221"/>
      <c r="DK65" s="2221"/>
      <c r="DL65" s="2269"/>
      <c r="DM65" s="2270"/>
      <c r="DN65" s="2271"/>
      <c r="DO65" s="2271"/>
      <c r="DP65" s="2271"/>
      <c r="DV65" s="9"/>
      <c r="DW65" s="180"/>
      <c r="DX65" s="181"/>
      <c r="DY65" s="181"/>
      <c r="DZ65" s="181"/>
      <c r="EA65" s="181"/>
      <c r="EB65" s="181"/>
      <c r="EC65" s="181"/>
      <c r="ED65" s="181"/>
      <c r="EE65" s="181"/>
      <c r="EF65" s="181"/>
      <c r="EG65" s="181"/>
    </row>
    <row r="66" spans="1:137" ht="8.85" customHeight="1">
      <c r="A66" s="2518"/>
      <c r="B66" s="2523"/>
      <c r="C66" s="2524"/>
      <c r="D66" s="2524"/>
      <c r="E66" s="2524"/>
      <c r="F66" s="2524"/>
      <c r="G66" s="2528"/>
      <c r="H66" s="2509"/>
      <c r="I66" s="2510"/>
      <c r="J66" s="2510"/>
      <c r="K66" s="2511"/>
      <c r="L66" s="2480"/>
      <c r="M66" s="2481"/>
      <c r="N66" s="2481"/>
      <c r="O66" s="2482"/>
      <c r="P66" s="2509"/>
      <c r="Q66" s="2510"/>
      <c r="R66" s="2510"/>
      <c r="S66" s="2511"/>
      <c r="T66" s="2439"/>
      <c r="U66" s="2298"/>
      <c r="V66" s="2298"/>
      <c r="W66" s="2452"/>
      <c r="X66" s="2439"/>
      <c r="Y66" s="2298"/>
      <c r="Z66" s="2298"/>
      <c r="AA66" s="2452"/>
      <c r="AB66" s="2375"/>
      <c r="AC66" s="2375"/>
      <c r="AD66" s="2375"/>
      <c r="AE66" s="2437"/>
      <c r="AF66" s="2444"/>
      <c r="AG66" s="2298"/>
      <c r="AH66" s="2298"/>
      <c r="AI66" s="2445"/>
      <c r="AJ66" s="2298"/>
      <c r="AK66" s="2298"/>
      <c r="AL66" s="2298"/>
      <c r="AM66" s="2452"/>
      <c r="AN66" s="2298"/>
      <c r="AO66" s="2298"/>
      <c r="AP66" s="2298"/>
      <c r="AQ66" s="2452"/>
      <c r="AR66" s="2356"/>
      <c r="AS66" s="2356"/>
      <c r="AT66" s="2356"/>
      <c r="AU66" s="2356"/>
      <c r="AV66" s="2439"/>
      <c r="AW66" s="2298"/>
      <c r="AX66" s="2298"/>
      <c r="AY66" s="2452"/>
      <c r="AZ66" s="2439"/>
      <c r="BA66" s="2298"/>
      <c r="BB66" s="2298"/>
      <c r="BC66" s="2298"/>
      <c r="BD66" s="2356"/>
      <c r="BE66" s="2356"/>
      <c r="BF66" s="2356"/>
      <c r="BG66" s="2356"/>
      <c r="BH66" s="2356"/>
      <c r="BI66" s="2356"/>
      <c r="BJ66" s="2356"/>
      <c r="BK66" s="2374"/>
      <c r="BL66" s="2410"/>
      <c r="BM66" s="2375"/>
      <c r="BN66" s="2375"/>
      <c r="BO66" s="2375"/>
      <c r="BP66" s="2375"/>
      <c r="BQ66" s="2375"/>
      <c r="BR66" s="2375"/>
      <c r="BS66" s="2376"/>
      <c r="BT66" s="2372"/>
      <c r="BU66" s="2372"/>
      <c r="BV66" s="2372"/>
      <c r="BW66" s="2372"/>
      <c r="BX66" s="2372"/>
      <c r="BY66" s="2372"/>
      <c r="BZ66" s="2372"/>
      <c r="CA66" s="2372"/>
      <c r="CB66" s="2372"/>
      <c r="CC66" s="2372"/>
      <c r="CD66" s="2372"/>
      <c r="CE66" s="2372"/>
      <c r="CF66" s="2372"/>
      <c r="CG66" s="2372"/>
      <c r="CH66" s="2373"/>
      <c r="CI66" s="2702"/>
      <c r="CJ66" s="2702"/>
      <c r="CK66" s="2857"/>
      <c r="CL66" s="2857"/>
      <c r="CM66" s="2857"/>
      <c r="CN66" s="139"/>
      <c r="CO66" s="139"/>
      <c r="CP66" s="139"/>
      <c r="CQ66" s="2745"/>
      <c r="CR66" s="2746"/>
      <c r="CS66" s="2746"/>
      <c r="CT66" s="2747"/>
      <c r="CU66" s="139"/>
      <c r="CV66" s="139"/>
      <c r="CW66" s="1318"/>
      <c r="CX66" s="1318"/>
      <c r="CY66" s="1318"/>
      <c r="CZ66" s="1318"/>
      <c r="DB66" s="8"/>
      <c r="DC66" s="2222"/>
      <c r="DD66" s="2223"/>
      <c r="DE66" s="2220"/>
      <c r="DF66" s="2221"/>
      <c r="DG66" s="2221"/>
      <c r="DH66" s="2221"/>
      <c r="DI66" s="2221"/>
      <c r="DJ66" s="2221"/>
      <c r="DK66" s="2221"/>
      <c r="DL66" s="2269"/>
      <c r="DM66" s="2270"/>
      <c r="DN66" s="2271"/>
      <c r="DO66" s="2271"/>
      <c r="DP66" s="2271"/>
      <c r="DV66" s="9"/>
      <c r="DW66" s="180"/>
      <c r="DX66" s="181"/>
      <c r="DY66" s="181"/>
      <c r="DZ66" s="181"/>
      <c r="EA66" s="181"/>
      <c r="EB66" s="181"/>
      <c r="EC66" s="181"/>
      <c r="ED66" s="181"/>
      <c r="EE66" s="181"/>
      <c r="EF66" s="181"/>
      <c r="EG66" s="181"/>
    </row>
    <row r="67" spans="1:137" ht="8.85" customHeight="1">
      <c r="A67" s="2518">
        <v>5</v>
      </c>
      <c r="B67" s="2525"/>
      <c r="C67" s="2520"/>
      <c r="D67" s="2520"/>
      <c r="E67" s="2520"/>
      <c r="F67" s="2520"/>
      <c r="G67" s="2526"/>
      <c r="H67" s="2503"/>
      <c r="I67" s="2504"/>
      <c r="J67" s="2504"/>
      <c r="K67" s="2505"/>
      <c r="L67" s="2474"/>
      <c r="M67" s="2475"/>
      <c r="N67" s="2475"/>
      <c r="O67" s="2476"/>
      <c r="P67" s="2503"/>
      <c r="Q67" s="2504"/>
      <c r="R67" s="2504"/>
      <c r="S67" s="2505"/>
      <c r="T67" s="2420"/>
      <c r="U67" s="2421"/>
      <c r="V67" s="2421"/>
      <c r="W67" s="2450"/>
      <c r="X67" s="2420"/>
      <c r="Y67" s="2421"/>
      <c r="Z67" s="2421"/>
      <c r="AA67" s="2450"/>
      <c r="AB67" s="2375" t="str">
        <f t="shared" ref="AB67" si="7">IF(OR(L67="REJECTED",L67="Not Placed"),AB63,IF(X67="","",IF(L$28="","",L$28-X67)))</f>
        <v/>
      </c>
      <c r="AC67" s="2375"/>
      <c r="AD67" s="2375"/>
      <c r="AE67" s="2437"/>
      <c r="AF67" s="2440"/>
      <c r="AG67" s="2421"/>
      <c r="AH67" s="2421"/>
      <c r="AI67" s="2441"/>
      <c r="AJ67" s="2438"/>
      <c r="AK67" s="2356"/>
      <c r="AL67" s="2356"/>
      <c r="AM67" s="2356"/>
      <c r="AN67" s="2420"/>
      <c r="AO67" s="2421"/>
      <c r="AP67" s="2421"/>
      <c r="AQ67" s="2450"/>
      <c r="AR67" s="2356"/>
      <c r="AS67" s="2356"/>
      <c r="AT67" s="2356"/>
      <c r="AU67" s="2356"/>
      <c r="AV67" s="2356"/>
      <c r="AW67" s="2356"/>
      <c r="AX67" s="2356"/>
      <c r="AY67" s="2356"/>
      <c r="AZ67" s="2420"/>
      <c r="BA67" s="2421"/>
      <c r="BB67" s="2421"/>
      <c r="BC67" s="2421"/>
      <c r="BD67" s="2356"/>
      <c r="BE67" s="2356"/>
      <c r="BF67" s="2356"/>
      <c r="BG67" s="2356"/>
      <c r="BH67" s="2356"/>
      <c r="BI67" s="2356"/>
      <c r="BJ67" s="2356"/>
      <c r="BK67" s="2374"/>
      <c r="BL67" s="2410" t="str">
        <f t="shared" ref="BL67" si="8">IF(OR(L67="REJECTED",L67="Not Placed"),0,IF(AF67="","",SUM(AF67:AM70)-SUM(AN67:BK70)))</f>
        <v/>
      </c>
      <c r="BM67" s="2375"/>
      <c r="BN67" s="2375"/>
      <c r="BO67" s="2375"/>
      <c r="BP67" s="2375" t="str">
        <f t="shared" ref="BP67" si="9">IF(L67="REJECTED",BP63,IF(AF67="","",BP63+BL67))</f>
        <v/>
      </c>
      <c r="BQ67" s="2375"/>
      <c r="BR67" s="2375"/>
      <c r="BS67" s="2376"/>
      <c r="BT67" s="2368"/>
      <c r="BU67" s="2368"/>
      <c r="BV67" s="2368"/>
      <c r="BW67" s="2368"/>
      <c r="BX67" s="2368"/>
      <c r="BY67" s="2368"/>
      <c r="BZ67" s="2368"/>
      <c r="CA67" s="2368"/>
      <c r="CB67" s="2368"/>
      <c r="CC67" s="2368"/>
      <c r="CD67" s="2368"/>
      <c r="CE67" s="2368"/>
      <c r="CF67" s="2368"/>
      <c r="CG67" s="2368"/>
      <c r="CH67" s="2369"/>
      <c r="CI67" s="2702">
        <v>5</v>
      </c>
      <c r="CJ67" s="2702"/>
      <c r="CK67" s="2857" t="e">
        <f>'Concr. Curve'!BL51</f>
        <v>#DIV/0!</v>
      </c>
      <c r="CL67" s="2857"/>
      <c r="CM67" s="2857"/>
      <c r="CN67" s="139"/>
      <c r="CO67" s="139"/>
      <c r="CP67" s="139"/>
      <c r="CQ67" s="2742" t="str">
        <f t="shared" ref="CQ67" si="10">IF(OR(P67="",H67=""),"",MOD(P67-H67,1)*24*60)</f>
        <v/>
      </c>
      <c r="CR67" s="2743"/>
      <c r="CS67" s="2743"/>
      <c r="CT67" s="2744"/>
      <c r="CU67" s="139"/>
      <c r="CV67" s="139"/>
      <c r="CW67" s="1318"/>
      <c r="CX67" s="1318"/>
      <c r="CY67" s="1318"/>
      <c r="CZ67" s="1318"/>
      <c r="DB67" s="8"/>
      <c r="DC67" s="2222">
        <v>4</v>
      </c>
      <c r="DD67" s="2223"/>
      <c r="DE67" s="2220" t="str">
        <f>BP63</f>
        <v/>
      </c>
      <c r="DF67" s="2221"/>
      <c r="DG67" s="2221"/>
      <c r="DH67" s="2221"/>
      <c r="DI67" s="2221" t="str">
        <f t="shared" ref="DI67" si="11">IF(DE67=DE63,DI63,IF(X63="","",DR$41-X63))</f>
        <v/>
      </c>
      <c r="DJ67" s="2221"/>
      <c r="DK67" s="2221"/>
      <c r="DL67" s="2269"/>
      <c r="DM67" s="2270" t="str">
        <f>IF(DI67=DI63,DM63,IF(L$28="","",IF(X63="","",L$28-X63)))</f>
        <v/>
      </c>
      <c r="DN67" s="2271"/>
      <c r="DO67" s="2271"/>
      <c r="DP67" s="2271"/>
      <c r="DV67" s="9"/>
      <c r="DW67" s="180"/>
      <c r="DX67" s="181"/>
      <c r="DY67" s="181"/>
      <c r="DZ67" s="181"/>
      <c r="EA67" s="181"/>
      <c r="EB67" s="181"/>
      <c r="EC67" s="181"/>
      <c r="ED67" s="181"/>
      <c r="EE67" s="181"/>
      <c r="EF67" s="181"/>
      <c r="EG67" s="181"/>
    </row>
    <row r="68" spans="1:137" ht="8.85" customHeight="1">
      <c r="A68" s="2518"/>
      <c r="B68" s="2521"/>
      <c r="C68" s="2522"/>
      <c r="D68" s="2522"/>
      <c r="E68" s="2522"/>
      <c r="F68" s="2522"/>
      <c r="G68" s="2527"/>
      <c r="H68" s="2506"/>
      <c r="I68" s="2507"/>
      <c r="J68" s="2507"/>
      <c r="K68" s="2508"/>
      <c r="L68" s="2477"/>
      <c r="M68" s="2478"/>
      <c r="N68" s="2478"/>
      <c r="O68" s="2479"/>
      <c r="P68" s="2506"/>
      <c r="Q68" s="2507"/>
      <c r="R68" s="2507"/>
      <c r="S68" s="2508"/>
      <c r="T68" s="2422"/>
      <c r="U68" s="2297"/>
      <c r="V68" s="2297"/>
      <c r="W68" s="2451"/>
      <c r="X68" s="2422"/>
      <c r="Y68" s="2297"/>
      <c r="Z68" s="2297"/>
      <c r="AA68" s="2451"/>
      <c r="AB68" s="2375"/>
      <c r="AC68" s="2375"/>
      <c r="AD68" s="2375"/>
      <c r="AE68" s="2437"/>
      <c r="AF68" s="2442"/>
      <c r="AG68" s="2297"/>
      <c r="AH68" s="2297"/>
      <c r="AI68" s="2443"/>
      <c r="AJ68" s="2438"/>
      <c r="AK68" s="2356"/>
      <c r="AL68" s="2356"/>
      <c r="AM68" s="2356"/>
      <c r="AN68" s="2422"/>
      <c r="AO68" s="2297"/>
      <c r="AP68" s="2297"/>
      <c r="AQ68" s="2451"/>
      <c r="AR68" s="2356"/>
      <c r="AS68" s="2356"/>
      <c r="AT68" s="2356"/>
      <c r="AU68" s="2356"/>
      <c r="AV68" s="2356"/>
      <c r="AW68" s="2356"/>
      <c r="AX68" s="2356"/>
      <c r="AY68" s="2356"/>
      <c r="AZ68" s="2422"/>
      <c r="BA68" s="2297"/>
      <c r="BB68" s="2297"/>
      <c r="BC68" s="2297"/>
      <c r="BD68" s="2356"/>
      <c r="BE68" s="2356"/>
      <c r="BF68" s="2356"/>
      <c r="BG68" s="2356"/>
      <c r="BH68" s="2356"/>
      <c r="BI68" s="2356"/>
      <c r="BJ68" s="2356"/>
      <c r="BK68" s="2374"/>
      <c r="BL68" s="2410"/>
      <c r="BM68" s="2375"/>
      <c r="BN68" s="2375"/>
      <c r="BO68" s="2375"/>
      <c r="BP68" s="2375"/>
      <c r="BQ68" s="2375"/>
      <c r="BR68" s="2375"/>
      <c r="BS68" s="2376"/>
      <c r="BT68" s="2370"/>
      <c r="BU68" s="2370"/>
      <c r="BV68" s="2370"/>
      <c r="BW68" s="2370"/>
      <c r="BX68" s="2370"/>
      <c r="BY68" s="2370"/>
      <c r="BZ68" s="2370"/>
      <c r="CA68" s="2370"/>
      <c r="CB68" s="2370"/>
      <c r="CC68" s="2370"/>
      <c r="CD68" s="2370"/>
      <c r="CE68" s="2370"/>
      <c r="CF68" s="2370"/>
      <c r="CG68" s="2370"/>
      <c r="CH68" s="2371"/>
      <c r="CI68" s="2702"/>
      <c r="CJ68" s="2702"/>
      <c r="CK68" s="2857"/>
      <c r="CL68" s="2857"/>
      <c r="CM68" s="2857"/>
      <c r="CN68" s="139"/>
      <c r="CO68" s="139"/>
      <c r="CP68" s="139"/>
      <c r="CQ68" s="2742"/>
      <c r="CR68" s="2743"/>
      <c r="CS68" s="2743"/>
      <c r="CT68" s="2744"/>
      <c r="CU68" s="139"/>
      <c r="CV68" s="139"/>
      <c r="CW68" s="1319"/>
      <c r="CX68" s="139"/>
      <c r="CY68" s="139"/>
      <c r="CZ68" s="139"/>
      <c r="DB68" s="8"/>
      <c r="DC68" s="2222"/>
      <c r="DD68" s="2223"/>
      <c r="DE68" s="2220"/>
      <c r="DF68" s="2221"/>
      <c r="DG68" s="2221"/>
      <c r="DH68" s="2221"/>
      <c r="DI68" s="2221"/>
      <c r="DJ68" s="2221"/>
      <c r="DK68" s="2221"/>
      <c r="DL68" s="2269"/>
      <c r="DM68" s="2270"/>
      <c r="DN68" s="2271"/>
      <c r="DO68" s="2271"/>
      <c r="DP68" s="2271"/>
      <c r="DV68" s="9"/>
      <c r="DW68" s="180"/>
      <c r="DX68" s="181"/>
      <c r="DY68" s="181"/>
      <c r="DZ68" s="181"/>
      <c r="EA68" s="181"/>
      <c r="EB68" s="181"/>
      <c r="EC68" s="181"/>
      <c r="ED68" s="181"/>
      <c r="EE68" s="181"/>
      <c r="EF68" s="181"/>
      <c r="EG68" s="181"/>
    </row>
    <row r="69" spans="1:137" ht="8.85" customHeight="1">
      <c r="A69" s="2518"/>
      <c r="B69" s="2521"/>
      <c r="C69" s="2522"/>
      <c r="D69" s="2522"/>
      <c r="E69" s="2522"/>
      <c r="F69" s="2522"/>
      <c r="G69" s="2527"/>
      <c r="H69" s="2506"/>
      <c r="I69" s="2507"/>
      <c r="J69" s="2507"/>
      <c r="K69" s="2508"/>
      <c r="L69" s="2477"/>
      <c r="M69" s="2478"/>
      <c r="N69" s="2478"/>
      <c r="O69" s="2479"/>
      <c r="P69" s="2506"/>
      <c r="Q69" s="2507"/>
      <c r="R69" s="2507"/>
      <c r="S69" s="2508"/>
      <c r="T69" s="2422"/>
      <c r="U69" s="2297"/>
      <c r="V69" s="2297"/>
      <c r="W69" s="2451"/>
      <c r="X69" s="2422"/>
      <c r="Y69" s="2297"/>
      <c r="Z69" s="2297"/>
      <c r="AA69" s="2451"/>
      <c r="AB69" s="2375"/>
      <c r="AC69" s="2375"/>
      <c r="AD69" s="2375"/>
      <c r="AE69" s="2437"/>
      <c r="AF69" s="2442"/>
      <c r="AG69" s="2297"/>
      <c r="AH69" s="2297"/>
      <c r="AI69" s="2443"/>
      <c r="AJ69" s="2438"/>
      <c r="AK69" s="2356"/>
      <c r="AL69" s="2356"/>
      <c r="AM69" s="2356"/>
      <c r="AN69" s="2422"/>
      <c r="AO69" s="2297"/>
      <c r="AP69" s="2297"/>
      <c r="AQ69" s="2451"/>
      <c r="AR69" s="2356"/>
      <c r="AS69" s="2356"/>
      <c r="AT69" s="2356"/>
      <c r="AU69" s="2356"/>
      <c r="AV69" s="2356"/>
      <c r="AW69" s="2356"/>
      <c r="AX69" s="2356"/>
      <c r="AY69" s="2356"/>
      <c r="AZ69" s="2422"/>
      <c r="BA69" s="2297"/>
      <c r="BB69" s="2297"/>
      <c r="BC69" s="2297"/>
      <c r="BD69" s="2356"/>
      <c r="BE69" s="2356"/>
      <c r="BF69" s="2356"/>
      <c r="BG69" s="2356"/>
      <c r="BH69" s="2356"/>
      <c r="BI69" s="2356"/>
      <c r="BJ69" s="2356"/>
      <c r="BK69" s="2374"/>
      <c r="BL69" s="2410"/>
      <c r="BM69" s="2375"/>
      <c r="BN69" s="2375"/>
      <c r="BO69" s="2375"/>
      <c r="BP69" s="2375"/>
      <c r="BQ69" s="2375"/>
      <c r="BR69" s="2375"/>
      <c r="BS69" s="2376"/>
      <c r="BT69" s="2370"/>
      <c r="BU69" s="2370"/>
      <c r="BV69" s="2370"/>
      <c r="BW69" s="2370"/>
      <c r="BX69" s="2370"/>
      <c r="BY69" s="2370"/>
      <c r="BZ69" s="2370"/>
      <c r="CA69" s="2370"/>
      <c r="CB69" s="2370"/>
      <c r="CC69" s="2370"/>
      <c r="CD69" s="2370"/>
      <c r="CE69" s="2370"/>
      <c r="CF69" s="2370"/>
      <c r="CG69" s="2370"/>
      <c r="CH69" s="2371"/>
      <c r="CI69" s="2702"/>
      <c r="CJ69" s="2702"/>
      <c r="CK69" s="2857"/>
      <c r="CL69" s="2857"/>
      <c r="CM69" s="2857"/>
      <c r="CN69" s="139"/>
      <c r="CO69" s="139"/>
      <c r="CP69" s="139"/>
      <c r="CQ69" s="2742"/>
      <c r="CR69" s="2743"/>
      <c r="CS69" s="2743"/>
      <c r="CT69" s="2744"/>
      <c r="CU69" s="139"/>
      <c r="CV69" s="139"/>
      <c r="CW69" s="139"/>
      <c r="CX69" s="139"/>
      <c r="CY69" s="139"/>
      <c r="CZ69" s="139"/>
      <c r="DB69" s="8"/>
      <c r="DC69" s="2222"/>
      <c r="DD69" s="2223"/>
      <c r="DE69" s="2220"/>
      <c r="DF69" s="2221"/>
      <c r="DG69" s="2221"/>
      <c r="DH69" s="2221"/>
      <c r="DI69" s="2221"/>
      <c r="DJ69" s="2221"/>
      <c r="DK69" s="2221"/>
      <c r="DL69" s="2269"/>
      <c r="DM69" s="2270"/>
      <c r="DN69" s="2271"/>
      <c r="DO69" s="2271"/>
      <c r="DP69" s="2271"/>
      <c r="DV69" s="9"/>
      <c r="DW69" s="180"/>
      <c r="DX69" s="181"/>
      <c r="DY69" s="181"/>
      <c r="DZ69" s="181"/>
      <c r="EA69" s="181"/>
      <c r="EB69" s="181"/>
      <c r="EC69" s="181"/>
      <c r="ED69" s="181"/>
      <c r="EE69" s="181"/>
      <c r="EF69" s="181"/>
      <c r="EG69" s="181"/>
    </row>
    <row r="70" spans="1:137" ht="8.85" customHeight="1">
      <c r="A70" s="2518"/>
      <c r="B70" s="2523"/>
      <c r="C70" s="2524"/>
      <c r="D70" s="2524"/>
      <c r="E70" s="2524"/>
      <c r="F70" s="2524"/>
      <c r="G70" s="2528"/>
      <c r="H70" s="2509"/>
      <c r="I70" s="2510"/>
      <c r="J70" s="2510"/>
      <c r="K70" s="2511"/>
      <c r="L70" s="2480"/>
      <c r="M70" s="2481"/>
      <c r="N70" s="2481"/>
      <c r="O70" s="2482"/>
      <c r="P70" s="2509"/>
      <c r="Q70" s="2510"/>
      <c r="R70" s="2510"/>
      <c r="S70" s="2511"/>
      <c r="T70" s="2439"/>
      <c r="U70" s="2298"/>
      <c r="V70" s="2298"/>
      <c r="W70" s="2452"/>
      <c r="X70" s="2439"/>
      <c r="Y70" s="2298"/>
      <c r="Z70" s="2298"/>
      <c r="AA70" s="2452"/>
      <c r="AB70" s="2375"/>
      <c r="AC70" s="2375"/>
      <c r="AD70" s="2375"/>
      <c r="AE70" s="2437"/>
      <c r="AF70" s="2444"/>
      <c r="AG70" s="2298"/>
      <c r="AH70" s="2298"/>
      <c r="AI70" s="2445"/>
      <c r="AJ70" s="2438"/>
      <c r="AK70" s="2356"/>
      <c r="AL70" s="2356"/>
      <c r="AM70" s="2356"/>
      <c r="AN70" s="2439"/>
      <c r="AO70" s="2298"/>
      <c r="AP70" s="2298"/>
      <c r="AQ70" s="2452"/>
      <c r="AR70" s="2356"/>
      <c r="AS70" s="2356"/>
      <c r="AT70" s="2356"/>
      <c r="AU70" s="2356"/>
      <c r="AV70" s="2356"/>
      <c r="AW70" s="2356"/>
      <c r="AX70" s="2356"/>
      <c r="AY70" s="2356"/>
      <c r="AZ70" s="2439"/>
      <c r="BA70" s="2298"/>
      <c r="BB70" s="2298"/>
      <c r="BC70" s="2298"/>
      <c r="BD70" s="2356"/>
      <c r="BE70" s="2356"/>
      <c r="BF70" s="2356"/>
      <c r="BG70" s="2356"/>
      <c r="BH70" s="2356"/>
      <c r="BI70" s="2356"/>
      <c r="BJ70" s="2356"/>
      <c r="BK70" s="2374"/>
      <c r="BL70" s="2410"/>
      <c r="BM70" s="2375"/>
      <c r="BN70" s="2375"/>
      <c r="BO70" s="2375"/>
      <c r="BP70" s="2375"/>
      <c r="BQ70" s="2375"/>
      <c r="BR70" s="2375"/>
      <c r="BS70" s="2376"/>
      <c r="BT70" s="2372"/>
      <c r="BU70" s="2372"/>
      <c r="BV70" s="2372"/>
      <c r="BW70" s="2372"/>
      <c r="BX70" s="2372"/>
      <c r="BY70" s="2372"/>
      <c r="BZ70" s="2372"/>
      <c r="CA70" s="2372"/>
      <c r="CB70" s="2372"/>
      <c r="CC70" s="2372"/>
      <c r="CD70" s="2372"/>
      <c r="CE70" s="2372"/>
      <c r="CF70" s="2372"/>
      <c r="CG70" s="2372"/>
      <c r="CH70" s="2373"/>
      <c r="CI70" s="2702"/>
      <c r="CJ70" s="2702"/>
      <c r="CK70" s="2857"/>
      <c r="CL70" s="2857"/>
      <c r="CM70" s="2857"/>
      <c r="CN70" s="139"/>
      <c r="CO70" s="139"/>
      <c r="CP70" s="139"/>
      <c r="CQ70" s="2745"/>
      <c r="CR70" s="2746"/>
      <c r="CS70" s="2746"/>
      <c r="CT70" s="2747"/>
      <c r="CU70" s="139"/>
      <c r="CV70" s="139"/>
      <c r="CW70" s="139"/>
      <c r="CX70" s="139"/>
      <c r="CY70" s="139"/>
      <c r="CZ70" s="139"/>
      <c r="DB70" s="8"/>
      <c r="DC70" s="2222"/>
      <c r="DD70" s="2223"/>
      <c r="DE70" s="2220"/>
      <c r="DF70" s="2221"/>
      <c r="DG70" s="2221"/>
      <c r="DH70" s="2221"/>
      <c r="DI70" s="2221"/>
      <c r="DJ70" s="2221"/>
      <c r="DK70" s="2221"/>
      <c r="DL70" s="2269"/>
      <c r="DM70" s="2270"/>
      <c r="DN70" s="2271"/>
      <c r="DO70" s="2271"/>
      <c r="DP70" s="2271"/>
      <c r="DV70" s="9"/>
      <c r="DW70" s="180"/>
      <c r="DX70" s="181"/>
      <c r="DY70" s="181"/>
      <c r="DZ70" s="181"/>
      <c r="EA70" s="181"/>
      <c r="EB70" s="181"/>
      <c r="EC70" s="181"/>
      <c r="ED70" s="181"/>
      <c r="EE70" s="181"/>
      <c r="EF70" s="181"/>
      <c r="EG70" s="181"/>
    </row>
    <row r="71" spans="1:137" ht="8.85" customHeight="1">
      <c r="A71" s="2518">
        <v>6</v>
      </c>
      <c r="B71" s="2525"/>
      <c r="C71" s="2520"/>
      <c r="D71" s="2520"/>
      <c r="E71" s="2520"/>
      <c r="F71" s="2520"/>
      <c r="G71" s="2526"/>
      <c r="H71" s="2503"/>
      <c r="I71" s="2504"/>
      <c r="J71" s="2504"/>
      <c r="K71" s="2505"/>
      <c r="L71" s="2474"/>
      <c r="M71" s="2475"/>
      <c r="N71" s="2475"/>
      <c r="O71" s="2476"/>
      <c r="P71" s="2503"/>
      <c r="Q71" s="2504"/>
      <c r="R71" s="2504"/>
      <c r="S71" s="2505"/>
      <c r="T71" s="2420"/>
      <c r="U71" s="2421"/>
      <c r="V71" s="2421"/>
      <c r="W71" s="2450"/>
      <c r="X71" s="2420"/>
      <c r="Y71" s="2421"/>
      <c r="Z71" s="2421"/>
      <c r="AA71" s="2450"/>
      <c r="AB71" s="2375" t="str">
        <f t="shared" ref="AB71" si="12">IF(OR(L71="REJECTED",L71="Not Placed"),AB67,IF(X71="","",IF(L$28="","",L$28-X71)))</f>
        <v/>
      </c>
      <c r="AC71" s="2375"/>
      <c r="AD71" s="2375"/>
      <c r="AE71" s="2437"/>
      <c r="AF71" s="2440"/>
      <c r="AG71" s="2421"/>
      <c r="AH71" s="2421"/>
      <c r="AI71" s="2441"/>
      <c r="AJ71" s="2438"/>
      <c r="AK71" s="2356"/>
      <c r="AL71" s="2356"/>
      <c r="AM71" s="2356"/>
      <c r="AN71" s="2420"/>
      <c r="AO71" s="2421"/>
      <c r="AP71" s="2421"/>
      <c r="AQ71" s="2450"/>
      <c r="AR71" s="2356"/>
      <c r="AS71" s="2356"/>
      <c r="AT71" s="2356"/>
      <c r="AU71" s="2356"/>
      <c r="AV71" s="2356"/>
      <c r="AW71" s="2356"/>
      <c r="AX71" s="2356"/>
      <c r="AY71" s="2356"/>
      <c r="AZ71" s="2420"/>
      <c r="BA71" s="2421"/>
      <c r="BB71" s="2421"/>
      <c r="BC71" s="2421"/>
      <c r="BD71" s="2420"/>
      <c r="BE71" s="2421"/>
      <c r="BF71" s="2421"/>
      <c r="BG71" s="2450"/>
      <c r="BH71" s="2356"/>
      <c r="BI71" s="2356"/>
      <c r="BJ71" s="2356"/>
      <c r="BK71" s="2374"/>
      <c r="BL71" s="2410" t="str">
        <f t="shared" ref="BL71" si="13">IF(OR(L71="REJECTED",L71="Not Placed"),0,IF(AF71="","",SUM(AF71:AM74)-SUM(AN71:BK74)))</f>
        <v/>
      </c>
      <c r="BM71" s="2375"/>
      <c r="BN71" s="2375"/>
      <c r="BO71" s="2375"/>
      <c r="BP71" s="2375" t="str">
        <f t="shared" ref="BP71" si="14">IF(L71="REJECTED",BP67,IF(AF71="","",BP67+BL71))</f>
        <v/>
      </c>
      <c r="BQ71" s="2375"/>
      <c r="BR71" s="2375"/>
      <c r="BS71" s="2376"/>
      <c r="BT71" s="2368"/>
      <c r="BU71" s="2368"/>
      <c r="BV71" s="2368"/>
      <c r="BW71" s="2368"/>
      <c r="BX71" s="2368"/>
      <c r="BY71" s="2368"/>
      <c r="BZ71" s="2368"/>
      <c r="CA71" s="2368"/>
      <c r="CB71" s="2368"/>
      <c r="CC71" s="2368"/>
      <c r="CD71" s="2368"/>
      <c r="CE71" s="2368"/>
      <c r="CF71" s="2368"/>
      <c r="CG71" s="2368"/>
      <c r="CH71" s="2369"/>
      <c r="CI71" s="2702">
        <v>6</v>
      </c>
      <c r="CJ71" s="2702"/>
      <c r="CK71" s="2857" t="e">
        <f>'Concr. Curve'!BL50</f>
        <v>#DIV/0!</v>
      </c>
      <c r="CL71" s="2857"/>
      <c r="CM71" s="2857"/>
      <c r="CN71" s="139"/>
      <c r="CO71" s="139"/>
      <c r="CP71" s="139"/>
      <c r="CQ71" s="2742" t="str">
        <f t="shared" ref="CQ71" si="15">IF(OR(P71="",H71=""),"",MOD(P71-H71,1)*24*60)</f>
        <v/>
      </c>
      <c r="CR71" s="2743"/>
      <c r="CS71" s="2743"/>
      <c r="CT71" s="2744"/>
      <c r="CU71" s="139"/>
      <c r="CV71" s="139"/>
      <c r="CW71" s="139"/>
      <c r="CX71" s="139"/>
      <c r="CY71" s="139"/>
      <c r="CZ71" s="139"/>
      <c r="DB71" s="8"/>
      <c r="DC71" s="2222">
        <v>5</v>
      </c>
      <c r="DD71" s="2223"/>
      <c r="DE71" s="2220" t="str">
        <f>BP67</f>
        <v/>
      </c>
      <c r="DF71" s="2221"/>
      <c r="DG71" s="2221"/>
      <c r="DH71" s="2221"/>
      <c r="DI71" s="2221" t="str">
        <f t="shared" ref="DI71" si="16">IF(DE71=DE67,DI67,IF(X67="","",DR$41-X67))</f>
        <v/>
      </c>
      <c r="DJ71" s="2221"/>
      <c r="DK71" s="2221"/>
      <c r="DL71" s="2269"/>
      <c r="DM71" s="2270" t="str">
        <f>IF(DI71=DI67,DM67,IF(L$28="","",IF(X67="","",L$28-X67)))</f>
        <v/>
      </c>
      <c r="DN71" s="2271"/>
      <c r="DO71" s="2271"/>
      <c r="DP71" s="2271"/>
      <c r="DV71" s="9"/>
      <c r="DW71" s="180"/>
      <c r="DX71" s="181"/>
      <c r="DY71" s="181"/>
      <c r="DZ71" s="181"/>
      <c r="EA71" s="181"/>
      <c r="EB71" s="181"/>
      <c r="EC71" s="181"/>
      <c r="ED71" s="181"/>
      <c r="EE71" s="181"/>
      <c r="EF71" s="181"/>
      <c r="EG71" s="181"/>
    </row>
    <row r="72" spans="1:137" ht="8.85" customHeight="1">
      <c r="A72" s="2518"/>
      <c r="B72" s="2521"/>
      <c r="C72" s="2522"/>
      <c r="D72" s="2522"/>
      <c r="E72" s="2522"/>
      <c r="F72" s="2522"/>
      <c r="G72" s="2527"/>
      <c r="H72" s="2506"/>
      <c r="I72" s="2507"/>
      <c r="J72" s="2507"/>
      <c r="K72" s="2508"/>
      <c r="L72" s="2477"/>
      <c r="M72" s="2478"/>
      <c r="N72" s="2478"/>
      <c r="O72" s="2479"/>
      <c r="P72" s="2506"/>
      <c r="Q72" s="2507"/>
      <c r="R72" s="2507"/>
      <c r="S72" s="2508"/>
      <c r="T72" s="2422"/>
      <c r="U72" s="2297"/>
      <c r="V72" s="2297"/>
      <c r="W72" s="2451"/>
      <c r="X72" s="2422"/>
      <c r="Y72" s="2297"/>
      <c r="Z72" s="2297"/>
      <c r="AA72" s="2451"/>
      <c r="AB72" s="2375"/>
      <c r="AC72" s="2375"/>
      <c r="AD72" s="2375"/>
      <c r="AE72" s="2437"/>
      <c r="AF72" s="2442"/>
      <c r="AG72" s="2297"/>
      <c r="AH72" s="2297"/>
      <c r="AI72" s="2443"/>
      <c r="AJ72" s="2438"/>
      <c r="AK72" s="2356"/>
      <c r="AL72" s="2356"/>
      <c r="AM72" s="2356"/>
      <c r="AN72" s="2422"/>
      <c r="AO72" s="2297"/>
      <c r="AP72" s="2297"/>
      <c r="AQ72" s="2451"/>
      <c r="AR72" s="2356"/>
      <c r="AS72" s="2356"/>
      <c r="AT72" s="2356"/>
      <c r="AU72" s="2356"/>
      <c r="AV72" s="2356"/>
      <c r="AW72" s="2356"/>
      <c r="AX72" s="2356"/>
      <c r="AY72" s="2356"/>
      <c r="AZ72" s="2422"/>
      <c r="BA72" s="2297"/>
      <c r="BB72" s="2297"/>
      <c r="BC72" s="2297"/>
      <c r="BD72" s="2422"/>
      <c r="BE72" s="2297"/>
      <c r="BF72" s="2297"/>
      <c r="BG72" s="2451"/>
      <c r="BH72" s="2356"/>
      <c r="BI72" s="2356"/>
      <c r="BJ72" s="2356"/>
      <c r="BK72" s="2374"/>
      <c r="BL72" s="2410"/>
      <c r="BM72" s="2375"/>
      <c r="BN72" s="2375"/>
      <c r="BO72" s="2375"/>
      <c r="BP72" s="2375"/>
      <c r="BQ72" s="2375"/>
      <c r="BR72" s="2375"/>
      <c r="BS72" s="2376"/>
      <c r="BT72" s="2370"/>
      <c r="BU72" s="2370"/>
      <c r="BV72" s="2370"/>
      <c r="BW72" s="2370"/>
      <c r="BX72" s="2370"/>
      <c r="BY72" s="2370"/>
      <c r="BZ72" s="2370"/>
      <c r="CA72" s="2370"/>
      <c r="CB72" s="2370"/>
      <c r="CC72" s="2370"/>
      <c r="CD72" s="2370"/>
      <c r="CE72" s="2370"/>
      <c r="CF72" s="2370"/>
      <c r="CG72" s="2370"/>
      <c r="CH72" s="2371"/>
      <c r="CI72" s="2702"/>
      <c r="CJ72" s="2702"/>
      <c r="CK72" s="2857"/>
      <c r="CL72" s="2857"/>
      <c r="CM72" s="2857"/>
      <c r="CN72" s="139"/>
      <c r="CO72" s="139"/>
      <c r="CP72" s="139"/>
      <c r="CQ72" s="2742"/>
      <c r="CR72" s="2743"/>
      <c r="CS72" s="2743"/>
      <c r="CT72" s="2744"/>
      <c r="CU72" s="139"/>
      <c r="CV72" s="139"/>
      <c r="CW72" s="139"/>
      <c r="CX72" s="139"/>
      <c r="CY72" s="139"/>
      <c r="CZ72" s="139"/>
      <c r="DB72" s="8"/>
      <c r="DC72" s="2222"/>
      <c r="DD72" s="2223"/>
      <c r="DE72" s="2220"/>
      <c r="DF72" s="2221"/>
      <c r="DG72" s="2221"/>
      <c r="DH72" s="2221"/>
      <c r="DI72" s="2221"/>
      <c r="DJ72" s="2221"/>
      <c r="DK72" s="2221"/>
      <c r="DL72" s="2269"/>
      <c r="DM72" s="2270"/>
      <c r="DN72" s="2271"/>
      <c r="DO72" s="2271"/>
      <c r="DP72" s="2271"/>
      <c r="DV72" s="9"/>
      <c r="DW72" s="180"/>
      <c r="DX72" s="181"/>
      <c r="DY72" s="181"/>
      <c r="DZ72" s="181"/>
      <c r="EA72" s="181"/>
      <c r="EB72" s="181"/>
      <c r="EC72" s="181"/>
      <c r="ED72" s="181"/>
      <c r="EE72" s="181"/>
      <c r="EF72" s="181"/>
      <c r="EG72" s="181"/>
    </row>
    <row r="73" spans="1:137" ht="8.85" customHeight="1">
      <c r="A73" s="2518"/>
      <c r="B73" s="2521"/>
      <c r="C73" s="2522"/>
      <c r="D73" s="2522"/>
      <c r="E73" s="2522"/>
      <c r="F73" s="2522"/>
      <c r="G73" s="2527"/>
      <c r="H73" s="2506"/>
      <c r="I73" s="2507"/>
      <c r="J73" s="2507"/>
      <c r="K73" s="2508"/>
      <c r="L73" s="2477"/>
      <c r="M73" s="2478"/>
      <c r="N73" s="2478"/>
      <c r="O73" s="2479"/>
      <c r="P73" s="2506"/>
      <c r="Q73" s="2507"/>
      <c r="R73" s="2507"/>
      <c r="S73" s="2508"/>
      <c r="T73" s="2422"/>
      <c r="U73" s="2297"/>
      <c r="V73" s="2297"/>
      <c r="W73" s="2451"/>
      <c r="X73" s="2422"/>
      <c r="Y73" s="2297"/>
      <c r="Z73" s="2297"/>
      <c r="AA73" s="2451"/>
      <c r="AB73" s="2375"/>
      <c r="AC73" s="2375"/>
      <c r="AD73" s="2375"/>
      <c r="AE73" s="2437"/>
      <c r="AF73" s="2442"/>
      <c r="AG73" s="2297"/>
      <c r="AH73" s="2297"/>
      <c r="AI73" s="2443"/>
      <c r="AJ73" s="2438"/>
      <c r="AK73" s="2356"/>
      <c r="AL73" s="2356"/>
      <c r="AM73" s="2356"/>
      <c r="AN73" s="2422"/>
      <c r="AO73" s="2297"/>
      <c r="AP73" s="2297"/>
      <c r="AQ73" s="2451"/>
      <c r="AR73" s="2356"/>
      <c r="AS73" s="2356"/>
      <c r="AT73" s="2356"/>
      <c r="AU73" s="2356"/>
      <c r="AV73" s="2356"/>
      <c r="AW73" s="2356"/>
      <c r="AX73" s="2356"/>
      <c r="AY73" s="2356"/>
      <c r="AZ73" s="2422"/>
      <c r="BA73" s="2297"/>
      <c r="BB73" s="2297"/>
      <c r="BC73" s="2297"/>
      <c r="BD73" s="2422"/>
      <c r="BE73" s="2297"/>
      <c r="BF73" s="2297"/>
      <c r="BG73" s="2451"/>
      <c r="BH73" s="2356"/>
      <c r="BI73" s="2356"/>
      <c r="BJ73" s="2356"/>
      <c r="BK73" s="2374"/>
      <c r="BL73" s="2410"/>
      <c r="BM73" s="2375"/>
      <c r="BN73" s="2375"/>
      <c r="BO73" s="2375"/>
      <c r="BP73" s="2375"/>
      <c r="BQ73" s="2375"/>
      <c r="BR73" s="2375"/>
      <c r="BS73" s="2376"/>
      <c r="BT73" s="2370"/>
      <c r="BU73" s="2370"/>
      <c r="BV73" s="2370"/>
      <c r="BW73" s="2370"/>
      <c r="BX73" s="2370"/>
      <c r="BY73" s="2370"/>
      <c r="BZ73" s="2370"/>
      <c r="CA73" s="2370"/>
      <c r="CB73" s="2370"/>
      <c r="CC73" s="2370"/>
      <c r="CD73" s="2370"/>
      <c r="CE73" s="2370"/>
      <c r="CF73" s="2370"/>
      <c r="CG73" s="2370"/>
      <c r="CH73" s="2371"/>
      <c r="CI73" s="2702"/>
      <c r="CJ73" s="2702"/>
      <c r="CK73" s="2857"/>
      <c r="CL73" s="2857"/>
      <c r="CM73" s="2857"/>
      <c r="CN73" s="139"/>
      <c r="CO73" s="139"/>
      <c r="CP73" s="139"/>
      <c r="CQ73" s="2742"/>
      <c r="CR73" s="2743"/>
      <c r="CS73" s="2743"/>
      <c r="CT73" s="2744"/>
      <c r="CU73" s="139"/>
      <c r="CV73" s="139"/>
      <c r="CW73" s="139"/>
      <c r="CX73" s="139"/>
      <c r="CY73" s="139"/>
      <c r="CZ73" s="139"/>
      <c r="DB73" s="8"/>
      <c r="DC73" s="2222"/>
      <c r="DD73" s="2223"/>
      <c r="DE73" s="2220"/>
      <c r="DF73" s="2221"/>
      <c r="DG73" s="2221"/>
      <c r="DH73" s="2221"/>
      <c r="DI73" s="2221"/>
      <c r="DJ73" s="2221"/>
      <c r="DK73" s="2221"/>
      <c r="DL73" s="2269"/>
      <c r="DM73" s="2270"/>
      <c r="DN73" s="2271"/>
      <c r="DO73" s="2271"/>
      <c r="DP73" s="2271"/>
      <c r="DR73" s="2228" t="s">
        <v>238</v>
      </c>
      <c r="DS73" s="2228"/>
      <c r="DT73" s="2228"/>
      <c r="DU73" s="2228"/>
      <c r="DV73" s="9"/>
      <c r="DW73" s="180"/>
      <c r="DX73" s="181"/>
      <c r="DY73" s="181"/>
      <c r="DZ73" s="181"/>
      <c r="EA73" s="181"/>
      <c r="EB73" s="181"/>
      <c r="EC73" s="181"/>
      <c r="ED73" s="181"/>
      <c r="EE73" s="181"/>
      <c r="EF73" s="181"/>
      <c r="EG73" s="181"/>
    </row>
    <row r="74" spans="1:137" ht="8.85" customHeight="1">
      <c r="A74" s="2518"/>
      <c r="B74" s="2523"/>
      <c r="C74" s="2524"/>
      <c r="D74" s="2524"/>
      <c r="E74" s="2524"/>
      <c r="F74" s="2524"/>
      <c r="G74" s="2528"/>
      <c r="H74" s="2509"/>
      <c r="I74" s="2510"/>
      <c r="J74" s="2510"/>
      <c r="K74" s="2511"/>
      <c r="L74" s="2480"/>
      <c r="M74" s="2481"/>
      <c r="N74" s="2481"/>
      <c r="O74" s="2482"/>
      <c r="P74" s="2509"/>
      <c r="Q74" s="2510"/>
      <c r="R74" s="2510"/>
      <c r="S74" s="2511"/>
      <c r="T74" s="2439"/>
      <c r="U74" s="2298"/>
      <c r="V74" s="2298"/>
      <c r="W74" s="2452"/>
      <c r="X74" s="2439"/>
      <c r="Y74" s="2298"/>
      <c r="Z74" s="2298"/>
      <c r="AA74" s="2452"/>
      <c r="AB74" s="2375"/>
      <c r="AC74" s="2375"/>
      <c r="AD74" s="2375"/>
      <c r="AE74" s="2437"/>
      <c r="AF74" s="2444"/>
      <c r="AG74" s="2298"/>
      <c r="AH74" s="2298"/>
      <c r="AI74" s="2445"/>
      <c r="AJ74" s="2438"/>
      <c r="AK74" s="2356"/>
      <c r="AL74" s="2356"/>
      <c r="AM74" s="2356"/>
      <c r="AN74" s="2439"/>
      <c r="AO74" s="2298"/>
      <c r="AP74" s="2298"/>
      <c r="AQ74" s="2452"/>
      <c r="AR74" s="2356"/>
      <c r="AS74" s="2356"/>
      <c r="AT74" s="2356"/>
      <c r="AU74" s="2356"/>
      <c r="AV74" s="2356"/>
      <c r="AW74" s="2356"/>
      <c r="AX74" s="2356"/>
      <c r="AY74" s="2356"/>
      <c r="AZ74" s="2439"/>
      <c r="BA74" s="2298"/>
      <c r="BB74" s="2298"/>
      <c r="BC74" s="2298"/>
      <c r="BD74" s="2439"/>
      <c r="BE74" s="2298"/>
      <c r="BF74" s="2298"/>
      <c r="BG74" s="2452"/>
      <c r="BH74" s="2356"/>
      <c r="BI74" s="2356"/>
      <c r="BJ74" s="2356"/>
      <c r="BK74" s="2374"/>
      <c r="BL74" s="2410"/>
      <c r="BM74" s="2375"/>
      <c r="BN74" s="2375"/>
      <c r="BO74" s="2375"/>
      <c r="BP74" s="2375"/>
      <c r="BQ74" s="2375"/>
      <c r="BR74" s="2375"/>
      <c r="BS74" s="2376"/>
      <c r="BT74" s="2372"/>
      <c r="BU74" s="2372"/>
      <c r="BV74" s="2372"/>
      <c r="BW74" s="2372"/>
      <c r="BX74" s="2372"/>
      <c r="BY74" s="2372"/>
      <c r="BZ74" s="2372"/>
      <c r="CA74" s="2372"/>
      <c r="CB74" s="2372"/>
      <c r="CC74" s="2372"/>
      <c r="CD74" s="2372"/>
      <c r="CE74" s="2372"/>
      <c r="CF74" s="2372"/>
      <c r="CG74" s="2372"/>
      <c r="CH74" s="2373"/>
      <c r="CI74" s="2702"/>
      <c r="CJ74" s="2702"/>
      <c r="CK74" s="2857"/>
      <c r="CL74" s="2857"/>
      <c r="CM74" s="2857"/>
      <c r="CN74" s="139"/>
      <c r="CO74" s="139"/>
      <c r="CP74" s="139"/>
      <c r="CQ74" s="2745"/>
      <c r="CR74" s="2746"/>
      <c r="CS74" s="2746"/>
      <c r="CT74" s="2747"/>
      <c r="CU74" s="139"/>
      <c r="CV74" s="139"/>
      <c r="CW74" s="139"/>
      <c r="CX74" s="139"/>
      <c r="CY74" s="139"/>
      <c r="CZ74" s="139"/>
      <c r="DB74" s="8"/>
      <c r="DC74" s="2222"/>
      <c r="DD74" s="2223"/>
      <c r="DE74" s="2220"/>
      <c r="DF74" s="2221"/>
      <c r="DG74" s="2221"/>
      <c r="DH74" s="2221"/>
      <c r="DI74" s="2221"/>
      <c r="DJ74" s="2221"/>
      <c r="DK74" s="2221"/>
      <c r="DL74" s="2269"/>
      <c r="DM74" s="2270"/>
      <c r="DN74" s="2271"/>
      <c r="DO74" s="2271"/>
      <c r="DP74" s="2271"/>
      <c r="DR74" s="2228"/>
      <c r="DS74" s="2228"/>
      <c r="DT74" s="2228"/>
      <c r="DU74" s="2228"/>
      <c r="DV74" s="9"/>
      <c r="DW74" s="180"/>
      <c r="DX74" s="181"/>
      <c r="DY74" s="181"/>
      <c r="DZ74" s="181"/>
      <c r="EA74" s="181"/>
      <c r="EB74" s="181"/>
      <c r="EC74" s="181"/>
      <c r="ED74" s="181"/>
      <c r="EE74" s="181"/>
      <c r="EF74" s="181"/>
      <c r="EG74" s="181"/>
    </row>
    <row r="75" spans="1:137" ht="8.85" customHeight="1">
      <c r="A75" s="2518">
        <v>7</v>
      </c>
      <c r="B75" s="2525"/>
      <c r="C75" s="2520"/>
      <c r="D75" s="2520"/>
      <c r="E75" s="2520"/>
      <c r="F75" s="2520"/>
      <c r="G75" s="2526"/>
      <c r="H75" s="2503"/>
      <c r="I75" s="2504"/>
      <c r="J75" s="2504"/>
      <c r="K75" s="2505"/>
      <c r="L75" s="2474"/>
      <c r="M75" s="2475"/>
      <c r="N75" s="2475"/>
      <c r="O75" s="2476"/>
      <c r="P75" s="2503"/>
      <c r="Q75" s="2504"/>
      <c r="R75" s="2504"/>
      <c r="S75" s="2505"/>
      <c r="T75" s="2420"/>
      <c r="U75" s="2421"/>
      <c r="V75" s="2421"/>
      <c r="W75" s="2450"/>
      <c r="X75" s="2420"/>
      <c r="Y75" s="2421"/>
      <c r="Z75" s="2421"/>
      <c r="AA75" s="2450"/>
      <c r="AB75" s="2375" t="str">
        <f t="shared" ref="AB75" si="17">IF(OR(L75="REJECTED",L75="Not Placed"),AB71,IF(X75="","",IF(L$28="","",L$28-X75)))</f>
        <v/>
      </c>
      <c r="AC75" s="2375"/>
      <c r="AD75" s="2375"/>
      <c r="AE75" s="2437"/>
      <c r="AF75" s="2440"/>
      <c r="AG75" s="2421"/>
      <c r="AH75" s="2421"/>
      <c r="AI75" s="2441"/>
      <c r="AJ75" s="2438"/>
      <c r="AK75" s="2356"/>
      <c r="AL75" s="2356"/>
      <c r="AM75" s="2356"/>
      <c r="AN75" s="2420"/>
      <c r="AO75" s="2421"/>
      <c r="AP75" s="2421"/>
      <c r="AQ75" s="2450"/>
      <c r="AR75" s="2356"/>
      <c r="AS75" s="2356"/>
      <c r="AT75" s="2356"/>
      <c r="AU75" s="2356"/>
      <c r="AV75" s="2356"/>
      <c r="AW75" s="2356"/>
      <c r="AX75" s="2356"/>
      <c r="AY75" s="2356"/>
      <c r="AZ75" s="2420"/>
      <c r="BA75" s="2421"/>
      <c r="BB75" s="2421"/>
      <c r="BC75" s="2421"/>
      <c r="BD75" s="2356"/>
      <c r="BE75" s="2356"/>
      <c r="BF75" s="2356"/>
      <c r="BG75" s="2356"/>
      <c r="BH75" s="2356"/>
      <c r="BI75" s="2356"/>
      <c r="BJ75" s="2356"/>
      <c r="BK75" s="2374"/>
      <c r="BL75" s="2410" t="str">
        <f t="shared" ref="BL75" si="18">IF(OR(L75="REJECTED",L75="Not Placed"),0,IF(AF75="","",SUM(AF75:AM78)-SUM(AN75:BK78)))</f>
        <v/>
      </c>
      <c r="BM75" s="2375"/>
      <c r="BN75" s="2375"/>
      <c r="BO75" s="2375"/>
      <c r="BP75" s="2375" t="str">
        <f t="shared" ref="BP75" si="19">IF(L75="REJECTED",BP71,IF(AF75="","",BP71+BL75))</f>
        <v/>
      </c>
      <c r="BQ75" s="2375"/>
      <c r="BR75" s="2375"/>
      <c r="BS75" s="2376"/>
      <c r="BT75" s="2368"/>
      <c r="BU75" s="2368"/>
      <c r="BV75" s="2368"/>
      <c r="BW75" s="2368"/>
      <c r="BX75" s="2368"/>
      <c r="BY75" s="2368"/>
      <c r="BZ75" s="2368"/>
      <c r="CA75" s="2368"/>
      <c r="CB75" s="2368"/>
      <c r="CC75" s="2368"/>
      <c r="CD75" s="2368"/>
      <c r="CE75" s="2368"/>
      <c r="CF75" s="2368"/>
      <c r="CG75" s="2368"/>
      <c r="CH75" s="2369"/>
      <c r="CI75" s="2702">
        <v>7</v>
      </c>
      <c r="CJ75" s="2702"/>
      <c r="CK75" s="2857" t="e">
        <f>'Concr. Curve'!BL49</f>
        <v>#DIV/0!</v>
      </c>
      <c r="CL75" s="2857"/>
      <c r="CM75" s="2857"/>
      <c r="CN75" s="139"/>
      <c r="CO75" s="139"/>
      <c r="CP75" s="139"/>
      <c r="CQ75" s="2742" t="str">
        <f t="shared" ref="CQ75" si="20">IF(OR(P75="",H75=""),"",MOD(P75-H75,1)*24*60)</f>
        <v/>
      </c>
      <c r="CR75" s="2743"/>
      <c r="CS75" s="2743"/>
      <c r="CT75" s="2744"/>
      <c r="CU75" s="139"/>
      <c r="CV75" s="139"/>
      <c r="CW75" s="1320"/>
      <c r="CX75" s="139"/>
      <c r="CY75" s="139"/>
      <c r="CZ75" s="139"/>
      <c r="DB75" s="8"/>
      <c r="DC75" s="2222">
        <v>6</v>
      </c>
      <c r="DD75" s="2223"/>
      <c r="DE75" s="2220" t="str">
        <f>BP71</f>
        <v/>
      </c>
      <c r="DF75" s="2221"/>
      <c r="DG75" s="2221"/>
      <c r="DH75" s="2221"/>
      <c r="DI75" s="2221" t="str">
        <f t="shared" ref="DI75" si="21">IF(DE75=DE71,DI71,IF(X71="","",DR$41-X71))</f>
        <v/>
      </c>
      <c r="DJ75" s="2221"/>
      <c r="DK75" s="2221"/>
      <c r="DL75" s="2269"/>
      <c r="DM75" s="2270" t="str">
        <f>IF(DI75=DI71,DM71,IF(L$28="","",IF(X71="","",L$28-X71)))</f>
        <v/>
      </c>
      <c r="DN75" s="2271"/>
      <c r="DO75" s="2271"/>
      <c r="DP75" s="2271"/>
      <c r="DR75" s="2228"/>
      <c r="DS75" s="2228"/>
      <c r="DT75" s="2228"/>
      <c r="DU75" s="2228"/>
      <c r="DV75" s="9"/>
      <c r="DW75" s="180"/>
      <c r="DX75" s="181"/>
      <c r="DY75" s="181"/>
      <c r="DZ75" s="181"/>
      <c r="EA75" s="181"/>
      <c r="EB75" s="181"/>
      <c r="EC75" s="181"/>
      <c r="ED75" s="181"/>
      <c r="EE75" s="181"/>
      <c r="EF75" s="181"/>
      <c r="EG75" s="181"/>
    </row>
    <row r="76" spans="1:137" ht="8.85" customHeight="1">
      <c r="A76" s="2518"/>
      <c r="B76" s="2521"/>
      <c r="C76" s="2522"/>
      <c r="D76" s="2522"/>
      <c r="E76" s="2522"/>
      <c r="F76" s="2522"/>
      <c r="G76" s="2527"/>
      <c r="H76" s="2506"/>
      <c r="I76" s="2507"/>
      <c r="J76" s="2507"/>
      <c r="K76" s="2508"/>
      <c r="L76" s="2477"/>
      <c r="M76" s="2478"/>
      <c r="N76" s="2478"/>
      <c r="O76" s="2479"/>
      <c r="P76" s="2506"/>
      <c r="Q76" s="2507"/>
      <c r="R76" s="2507"/>
      <c r="S76" s="2508"/>
      <c r="T76" s="2422"/>
      <c r="U76" s="2297"/>
      <c r="V76" s="2297"/>
      <c r="W76" s="2451"/>
      <c r="X76" s="2422"/>
      <c r="Y76" s="2297"/>
      <c r="Z76" s="2297"/>
      <c r="AA76" s="2451"/>
      <c r="AB76" s="2375"/>
      <c r="AC76" s="2375"/>
      <c r="AD76" s="2375"/>
      <c r="AE76" s="2437"/>
      <c r="AF76" s="2442"/>
      <c r="AG76" s="2297"/>
      <c r="AH76" s="2297"/>
      <c r="AI76" s="2443"/>
      <c r="AJ76" s="2438"/>
      <c r="AK76" s="2356"/>
      <c r="AL76" s="2356"/>
      <c r="AM76" s="2356"/>
      <c r="AN76" s="2422"/>
      <c r="AO76" s="2297"/>
      <c r="AP76" s="2297"/>
      <c r="AQ76" s="2451"/>
      <c r="AR76" s="2356"/>
      <c r="AS76" s="2356"/>
      <c r="AT76" s="2356"/>
      <c r="AU76" s="2356"/>
      <c r="AV76" s="2356"/>
      <c r="AW76" s="2356"/>
      <c r="AX76" s="2356"/>
      <c r="AY76" s="2356"/>
      <c r="AZ76" s="2422"/>
      <c r="BA76" s="2297"/>
      <c r="BB76" s="2297"/>
      <c r="BC76" s="2297"/>
      <c r="BD76" s="2356"/>
      <c r="BE76" s="2356"/>
      <c r="BF76" s="2356"/>
      <c r="BG76" s="2356"/>
      <c r="BH76" s="2356"/>
      <c r="BI76" s="2356"/>
      <c r="BJ76" s="2356"/>
      <c r="BK76" s="2374"/>
      <c r="BL76" s="2410"/>
      <c r="BM76" s="2375"/>
      <c r="BN76" s="2375"/>
      <c r="BO76" s="2375"/>
      <c r="BP76" s="2375"/>
      <c r="BQ76" s="2375"/>
      <c r="BR76" s="2375"/>
      <c r="BS76" s="2376"/>
      <c r="BT76" s="2370"/>
      <c r="BU76" s="2370"/>
      <c r="BV76" s="2370"/>
      <c r="BW76" s="2370"/>
      <c r="BX76" s="2370"/>
      <c r="BY76" s="2370"/>
      <c r="BZ76" s="2370"/>
      <c r="CA76" s="2370"/>
      <c r="CB76" s="2370"/>
      <c r="CC76" s="2370"/>
      <c r="CD76" s="2370"/>
      <c r="CE76" s="2370"/>
      <c r="CF76" s="2370"/>
      <c r="CG76" s="2370"/>
      <c r="CH76" s="2371"/>
      <c r="CI76" s="2702"/>
      <c r="CJ76" s="2702"/>
      <c r="CK76" s="2857"/>
      <c r="CL76" s="2857"/>
      <c r="CM76" s="2857"/>
      <c r="CN76" s="139"/>
      <c r="CO76" s="139"/>
      <c r="CP76" s="139"/>
      <c r="CQ76" s="2742"/>
      <c r="CR76" s="2743"/>
      <c r="CS76" s="2743"/>
      <c r="CT76" s="2744"/>
      <c r="CU76" s="139"/>
      <c r="CV76" s="139"/>
      <c r="CW76" s="139"/>
      <c r="CX76" s="139"/>
      <c r="CY76" s="139"/>
      <c r="CZ76" s="139"/>
      <c r="DB76" s="8"/>
      <c r="DC76" s="2222"/>
      <c r="DD76" s="2223"/>
      <c r="DE76" s="2220"/>
      <c r="DF76" s="2221"/>
      <c r="DG76" s="2221"/>
      <c r="DH76" s="2221"/>
      <c r="DI76" s="2221"/>
      <c r="DJ76" s="2221"/>
      <c r="DK76" s="2221"/>
      <c r="DL76" s="2269"/>
      <c r="DM76" s="2270"/>
      <c r="DN76" s="2271"/>
      <c r="DO76" s="2271"/>
      <c r="DP76" s="2271"/>
      <c r="DR76" s="2228"/>
      <c r="DS76" s="2228"/>
      <c r="DT76" s="2228"/>
      <c r="DU76" s="2228"/>
      <c r="DV76" s="9"/>
    </row>
    <row r="77" spans="1:137" ht="8.85" customHeight="1">
      <c r="A77" s="2518"/>
      <c r="B77" s="2521"/>
      <c r="C77" s="2522"/>
      <c r="D77" s="2522"/>
      <c r="E77" s="2522"/>
      <c r="F77" s="2522"/>
      <c r="G77" s="2527"/>
      <c r="H77" s="2506"/>
      <c r="I77" s="2507"/>
      <c r="J77" s="2507"/>
      <c r="K77" s="2508"/>
      <c r="L77" s="2477"/>
      <c r="M77" s="2478"/>
      <c r="N77" s="2478"/>
      <c r="O77" s="2479"/>
      <c r="P77" s="2506"/>
      <c r="Q77" s="2507"/>
      <c r="R77" s="2507"/>
      <c r="S77" s="2508"/>
      <c r="T77" s="2422"/>
      <c r="U77" s="2297"/>
      <c r="V77" s="2297"/>
      <c r="W77" s="2451"/>
      <c r="X77" s="2422"/>
      <c r="Y77" s="2297"/>
      <c r="Z77" s="2297"/>
      <c r="AA77" s="2451"/>
      <c r="AB77" s="2375"/>
      <c r="AC77" s="2375"/>
      <c r="AD77" s="2375"/>
      <c r="AE77" s="2437"/>
      <c r="AF77" s="2442"/>
      <c r="AG77" s="2297"/>
      <c r="AH77" s="2297"/>
      <c r="AI77" s="2443"/>
      <c r="AJ77" s="2438"/>
      <c r="AK77" s="2356"/>
      <c r="AL77" s="2356"/>
      <c r="AM77" s="2356"/>
      <c r="AN77" s="2422"/>
      <c r="AO77" s="2297"/>
      <c r="AP77" s="2297"/>
      <c r="AQ77" s="2451"/>
      <c r="AR77" s="2356"/>
      <c r="AS77" s="2356"/>
      <c r="AT77" s="2356"/>
      <c r="AU77" s="2356"/>
      <c r="AV77" s="2356"/>
      <c r="AW77" s="2356"/>
      <c r="AX77" s="2356"/>
      <c r="AY77" s="2356"/>
      <c r="AZ77" s="2422"/>
      <c r="BA77" s="2297"/>
      <c r="BB77" s="2297"/>
      <c r="BC77" s="2297"/>
      <c r="BD77" s="2356"/>
      <c r="BE77" s="2356"/>
      <c r="BF77" s="2356"/>
      <c r="BG77" s="2356"/>
      <c r="BH77" s="2356"/>
      <c r="BI77" s="2356"/>
      <c r="BJ77" s="2356"/>
      <c r="BK77" s="2374"/>
      <c r="BL77" s="2410"/>
      <c r="BM77" s="2375"/>
      <c r="BN77" s="2375"/>
      <c r="BO77" s="2375"/>
      <c r="BP77" s="2375"/>
      <c r="BQ77" s="2375"/>
      <c r="BR77" s="2375"/>
      <c r="BS77" s="2376"/>
      <c r="BT77" s="2370"/>
      <c r="BU77" s="2370"/>
      <c r="BV77" s="2370"/>
      <c r="BW77" s="2370"/>
      <c r="BX77" s="2370"/>
      <c r="BY77" s="2370"/>
      <c r="BZ77" s="2370"/>
      <c r="CA77" s="2370"/>
      <c r="CB77" s="2370"/>
      <c r="CC77" s="2370"/>
      <c r="CD77" s="2370"/>
      <c r="CE77" s="2370"/>
      <c r="CF77" s="2370"/>
      <c r="CG77" s="2370"/>
      <c r="CH77" s="2371"/>
      <c r="CI77" s="2702"/>
      <c r="CJ77" s="2702"/>
      <c r="CK77" s="2857"/>
      <c r="CL77" s="2857"/>
      <c r="CM77" s="2857"/>
      <c r="CN77" s="139"/>
      <c r="CO77" s="139"/>
      <c r="CP77" s="139"/>
      <c r="CQ77" s="2742"/>
      <c r="CR77" s="2743"/>
      <c r="CS77" s="2743"/>
      <c r="CT77" s="2744"/>
      <c r="CU77" s="139"/>
      <c r="CV77" s="139"/>
      <c r="CW77" s="139"/>
      <c r="CX77" s="139"/>
      <c r="CY77" s="139"/>
      <c r="CZ77" s="139"/>
      <c r="DB77" s="8"/>
      <c r="DC77" s="2222"/>
      <c r="DD77" s="2223"/>
      <c r="DE77" s="2220"/>
      <c r="DF77" s="2221"/>
      <c r="DG77" s="2221"/>
      <c r="DH77" s="2221"/>
      <c r="DI77" s="2221"/>
      <c r="DJ77" s="2221"/>
      <c r="DK77" s="2221"/>
      <c r="DL77" s="2269"/>
      <c r="DM77" s="2270"/>
      <c r="DN77" s="2271"/>
      <c r="DO77" s="2271"/>
      <c r="DP77" s="2271"/>
      <c r="DV77" s="9"/>
    </row>
    <row r="78" spans="1:137" ht="8.85" customHeight="1">
      <c r="A78" s="2518"/>
      <c r="B78" s="2523"/>
      <c r="C78" s="2524"/>
      <c r="D78" s="2524"/>
      <c r="E78" s="2524"/>
      <c r="F78" s="2524"/>
      <c r="G78" s="2528"/>
      <c r="H78" s="2509"/>
      <c r="I78" s="2510"/>
      <c r="J78" s="2510"/>
      <c r="K78" s="2511"/>
      <c r="L78" s="2480"/>
      <c r="M78" s="2481"/>
      <c r="N78" s="2481"/>
      <c r="O78" s="2482"/>
      <c r="P78" s="2509"/>
      <c r="Q78" s="2510"/>
      <c r="R78" s="2510"/>
      <c r="S78" s="2511"/>
      <c r="T78" s="2439"/>
      <c r="U78" s="2298"/>
      <c r="V78" s="2298"/>
      <c r="W78" s="2452"/>
      <c r="X78" s="2439"/>
      <c r="Y78" s="2298"/>
      <c r="Z78" s="2298"/>
      <c r="AA78" s="2452"/>
      <c r="AB78" s="2375"/>
      <c r="AC78" s="2375"/>
      <c r="AD78" s="2375"/>
      <c r="AE78" s="2437"/>
      <c r="AF78" s="2444"/>
      <c r="AG78" s="2298"/>
      <c r="AH78" s="2298"/>
      <c r="AI78" s="2445"/>
      <c r="AJ78" s="2438"/>
      <c r="AK78" s="2356"/>
      <c r="AL78" s="2356"/>
      <c r="AM78" s="2356"/>
      <c r="AN78" s="2439"/>
      <c r="AO78" s="2298"/>
      <c r="AP78" s="2298"/>
      <c r="AQ78" s="2452"/>
      <c r="AR78" s="2356"/>
      <c r="AS78" s="2356"/>
      <c r="AT78" s="2356"/>
      <c r="AU78" s="2356"/>
      <c r="AV78" s="2356"/>
      <c r="AW78" s="2356"/>
      <c r="AX78" s="2356"/>
      <c r="AY78" s="2356"/>
      <c r="AZ78" s="2439"/>
      <c r="BA78" s="2298"/>
      <c r="BB78" s="2298"/>
      <c r="BC78" s="2298"/>
      <c r="BD78" s="2356"/>
      <c r="BE78" s="2356"/>
      <c r="BF78" s="2356"/>
      <c r="BG78" s="2356"/>
      <c r="BH78" s="2356"/>
      <c r="BI78" s="2356"/>
      <c r="BJ78" s="2356"/>
      <c r="BK78" s="2374"/>
      <c r="BL78" s="2410"/>
      <c r="BM78" s="2375"/>
      <c r="BN78" s="2375"/>
      <c r="BO78" s="2375"/>
      <c r="BP78" s="2375"/>
      <c r="BQ78" s="2375"/>
      <c r="BR78" s="2375"/>
      <c r="BS78" s="2376"/>
      <c r="BT78" s="2372"/>
      <c r="BU78" s="2372"/>
      <c r="BV78" s="2372"/>
      <c r="BW78" s="2372"/>
      <c r="BX78" s="2372"/>
      <c r="BY78" s="2372"/>
      <c r="BZ78" s="2372"/>
      <c r="CA78" s="2372"/>
      <c r="CB78" s="2372"/>
      <c r="CC78" s="2372"/>
      <c r="CD78" s="2372"/>
      <c r="CE78" s="2372"/>
      <c r="CF78" s="2372"/>
      <c r="CG78" s="2372"/>
      <c r="CH78" s="2373"/>
      <c r="CI78" s="2702"/>
      <c r="CJ78" s="2702"/>
      <c r="CK78" s="2857"/>
      <c r="CL78" s="2857"/>
      <c r="CM78" s="2857"/>
      <c r="CN78" s="139"/>
      <c r="CO78" s="139"/>
      <c r="CP78" s="139"/>
      <c r="CQ78" s="2745"/>
      <c r="CR78" s="2746"/>
      <c r="CS78" s="2746"/>
      <c r="CT78" s="2747"/>
      <c r="CU78" s="139"/>
      <c r="CV78" s="139"/>
      <c r="CW78" s="139"/>
      <c r="CX78" s="139"/>
      <c r="CY78" s="139"/>
      <c r="CZ78" s="139"/>
      <c r="DB78" s="8"/>
      <c r="DC78" s="2222"/>
      <c r="DD78" s="2223"/>
      <c r="DE78" s="2220"/>
      <c r="DF78" s="2221"/>
      <c r="DG78" s="2221"/>
      <c r="DH78" s="2221"/>
      <c r="DI78" s="2221"/>
      <c r="DJ78" s="2221"/>
      <c r="DK78" s="2221"/>
      <c r="DL78" s="2269"/>
      <c r="DM78" s="2270"/>
      <c r="DN78" s="2271"/>
      <c r="DO78" s="2271"/>
      <c r="DP78" s="2271"/>
      <c r="DV78" s="9"/>
    </row>
    <row r="79" spans="1:137" ht="8.85" customHeight="1">
      <c r="A79" s="2518">
        <v>8</v>
      </c>
      <c r="B79" s="2525"/>
      <c r="C79" s="2520"/>
      <c r="D79" s="2520"/>
      <c r="E79" s="2520"/>
      <c r="F79" s="2520"/>
      <c r="G79" s="2526"/>
      <c r="H79" s="2503"/>
      <c r="I79" s="2504"/>
      <c r="J79" s="2504"/>
      <c r="K79" s="2505"/>
      <c r="L79" s="2474"/>
      <c r="M79" s="2475"/>
      <c r="N79" s="2475"/>
      <c r="O79" s="2476"/>
      <c r="P79" s="2503"/>
      <c r="Q79" s="2504"/>
      <c r="R79" s="2504"/>
      <c r="S79" s="2505"/>
      <c r="T79" s="2420"/>
      <c r="U79" s="2421"/>
      <c r="V79" s="2421"/>
      <c r="W79" s="2450"/>
      <c r="X79" s="2420"/>
      <c r="Y79" s="2421"/>
      <c r="Z79" s="2421"/>
      <c r="AA79" s="2450"/>
      <c r="AB79" s="2375" t="str">
        <f t="shared" ref="AB79" si="22">IF(OR(L79="REJECTED",L79="Not Placed"),AB75,IF(X79="","",IF(L$28="","",L$28-X79)))</f>
        <v/>
      </c>
      <c r="AC79" s="2375"/>
      <c r="AD79" s="2375"/>
      <c r="AE79" s="2437"/>
      <c r="AF79" s="2440"/>
      <c r="AG79" s="2421"/>
      <c r="AH79" s="2421"/>
      <c r="AI79" s="2441"/>
      <c r="AJ79" s="2438"/>
      <c r="AK79" s="2356"/>
      <c r="AL79" s="2356"/>
      <c r="AM79" s="2356"/>
      <c r="AN79" s="2438"/>
      <c r="AO79" s="2356"/>
      <c r="AP79" s="2356"/>
      <c r="AQ79" s="2356"/>
      <c r="AR79" s="2356"/>
      <c r="AS79" s="2356"/>
      <c r="AT79" s="2356"/>
      <c r="AU79" s="2356"/>
      <c r="AV79" s="2356"/>
      <c r="AW79" s="2356"/>
      <c r="AX79" s="2356"/>
      <c r="AY79" s="2356"/>
      <c r="AZ79" s="2420"/>
      <c r="BA79" s="2421"/>
      <c r="BB79" s="2421"/>
      <c r="BC79" s="2421"/>
      <c r="BD79" s="2356"/>
      <c r="BE79" s="2356"/>
      <c r="BF79" s="2356"/>
      <c r="BG79" s="2356"/>
      <c r="BH79" s="2356"/>
      <c r="BI79" s="2356"/>
      <c r="BJ79" s="2356"/>
      <c r="BK79" s="2374"/>
      <c r="BL79" s="2410" t="str">
        <f t="shared" ref="BL79" si="23">IF(OR(L79="REJECTED",L79="Not Placed"),0,IF(AF79="","",SUM(AF79:AM82)-SUM(AN79:BK82)))</f>
        <v/>
      </c>
      <c r="BM79" s="2375"/>
      <c r="BN79" s="2375"/>
      <c r="BO79" s="2375"/>
      <c r="BP79" s="2375" t="str">
        <f t="shared" ref="BP79" si="24">IF(L79="REJECTED",BP75,IF(AF79="","",BP75+BL79))</f>
        <v/>
      </c>
      <c r="BQ79" s="2375"/>
      <c r="BR79" s="2375"/>
      <c r="BS79" s="2376"/>
      <c r="BT79" s="2368"/>
      <c r="BU79" s="2368"/>
      <c r="BV79" s="2368"/>
      <c r="BW79" s="2368"/>
      <c r="BX79" s="2368"/>
      <c r="BY79" s="2368"/>
      <c r="BZ79" s="2368"/>
      <c r="CA79" s="2368"/>
      <c r="CB79" s="2368"/>
      <c r="CC79" s="2368"/>
      <c r="CD79" s="2368"/>
      <c r="CE79" s="2368"/>
      <c r="CF79" s="2368"/>
      <c r="CG79" s="2368"/>
      <c r="CH79" s="2369"/>
      <c r="CI79" s="2702">
        <v>8</v>
      </c>
      <c r="CJ79" s="2702"/>
      <c r="CK79" s="2857" t="e">
        <f>'Concr. Curve'!BL48</f>
        <v>#DIV/0!</v>
      </c>
      <c r="CL79" s="2857"/>
      <c r="CM79" s="2857"/>
      <c r="CN79" s="139"/>
      <c r="CO79" s="139"/>
      <c r="CP79" s="139"/>
      <c r="CQ79" s="2742" t="str">
        <f t="shared" ref="CQ79" si="25">IF(OR(P79="",H79=""),"",MOD(P79-H79,1)*24*60)</f>
        <v/>
      </c>
      <c r="CR79" s="2743"/>
      <c r="CS79" s="2743"/>
      <c r="CT79" s="2744"/>
      <c r="CU79" s="139"/>
      <c r="CV79" s="139"/>
      <c r="CW79" s="139"/>
      <c r="CX79" s="139"/>
      <c r="CY79" s="139"/>
      <c r="CZ79" s="139"/>
      <c r="DB79" s="8"/>
      <c r="DC79" s="2222">
        <v>7</v>
      </c>
      <c r="DD79" s="2223"/>
      <c r="DE79" s="2220" t="str">
        <f>BP75</f>
        <v/>
      </c>
      <c r="DF79" s="2221"/>
      <c r="DG79" s="2221"/>
      <c r="DH79" s="2221"/>
      <c r="DI79" s="2221" t="str">
        <f t="shared" ref="DI79" si="26">IF(DE79=DE75,DI75,IF(X75="","",DR$41-X75))</f>
        <v/>
      </c>
      <c r="DJ79" s="2221"/>
      <c r="DK79" s="2221"/>
      <c r="DL79" s="2269"/>
      <c r="DM79" s="2270" t="str">
        <f>IF(DI79=DI75,DM75,IF(L$28="","",IF(X75="","",L$28-X75)))</f>
        <v/>
      </c>
      <c r="DN79" s="2271"/>
      <c r="DO79" s="2271"/>
      <c r="DP79" s="2271"/>
      <c r="DV79" s="10"/>
    </row>
    <row r="80" spans="1:137" ht="8.85" customHeight="1">
      <c r="A80" s="2518"/>
      <c r="B80" s="2521"/>
      <c r="C80" s="2522"/>
      <c r="D80" s="2522"/>
      <c r="E80" s="2522"/>
      <c r="F80" s="2522"/>
      <c r="G80" s="2527"/>
      <c r="H80" s="2506"/>
      <c r="I80" s="2507"/>
      <c r="J80" s="2507"/>
      <c r="K80" s="2508"/>
      <c r="L80" s="2477"/>
      <c r="M80" s="2478"/>
      <c r="N80" s="2478"/>
      <c r="O80" s="2479"/>
      <c r="P80" s="2506"/>
      <c r="Q80" s="2507"/>
      <c r="R80" s="2507"/>
      <c r="S80" s="2508"/>
      <c r="T80" s="2422"/>
      <c r="U80" s="2297"/>
      <c r="V80" s="2297"/>
      <c r="W80" s="2451"/>
      <c r="X80" s="2422"/>
      <c r="Y80" s="2297"/>
      <c r="Z80" s="2297"/>
      <c r="AA80" s="2451"/>
      <c r="AB80" s="2375"/>
      <c r="AC80" s="2375"/>
      <c r="AD80" s="2375"/>
      <c r="AE80" s="2437"/>
      <c r="AF80" s="2442"/>
      <c r="AG80" s="2297"/>
      <c r="AH80" s="2297"/>
      <c r="AI80" s="2443"/>
      <c r="AJ80" s="2438"/>
      <c r="AK80" s="2356"/>
      <c r="AL80" s="2356"/>
      <c r="AM80" s="2356"/>
      <c r="AN80" s="2438"/>
      <c r="AO80" s="2356"/>
      <c r="AP80" s="2356"/>
      <c r="AQ80" s="2356"/>
      <c r="AR80" s="2356"/>
      <c r="AS80" s="2356"/>
      <c r="AT80" s="2356"/>
      <c r="AU80" s="2356"/>
      <c r="AV80" s="2356"/>
      <c r="AW80" s="2356"/>
      <c r="AX80" s="2356"/>
      <c r="AY80" s="2356"/>
      <c r="AZ80" s="2422"/>
      <c r="BA80" s="2297"/>
      <c r="BB80" s="2297"/>
      <c r="BC80" s="2297"/>
      <c r="BD80" s="2356"/>
      <c r="BE80" s="2356"/>
      <c r="BF80" s="2356"/>
      <c r="BG80" s="2356"/>
      <c r="BH80" s="2356"/>
      <c r="BI80" s="2356"/>
      <c r="BJ80" s="2356"/>
      <c r="BK80" s="2374"/>
      <c r="BL80" s="2410"/>
      <c r="BM80" s="2375"/>
      <c r="BN80" s="2375"/>
      <c r="BO80" s="2375"/>
      <c r="BP80" s="2375"/>
      <c r="BQ80" s="2375"/>
      <c r="BR80" s="2375"/>
      <c r="BS80" s="2376"/>
      <c r="BT80" s="2370"/>
      <c r="BU80" s="2370"/>
      <c r="BV80" s="2370"/>
      <c r="BW80" s="2370"/>
      <c r="BX80" s="2370"/>
      <c r="BY80" s="2370"/>
      <c r="BZ80" s="2370"/>
      <c r="CA80" s="2370"/>
      <c r="CB80" s="2370"/>
      <c r="CC80" s="2370"/>
      <c r="CD80" s="2370"/>
      <c r="CE80" s="2370"/>
      <c r="CF80" s="2370"/>
      <c r="CG80" s="2370"/>
      <c r="CH80" s="2371"/>
      <c r="CI80" s="2702"/>
      <c r="CJ80" s="2702"/>
      <c r="CK80" s="2857"/>
      <c r="CL80" s="2857"/>
      <c r="CM80" s="2857"/>
      <c r="CN80" s="139"/>
      <c r="CO80" s="139"/>
      <c r="CP80" s="139"/>
      <c r="CQ80" s="2742"/>
      <c r="CR80" s="2743"/>
      <c r="CS80" s="2743"/>
      <c r="CT80" s="2744"/>
      <c r="CU80" s="139"/>
      <c r="CV80" s="139"/>
      <c r="CW80" s="139"/>
      <c r="CX80" s="139"/>
      <c r="CY80" s="139"/>
      <c r="CZ80" s="139"/>
      <c r="DB80" s="8"/>
      <c r="DC80" s="2222"/>
      <c r="DD80" s="2223"/>
      <c r="DE80" s="2220"/>
      <c r="DF80" s="2221"/>
      <c r="DG80" s="2221"/>
      <c r="DH80" s="2221"/>
      <c r="DI80" s="2221"/>
      <c r="DJ80" s="2221"/>
      <c r="DK80" s="2221"/>
      <c r="DL80" s="2269"/>
      <c r="DM80" s="2270"/>
      <c r="DN80" s="2271"/>
      <c r="DO80" s="2271"/>
      <c r="DP80" s="2271"/>
      <c r="DV80" s="10"/>
    </row>
    <row r="81" spans="1:126" ht="8.85" customHeight="1">
      <c r="A81" s="2518"/>
      <c r="B81" s="2521"/>
      <c r="C81" s="2522"/>
      <c r="D81" s="2522"/>
      <c r="E81" s="2522"/>
      <c r="F81" s="2522"/>
      <c r="G81" s="2527"/>
      <c r="H81" s="2506"/>
      <c r="I81" s="2507"/>
      <c r="J81" s="2507"/>
      <c r="K81" s="2508"/>
      <c r="L81" s="2477"/>
      <c r="M81" s="2478"/>
      <c r="N81" s="2478"/>
      <c r="O81" s="2479"/>
      <c r="P81" s="2506"/>
      <c r="Q81" s="2507"/>
      <c r="R81" s="2507"/>
      <c r="S81" s="2508"/>
      <c r="T81" s="2422"/>
      <c r="U81" s="2297"/>
      <c r="V81" s="2297"/>
      <c r="W81" s="2451"/>
      <c r="X81" s="2422"/>
      <c r="Y81" s="2297"/>
      <c r="Z81" s="2297"/>
      <c r="AA81" s="2451"/>
      <c r="AB81" s="2375"/>
      <c r="AC81" s="2375"/>
      <c r="AD81" s="2375"/>
      <c r="AE81" s="2437"/>
      <c r="AF81" s="2442"/>
      <c r="AG81" s="2297"/>
      <c r="AH81" s="2297"/>
      <c r="AI81" s="2443"/>
      <c r="AJ81" s="2438"/>
      <c r="AK81" s="2356"/>
      <c r="AL81" s="2356"/>
      <c r="AM81" s="2356"/>
      <c r="AN81" s="2438"/>
      <c r="AO81" s="2356"/>
      <c r="AP81" s="2356"/>
      <c r="AQ81" s="2356"/>
      <c r="AR81" s="2356"/>
      <c r="AS81" s="2356"/>
      <c r="AT81" s="2356"/>
      <c r="AU81" s="2356"/>
      <c r="AV81" s="2356"/>
      <c r="AW81" s="2356"/>
      <c r="AX81" s="2356"/>
      <c r="AY81" s="2356"/>
      <c r="AZ81" s="2422"/>
      <c r="BA81" s="2297"/>
      <c r="BB81" s="2297"/>
      <c r="BC81" s="2297"/>
      <c r="BD81" s="2356"/>
      <c r="BE81" s="2356"/>
      <c r="BF81" s="2356"/>
      <c r="BG81" s="2356"/>
      <c r="BH81" s="2356"/>
      <c r="BI81" s="2356"/>
      <c r="BJ81" s="2356"/>
      <c r="BK81" s="2374"/>
      <c r="BL81" s="2410"/>
      <c r="BM81" s="2375"/>
      <c r="BN81" s="2375"/>
      <c r="BO81" s="2375"/>
      <c r="BP81" s="2375"/>
      <c r="BQ81" s="2375"/>
      <c r="BR81" s="2375"/>
      <c r="BS81" s="2376"/>
      <c r="BT81" s="2370"/>
      <c r="BU81" s="2370"/>
      <c r="BV81" s="2370"/>
      <c r="BW81" s="2370"/>
      <c r="BX81" s="2370"/>
      <c r="BY81" s="2370"/>
      <c r="BZ81" s="2370"/>
      <c r="CA81" s="2370"/>
      <c r="CB81" s="2370"/>
      <c r="CC81" s="2370"/>
      <c r="CD81" s="2370"/>
      <c r="CE81" s="2370"/>
      <c r="CF81" s="2370"/>
      <c r="CG81" s="2370"/>
      <c r="CH81" s="2371"/>
      <c r="CI81" s="2702"/>
      <c r="CJ81" s="2702"/>
      <c r="CK81" s="2857"/>
      <c r="CL81" s="2857"/>
      <c r="CM81" s="2857"/>
      <c r="CN81" s="139"/>
      <c r="CO81" s="139"/>
      <c r="CP81" s="139"/>
      <c r="CQ81" s="2742"/>
      <c r="CR81" s="2743"/>
      <c r="CS81" s="2743"/>
      <c r="CT81" s="2744"/>
      <c r="CU81" s="139"/>
      <c r="CV81" s="139"/>
      <c r="CW81" s="139"/>
      <c r="CX81" s="139"/>
      <c r="CY81" s="139"/>
      <c r="CZ81" s="139"/>
      <c r="DB81" s="8"/>
      <c r="DC81" s="2222"/>
      <c r="DD81" s="2223"/>
      <c r="DE81" s="2220"/>
      <c r="DF81" s="2221"/>
      <c r="DG81" s="2221"/>
      <c r="DH81" s="2221"/>
      <c r="DI81" s="2221"/>
      <c r="DJ81" s="2221"/>
      <c r="DK81" s="2221"/>
      <c r="DL81" s="2269"/>
      <c r="DM81" s="2270"/>
      <c r="DN81" s="2271"/>
      <c r="DO81" s="2271"/>
      <c r="DP81" s="2271"/>
      <c r="DV81" s="9"/>
    </row>
    <row r="82" spans="1:126" ht="8.85" customHeight="1">
      <c r="A82" s="2518"/>
      <c r="B82" s="2523"/>
      <c r="C82" s="2524"/>
      <c r="D82" s="2524"/>
      <c r="E82" s="2524"/>
      <c r="F82" s="2524"/>
      <c r="G82" s="2528"/>
      <c r="H82" s="2509"/>
      <c r="I82" s="2510"/>
      <c r="J82" s="2510"/>
      <c r="K82" s="2511"/>
      <c r="L82" s="2480"/>
      <c r="M82" s="2481"/>
      <c r="N82" s="2481"/>
      <c r="O82" s="2482"/>
      <c r="P82" s="2509"/>
      <c r="Q82" s="2510"/>
      <c r="R82" s="2510"/>
      <c r="S82" s="2511"/>
      <c r="T82" s="2439"/>
      <c r="U82" s="2298"/>
      <c r="V82" s="2298"/>
      <c r="W82" s="2452"/>
      <c r="X82" s="2439"/>
      <c r="Y82" s="2298"/>
      <c r="Z82" s="2298"/>
      <c r="AA82" s="2452"/>
      <c r="AB82" s="2375"/>
      <c r="AC82" s="2375"/>
      <c r="AD82" s="2375"/>
      <c r="AE82" s="2437"/>
      <c r="AF82" s="2444"/>
      <c r="AG82" s="2298"/>
      <c r="AH82" s="2298"/>
      <c r="AI82" s="2445"/>
      <c r="AJ82" s="2438"/>
      <c r="AK82" s="2356"/>
      <c r="AL82" s="2356"/>
      <c r="AM82" s="2356"/>
      <c r="AN82" s="2438"/>
      <c r="AO82" s="2356"/>
      <c r="AP82" s="2356"/>
      <c r="AQ82" s="2356"/>
      <c r="AR82" s="2356"/>
      <c r="AS82" s="2356"/>
      <c r="AT82" s="2356"/>
      <c r="AU82" s="2356"/>
      <c r="AV82" s="2356"/>
      <c r="AW82" s="2356"/>
      <c r="AX82" s="2356"/>
      <c r="AY82" s="2356"/>
      <c r="AZ82" s="2439"/>
      <c r="BA82" s="2298"/>
      <c r="BB82" s="2298"/>
      <c r="BC82" s="2298"/>
      <c r="BD82" s="2356"/>
      <c r="BE82" s="2356"/>
      <c r="BF82" s="2356"/>
      <c r="BG82" s="2356"/>
      <c r="BH82" s="2356"/>
      <c r="BI82" s="2356"/>
      <c r="BJ82" s="2356"/>
      <c r="BK82" s="2374"/>
      <c r="BL82" s="2410"/>
      <c r="BM82" s="2375"/>
      <c r="BN82" s="2375"/>
      <c r="BO82" s="2375"/>
      <c r="BP82" s="2375"/>
      <c r="BQ82" s="2375"/>
      <c r="BR82" s="2375"/>
      <c r="BS82" s="2376"/>
      <c r="BT82" s="2372"/>
      <c r="BU82" s="2372"/>
      <c r="BV82" s="2372"/>
      <c r="BW82" s="2372"/>
      <c r="BX82" s="2372"/>
      <c r="BY82" s="2372"/>
      <c r="BZ82" s="2372"/>
      <c r="CA82" s="2372"/>
      <c r="CB82" s="2372"/>
      <c r="CC82" s="2372"/>
      <c r="CD82" s="2372"/>
      <c r="CE82" s="2372"/>
      <c r="CF82" s="2372"/>
      <c r="CG82" s="2372"/>
      <c r="CH82" s="2373"/>
      <c r="CI82" s="2702"/>
      <c r="CJ82" s="2702"/>
      <c r="CK82" s="2857"/>
      <c r="CL82" s="2857"/>
      <c r="CM82" s="2857"/>
      <c r="CN82" s="139"/>
      <c r="CO82" s="139"/>
      <c r="CP82" s="139"/>
      <c r="CQ82" s="2745"/>
      <c r="CR82" s="2746"/>
      <c r="CS82" s="2746"/>
      <c r="CT82" s="2747"/>
      <c r="CU82" s="139"/>
      <c r="CV82" s="139"/>
      <c r="CW82" s="139"/>
      <c r="CX82" s="139"/>
      <c r="CY82" s="139"/>
      <c r="CZ82" s="139"/>
      <c r="DB82" s="8"/>
      <c r="DC82" s="2222"/>
      <c r="DD82" s="2223"/>
      <c r="DE82" s="2220"/>
      <c r="DF82" s="2221"/>
      <c r="DG82" s="2221"/>
      <c r="DH82" s="2221"/>
      <c r="DI82" s="2221"/>
      <c r="DJ82" s="2221"/>
      <c r="DK82" s="2221"/>
      <c r="DL82" s="2269"/>
      <c r="DM82" s="2270"/>
      <c r="DN82" s="2271"/>
      <c r="DO82" s="2271"/>
      <c r="DP82" s="2271"/>
      <c r="DV82" s="9"/>
    </row>
    <row r="83" spans="1:126" ht="8.85" customHeight="1">
      <c r="A83" s="2518">
        <v>9</v>
      </c>
      <c r="B83" s="2525"/>
      <c r="C83" s="2520"/>
      <c r="D83" s="2520"/>
      <c r="E83" s="2520"/>
      <c r="F83" s="2520"/>
      <c r="G83" s="2529"/>
      <c r="H83" s="2503"/>
      <c r="I83" s="2504"/>
      <c r="J83" s="2504"/>
      <c r="K83" s="2505"/>
      <c r="L83" s="2474"/>
      <c r="M83" s="2475"/>
      <c r="N83" s="2475"/>
      <c r="O83" s="2476"/>
      <c r="P83" s="2503"/>
      <c r="Q83" s="2504"/>
      <c r="R83" s="2504"/>
      <c r="S83" s="2505"/>
      <c r="T83" s="2420"/>
      <c r="U83" s="2421"/>
      <c r="V83" s="2421"/>
      <c r="W83" s="2450"/>
      <c r="X83" s="2420"/>
      <c r="Y83" s="2421"/>
      <c r="Z83" s="2421"/>
      <c r="AA83" s="2450"/>
      <c r="AB83" s="2375" t="str">
        <f t="shared" ref="AB83" si="27">IF(OR(L83="REJECTED",L83="Not Placed"),AB79,IF(X83="","",IF(L$28="","",L$28-X83)))</f>
        <v/>
      </c>
      <c r="AC83" s="2375"/>
      <c r="AD83" s="2375"/>
      <c r="AE83" s="2437"/>
      <c r="AF83" s="2440"/>
      <c r="AG83" s="2421"/>
      <c r="AH83" s="2421"/>
      <c r="AI83" s="2441"/>
      <c r="AJ83" s="2438"/>
      <c r="AK83" s="2356"/>
      <c r="AL83" s="2356"/>
      <c r="AM83" s="2356"/>
      <c r="AN83" s="2438"/>
      <c r="AO83" s="2356"/>
      <c r="AP83" s="2356"/>
      <c r="AQ83" s="2356"/>
      <c r="AR83" s="2356"/>
      <c r="AS83" s="2356"/>
      <c r="AT83" s="2356"/>
      <c r="AU83" s="2356"/>
      <c r="AV83" s="2356"/>
      <c r="AW83" s="2356"/>
      <c r="AX83" s="2356"/>
      <c r="AY83" s="2356"/>
      <c r="AZ83" s="2420"/>
      <c r="BA83" s="2421"/>
      <c r="BB83" s="2421"/>
      <c r="BC83" s="2421"/>
      <c r="BD83" s="2356"/>
      <c r="BE83" s="2356"/>
      <c r="BF83" s="2356"/>
      <c r="BG83" s="2356"/>
      <c r="BH83" s="2356"/>
      <c r="BI83" s="2356"/>
      <c r="BJ83" s="2356"/>
      <c r="BK83" s="2374"/>
      <c r="BL83" s="2410" t="str">
        <f t="shared" ref="BL83" si="28">IF(OR(L83="REJECTED",L83="Not Placed"),0,IF(AF83="","",SUM(AF83:AM86)-SUM(AN83:BK86)))</f>
        <v/>
      </c>
      <c r="BM83" s="2375"/>
      <c r="BN83" s="2375"/>
      <c r="BO83" s="2375"/>
      <c r="BP83" s="2375" t="str">
        <f t="shared" ref="BP83" si="29">IF(L83="REJECTED",BP79,IF(AF83="","",BP79+BL83))</f>
        <v/>
      </c>
      <c r="BQ83" s="2375"/>
      <c r="BR83" s="2375"/>
      <c r="BS83" s="2376"/>
      <c r="BT83" s="2368"/>
      <c r="BU83" s="2368"/>
      <c r="BV83" s="2368"/>
      <c r="BW83" s="2368"/>
      <c r="BX83" s="2368"/>
      <c r="BY83" s="2368"/>
      <c r="BZ83" s="2368"/>
      <c r="CA83" s="2368"/>
      <c r="CB83" s="2368"/>
      <c r="CC83" s="2368"/>
      <c r="CD83" s="2368"/>
      <c r="CE83" s="2368"/>
      <c r="CF83" s="2368"/>
      <c r="CG83" s="2368"/>
      <c r="CH83" s="2369"/>
      <c r="CI83" s="2702">
        <v>9</v>
      </c>
      <c r="CJ83" s="2702"/>
      <c r="CK83" s="2857" t="e">
        <f>'Concr. Curve'!BL47</f>
        <v>#DIV/0!</v>
      </c>
      <c r="CL83" s="2857"/>
      <c r="CM83" s="2857"/>
      <c r="CN83" s="139"/>
      <c r="CO83" s="139"/>
      <c r="CP83" s="139"/>
      <c r="CQ83" s="2742" t="str">
        <f t="shared" ref="CQ83" si="30">IF(OR(P83="",H83=""),"",MOD(P83-H83,1)*24*60)</f>
        <v/>
      </c>
      <c r="CR83" s="2743"/>
      <c r="CS83" s="2743"/>
      <c r="CT83" s="2744"/>
      <c r="CU83" s="139"/>
      <c r="CV83" s="139"/>
      <c r="CW83" s="139"/>
      <c r="CX83" s="139"/>
      <c r="CY83" s="139"/>
      <c r="CZ83" s="139"/>
      <c r="DB83" s="8"/>
      <c r="DC83" s="2222">
        <v>8</v>
      </c>
      <c r="DD83" s="2223"/>
      <c r="DE83" s="2220" t="str">
        <f>BP79</f>
        <v/>
      </c>
      <c r="DF83" s="2221"/>
      <c r="DG83" s="2221"/>
      <c r="DH83" s="2221"/>
      <c r="DI83" s="2221" t="str">
        <f t="shared" ref="DI83" si="31">IF(DE83=DE79,DI79,IF(X79="","",DR$41-X79))</f>
        <v/>
      </c>
      <c r="DJ83" s="2221"/>
      <c r="DK83" s="2221"/>
      <c r="DL83" s="2269"/>
      <c r="DM83" s="2270" t="str">
        <f>IF(DI83=DI79,DM79,IF(L$28="","",IF(X79="","",L$28-X79)))</f>
        <v/>
      </c>
      <c r="DN83" s="2271"/>
      <c r="DO83" s="2271"/>
      <c r="DP83" s="2271"/>
      <c r="DV83" s="9"/>
    </row>
    <row r="84" spans="1:126" ht="8.85" customHeight="1">
      <c r="A84" s="2518"/>
      <c r="B84" s="2530"/>
      <c r="C84" s="2522"/>
      <c r="D84" s="2522"/>
      <c r="E84" s="2522"/>
      <c r="F84" s="2522"/>
      <c r="G84" s="2527"/>
      <c r="H84" s="2506"/>
      <c r="I84" s="2507"/>
      <c r="J84" s="2507"/>
      <c r="K84" s="2508"/>
      <c r="L84" s="2477"/>
      <c r="M84" s="2478"/>
      <c r="N84" s="2478"/>
      <c r="O84" s="2479"/>
      <c r="P84" s="2506"/>
      <c r="Q84" s="2507"/>
      <c r="R84" s="2507"/>
      <c r="S84" s="2508"/>
      <c r="T84" s="2422"/>
      <c r="U84" s="2297"/>
      <c r="V84" s="2297"/>
      <c r="W84" s="2451"/>
      <c r="X84" s="2422"/>
      <c r="Y84" s="2297"/>
      <c r="Z84" s="2297"/>
      <c r="AA84" s="2451"/>
      <c r="AB84" s="2375"/>
      <c r="AC84" s="2375"/>
      <c r="AD84" s="2375"/>
      <c r="AE84" s="2437"/>
      <c r="AF84" s="2446"/>
      <c r="AG84" s="2297"/>
      <c r="AH84" s="2297"/>
      <c r="AI84" s="2447"/>
      <c r="AJ84" s="2438"/>
      <c r="AK84" s="2356"/>
      <c r="AL84" s="2356"/>
      <c r="AM84" s="2356"/>
      <c r="AN84" s="2438"/>
      <c r="AO84" s="2356"/>
      <c r="AP84" s="2356"/>
      <c r="AQ84" s="2356"/>
      <c r="AR84" s="2356"/>
      <c r="AS84" s="2356"/>
      <c r="AT84" s="2356"/>
      <c r="AU84" s="2356"/>
      <c r="AV84" s="2356"/>
      <c r="AW84" s="2356"/>
      <c r="AX84" s="2356"/>
      <c r="AY84" s="2356"/>
      <c r="AZ84" s="2422"/>
      <c r="BA84" s="2297"/>
      <c r="BB84" s="2297"/>
      <c r="BC84" s="2297"/>
      <c r="BD84" s="2356"/>
      <c r="BE84" s="2356"/>
      <c r="BF84" s="2356"/>
      <c r="BG84" s="2356"/>
      <c r="BH84" s="2356"/>
      <c r="BI84" s="2356"/>
      <c r="BJ84" s="2356"/>
      <c r="BK84" s="2374"/>
      <c r="BL84" s="2410"/>
      <c r="BM84" s="2375"/>
      <c r="BN84" s="2375"/>
      <c r="BO84" s="2375"/>
      <c r="BP84" s="2375"/>
      <c r="BQ84" s="2375"/>
      <c r="BR84" s="2375"/>
      <c r="BS84" s="2376"/>
      <c r="BT84" s="2370"/>
      <c r="BU84" s="2370"/>
      <c r="BV84" s="2370"/>
      <c r="BW84" s="2370"/>
      <c r="BX84" s="2370"/>
      <c r="BY84" s="2370"/>
      <c r="BZ84" s="2370"/>
      <c r="CA84" s="2370"/>
      <c r="CB84" s="2370"/>
      <c r="CC84" s="2370"/>
      <c r="CD84" s="2370"/>
      <c r="CE84" s="2370"/>
      <c r="CF84" s="2370"/>
      <c r="CG84" s="2370"/>
      <c r="CH84" s="2371"/>
      <c r="CI84" s="2702"/>
      <c r="CJ84" s="2702"/>
      <c r="CK84" s="2857"/>
      <c r="CL84" s="2857"/>
      <c r="CM84" s="2857"/>
      <c r="CN84" s="139"/>
      <c r="CO84" s="139"/>
      <c r="CP84" s="139"/>
      <c r="CQ84" s="2742"/>
      <c r="CR84" s="2743"/>
      <c r="CS84" s="2743"/>
      <c r="CT84" s="2744"/>
      <c r="CU84" s="139"/>
      <c r="CV84" s="139"/>
      <c r="CW84" s="139"/>
      <c r="CX84" s="139"/>
      <c r="CY84" s="139"/>
      <c r="CZ84" s="139"/>
      <c r="DB84" s="8"/>
      <c r="DC84" s="2222"/>
      <c r="DD84" s="2223"/>
      <c r="DE84" s="2220"/>
      <c r="DF84" s="2221"/>
      <c r="DG84" s="2221"/>
      <c r="DH84" s="2221"/>
      <c r="DI84" s="2221"/>
      <c r="DJ84" s="2221"/>
      <c r="DK84" s="2221"/>
      <c r="DL84" s="2269"/>
      <c r="DM84" s="2270"/>
      <c r="DN84" s="2271"/>
      <c r="DO84" s="2271"/>
      <c r="DP84" s="2271"/>
      <c r="DV84" s="9"/>
    </row>
    <row r="85" spans="1:126" ht="8.85" customHeight="1">
      <c r="A85" s="2518"/>
      <c r="B85" s="2530"/>
      <c r="C85" s="2522"/>
      <c r="D85" s="2522"/>
      <c r="E85" s="2522"/>
      <c r="F85" s="2522"/>
      <c r="G85" s="2527"/>
      <c r="H85" s="2506"/>
      <c r="I85" s="2507"/>
      <c r="J85" s="2507"/>
      <c r="K85" s="2508"/>
      <c r="L85" s="2477"/>
      <c r="M85" s="2478"/>
      <c r="N85" s="2478"/>
      <c r="O85" s="2479"/>
      <c r="P85" s="2506"/>
      <c r="Q85" s="2507"/>
      <c r="R85" s="2507"/>
      <c r="S85" s="2508"/>
      <c r="T85" s="2422"/>
      <c r="U85" s="2297"/>
      <c r="V85" s="2297"/>
      <c r="W85" s="2451"/>
      <c r="X85" s="2422"/>
      <c r="Y85" s="2297"/>
      <c r="Z85" s="2297"/>
      <c r="AA85" s="2451"/>
      <c r="AB85" s="2375"/>
      <c r="AC85" s="2375"/>
      <c r="AD85" s="2375"/>
      <c r="AE85" s="2437"/>
      <c r="AF85" s="2446"/>
      <c r="AG85" s="2297"/>
      <c r="AH85" s="2297"/>
      <c r="AI85" s="2447"/>
      <c r="AJ85" s="2438"/>
      <c r="AK85" s="2356"/>
      <c r="AL85" s="2356"/>
      <c r="AM85" s="2356"/>
      <c r="AN85" s="2438"/>
      <c r="AO85" s="2356"/>
      <c r="AP85" s="2356"/>
      <c r="AQ85" s="2356"/>
      <c r="AR85" s="2356"/>
      <c r="AS85" s="2356"/>
      <c r="AT85" s="2356"/>
      <c r="AU85" s="2356"/>
      <c r="AV85" s="2356"/>
      <c r="AW85" s="2356"/>
      <c r="AX85" s="2356"/>
      <c r="AY85" s="2356"/>
      <c r="AZ85" s="2422"/>
      <c r="BA85" s="2297"/>
      <c r="BB85" s="2297"/>
      <c r="BC85" s="2297"/>
      <c r="BD85" s="2356"/>
      <c r="BE85" s="2356"/>
      <c r="BF85" s="2356"/>
      <c r="BG85" s="2356"/>
      <c r="BH85" s="2356"/>
      <c r="BI85" s="2356"/>
      <c r="BJ85" s="2356"/>
      <c r="BK85" s="2374"/>
      <c r="BL85" s="2410"/>
      <c r="BM85" s="2375"/>
      <c r="BN85" s="2375"/>
      <c r="BO85" s="2375"/>
      <c r="BP85" s="2375"/>
      <c r="BQ85" s="2375"/>
      <c r="BR85" s="2375"/>
      <c r="BS85" s="2376"/>
      <c r="BT85" s="2370"/>
      <c r="BU85" s="2370"/>
      <c r="BV85" s="2370"/>
      <c r="BW85" s="2370"/>
      <c r="BX85" s="2370"/>
      <c r="BY85" s="2370"/>
      <c r="BZ85" s="2370"/>
      <c r="CA85" s="2370"/>
      <c r="CB85" s="2370"/>
      <c r="CC85" s="2370"/>
      <c r="CD85" s="2370"/>
      <c r="CE85" s="2370"/>
      <c r="CF85" s="2370"/>
      <c r="CG85" s="2370"/>
      <c r="CH85" s="2371"/>
      <c r="CI85" s="2702"/>
      <c r="CJ85" s="2702"/>
      <c r="CK85" s="2857"/>
      <c r="CL85" s="2857"/>
      <c r="CM85" s="2857"/>
      <c r="CN85" s="139"/>
      <c r="CO85" s="139"/>
      <c r="CP85" s="139"/>
      <c r="CQ85" s="2742"/>
      <c r="CR85" s="2743"/>
      <c r="CS85" s="2743"/>
      <c r="CT85" s="2744"/>
      <c r="CU85" s="139"/>
      <c r="CV85" s="139"/>
      <c r="CW85" s="139"/>
      <c r="CX85" s="139"/>
      <c r="CY85" s="139"/>
      <c r="CZ85" s="139"/>
      <c r="DB85" s="8"/>
      <c r="DC85" s="2222"/>
      <c r="DD85" s="2223"/>
      <c r="DE85" s="2220"/>
      <c r="DF85" s="2221"/>
      <c r="DG85" s="2221"/>
      <c r="DH85" s="2221"/>
      <c r="DI85" s="2221"/>
      <c r="DJ85" s="2221"/>
      <c r="DK85" s="2221"/>
      <c r="DL85" s="2269"/>
      <c r="DM85" s="2270"/>
      <c r="DN85" s="2271"/>
      <c r="DO85" s="2271"/>
      <c r="DP85" s="2271"/>
      <c r="DV85" s="9"/>
    </row>
    <row r="86" spans="1:126" ht="8.85" customHeight="1">
      <c r="A86" s="2518"/>
      <c r="B86" s="2523"/>
      <c r="C86" s="2524"/>
      <c r="D86" s="2524"/>
      <c r="E86" s="2524"/>
      <c r="F86" s="2524"/>
      <c r="G86" s="2528"/>
      <c r="H86" s="2509"/>
      <c r="I86" s="2510"/>
      <c r="J86" s="2510"/>
      <c r="K86" s="2511"/>
      <c r="L86" s="2480"/>
      <c r="M86" s="2481"/>
      <c r="N86" s="2481"/>
      <c r="O86" s="2482"/>
      <c r="P86" s="2509"/>
      <c r="Q86" s="2510"/>
      <c r="R86" s="2510"/>
      <c r="S86" s="2511"/>
      <c r="T86" s="2439"/>
      <c r="U86" s="2298"/>
      <c r="V86" s="2298"/>
      <c r="W86" s="2452"/>
      <c r="X86" s="2439"/>
      <c r="Y86" s="2298"/>
      <c r="Z86" s="2298"/>
      <c r="AA86" s="2452"/>
      <c r="AB86" s="2375"/>
      <c r="AC86" s="2375"/>
      <c r="AD86" s="2375"/>
      <c r="AE86" s="2437"/>
      <c r="AF86" s="2444"/>
      <c r="AG86" s="2298"/>
      <c r="AH86" s="2298"/>
      <c r="AI86" s="2445"/>
      <c r="AJ86" s="2438"/>
      <c r="AK86" s="2356"/>
      <c r="AL86" s="2356"/>
      <c r="AM86" s="2356"/>
      <c r="AN86" s="2438"/>
      <c r="AO86" s="2356"/>
      <c r="AP86" s="2356"/>
      <c r="AQ86" s="2356"/>
      <c r="AR86" s="2356"/>
      <c r="AS86" s="2356"/>
      <c r="AT86" s="2356"/>
      <c r="AU86" s="2356"/>
      <c r="AV86" s="2356"/>
      <c r="AW86" s="2356"/>
      <c r="AX86" s="2356"/>
      <c r="AY86" s="2356"/>
      <c r="AZ86" s="2439"/>
      <c r="BA86" s="2298"/>
      <c r="BB86" s="2298"/>
      <c r="BC86" s="2298"/>
      <c r="BD86" s="2356"/>
      <c r="BE86" s="2356"/>
      <c r="BF86" s="2356"/>
      <c r="BG86" s="2356"/>
      <c r="BH86" s="2356"/>
      <c r="BI86" s="2356"/>
      <c r="BJ86" s="2356"/>
      <c r="BK86" s="2374"/>
      <c r="BL86" s="2410"/>
      <c r="BM86" s="2375"/>
      <c r="BN86" s="2375"/>
      <c r="BO86" s="2375"/>
      <c r="BP86" s="2375"/>
      <c r="BQ86" s="2375"/>
      <c r="BR86" s="2375"/>
      <c r="BS86" s="2376"/>
      <c r="BT86" s="2372"/>
      <c r="BU86" s="2372"/>
      <c r="BV86" s="2372"/>
      <c r="BW86" s="2372"/>
      <c r="BX86" s="2372"/>
      <c r="BY86" s="2372"/>
      <c r="BZ86" s="2372"/>
      <c r="CA86" s="2372"/>
      <c r="CB86" s="2372"/>
      <c r="CC86" s="2372"/>
      <c r="CD86" s="2372"/>
      <c r="CE86" s="2372"/>
      <c r="CF86" s="2372"/>
      <c r="CG86" s="2372"/>
      <c r="CH86" s="2373"/>
      <c r="CI86" s="2702"/>
      <c r="CJ86" s="2702"/>
      <c r="CK86" s="2857"/>
      <c r="CL86" s="2857"/>
      <c r="CM86" s="2857"/>
      <c r="CN86" s="139"/>
      <c r="CO86" s="139"/>
      <c r="CP86" s="139"/>
      <c r="CQ86" s="2745"/>
      <c r="CR86" s="2746"/>
      <c r="CS86" s="2746"/>
      <c r="CT86" s="2747"/>
      <c r="CU86" s="139"/>
      <c r="CV86" s="139"/>
      <c r="CW86" s="139"/>
      <c r="CX86" s="139"/>
      <c r="CY86" s="139"/>
      <c r="CZ86" s="139"/>
      <c r="DB86" s="8"/>
      <c r="DC86" s="2222"/>
      <c r="DD86" s="2223"/>
      <c r="DE86" s="2220"/>
      <c r="DF86" s="2221"/>
      <c r="DG86" s="2221"/>
      <c r="DH86" s="2221"/>
      <c r="DI86" s="2221"/>
      <c r="DJ86" s="2221"/>
      <c r="DK86" s="2221"/>
      <c r="DL86" s="2269"/>
      <c r="DM86" s="2270"/>
      <c r="DN86" s="2271"/>
      <c r="DO86" s="2271"/>
      <c r="DP86" s="2271"/>
      <c r="DV86" s="9"/>
    </row>
    <row r="87" spans="1:126" ht="8.85" customHeight="1">
      <c r="A87" s="2518">
        <v>10</v>
      </c>
      <c r="B87" s="2525"/>
      <c r="C87" s="2520"/>
      <c r="D87" s="2520"/>
      <c r="E87" s="2520"/>
      <c r="F87" s="2520"/>
      <c r="G87" s="2529"/>
      <c r="H87" s="2503"/>
      <c r="I87" s="2504"/>
      <c r="J87" s="2504"/>
      <c r="K87" s="2505"/>
      <c r="L87" s="2474"/>
      <c r="M87" s="2475"/>
      <c r="N87" s="2475"/>
      <c r="O87" s="2476"/>
      <c r="P87" s="2503"/>
      <c r="Q87" s="2504"/>
      <c r="R87" s="2504"/>
      <c r="S87" s="2505"/>
      <c r="T87" s="2420"/>
      <c r="U87" s="2421"/>
      <c r="V87" s="2421"/>
      <c r="W87" s="2450"/>
      <c r="X87" s="2420"/>
      <c r="Y87" s="2421"/>
      <c r="Z87" s="2421"/>
      <c r="AA87" s="2450"/>
      <c r="AB87" s="2375" t="str">
        <f t="shared" ref="AB87" si="32">IF(OR(L87="REJECTED",L87="Not Placed"),AB83,IF(X87="","",IF(L$28="","",L$28-X87)))</f>
        <v/>
      </c>
      <c r="AC87" s="2375"/>
      <c r="AD87" s="2375"/>
      <c r="AE87" s="2376"/>
      <c r="AF87" s="2440"/>
      <c r="AG87" s="2421"/>
      <c r="AH87" s="2421"/>
      <c r="AI87" s="2441"/>
      <c r="AJ87" s="2483"/>
      <c r="AK87" s="2484"/>
      <c r="AL87" s="2484"/>
      <c r="AM87" s="2484"/>
      <c r="AN87" s="2483"/>
      <c r="AO87" s="2484"/>
      <c r="AP87" s="2484"/>
      <c r="AQ87" s="2484"/>
      <c r="AR87" s="2356"/>
      <c r="AS87" s="2356"/>
      <c r="AT87" s="2356"/>
      <c r="AU87" s="2356"/>
      <c r="AV87" s="2356"/>
      <c r="AW87" s="2356"/>
      <c r="AX87" s="2356"/>
      <c r="AY87" s="2356"/>
      <c r="AZ87" s="2420"/>
      <c r="BA87" s="2421"/>
      <c r="BB87" s="2421"/>
      <c r="BC87" s="2421"/>
      <c r="BD87" s="2356"/>
      <c r="BE87" s="2356"/>
      <c r="BF87" s="2356"/>
      <c r="BG87" s="2356"/>
      <c r="BH87" s="2356"/>
      <c r="BI87" s="2356"/>
      <c r="BJ87" s="2356"/>
      <c r="BK87" s="2374"/>
      <c r="BL87" s="2410" t="str">
        <f t="shared" ref="BL87" si="33">IF(OR(L87="REJECTED",L87="Not Placed"),0,IF(AF87="","",SUM(AF87:AM90)-SUM(AN87:BK90)))</f>
        <v/>
      </c>
      <c r="BM87" s="2375"/>
      <c r="BN87" s="2375"/>
      <c r="BO87" s="2375"/>
      <c r="BP87" s="2375" t="str">
        <f t="shared" ref="BP87" si="34">IF(L87="REJECTED",BP83,IF(AF87="","",BP83+BL87))</f>
        <v/>
      </c>
      <c r="BQ87" s="2375"/>
      <c r="BR87" s="2375"/>
      <c r="BS87" s="2376"/>
      <c r="BT87" s="2368"/>
      <c r="BU87" s="2368"/>
      <c r="BV87" s="2368"/>
      <c r="BW87" s="2368"/>
      <c r="BX87" s="2368"/>
      <c r="BY87" s="2368"/>
      <c r="BZ87" s="2368"/>
      <c r="CA87" s="2368"/>
      <c r="CB87" s="2368"/>
      <c r="CC87" s="2368"/>
      <c r="CD87" s="2368"/>
      <c r="CE87" s="2368"/>
      <c r="CF87" s="2368"/>
      <c r="CG87" s="2368"/>
      <c r="CH87" s="2369"/>
      <c r="CI87" s="2702">
        <v>10</v>
      </c>
      <c r="CJ87" s="2702"/>
      <c r="CK87" s="2857" t="e">
        <f>'Concr. Curve'!BL46</f>
        <v>#DIV/0!</v>
      </c>
      <c r="CL87" s="2857"/>
      <c r="CM87" s="2857"/>
      <c r="CN87" s="139"/>
      <c r="CO87" s="139"/>
      <c r="CP87" s="139"/>
      <c r="CQ87" s="2742" t="str">
        <f t="shared" ref="CQ87" si="35">IF(OR(P87="",H87=""),"",MOD(P87-H87,1)*24*60)</f>
        <v/>
      </c>
      <c r="CR87" s="2743"/>
      <c r="CS87" s="2743"/>
      <c r="CT87" s="2744"/>
      <c r="CU87" s="139"/>
      <c r="CV87" s="139"/>
      <c r="CW87" s="139"/>
      <c r="CX87" s="139"/>
      <c r="CY87" s="139"/>
      <c r="CZ87" s="139"/>
      <c r="DB87" s="8"/>
      <c r="DC87" s="2222">
        <v>9</v>
      </c>
      <c r="DD87" s="2223"/>
      <c r="DE87" s="2220" t="str">
        <f>BP83</f>
        <v/>
      </c>
      <c r="DF87" s="2221"/>
      <c r="DG87" s="2221"/>
      <c r="DH87" s="2221"/>
      <c r="DI87" s="2221" t="str">
        <f t="shared" ref="DI87" si="36">IF(DE87=DE83,DI83,IF(X83="","",DR$41-X83))</f>
        <v/>
      </c>
      <c r="DJ87" s="2221"/>
      <c r="DK87" s="2221"/>
      <c r="DL87" s="2269"/>
      <c r="DM87" s="2270" t="str">
        <f>IF(DI87=DI83,DM83,IF(L$28="","",IF(X83="","",L$28-X83)))</f>
        <v/>
      </c>
      <c r="DN87" s="2271"/>
      <c r="DO87" s="2271"/>
      <c r="DP87" s="2271"/>
      <c r="DV87" s="9"/>
    </row>
    <row r="88" spans="1:126" ht="8.85" customHeight="1">
      <c r="A88" s="2518"/>
      <c r="B88" s="2530"/>
      <c r="C88" s="2522"/>
      <c r="D88" s="2522"/>
      <c r="E88" s="2522"/>
      <c r="F88" s="2522"/>
      <c r="G88" s="2527"/>
      <c r="H88" s="2506"/>
      <c r="I88" s="2507"/>
      <c r="J88" s="2507"/>
      <c r="K88" s="2508"/>
      <c r="L88" s="2477"/>
      <c r="M88" s="2478"/>
      <c r="N88" s="2478"/>
      <c r="O88" s="2479"/>
      <c r="P88" s="2506"/>
      <c r="Q88" s="2507"/>
      <c r="R88" s="2507"/>
      <c r="S88" s="2508"/>
      <c r="T88" s="2422"/>
      <c r="U88" s="2297"/>
      <c r="V88" s="2297"/>
      <c r="W88" s="2451"/>
      <c r="X88" s="2422"/>
      <c r="Y88" s="2297"/>
      <c r="Z88" s="2297"/>
      <c r="AA88" s="2451"/>
      <c r="AB88" s="2375"/>
      <c r="AC88" s="2375"/>
      <c r="AD88" s="2375"/>
      <c r="AE88" s="2376"/>
      <c r="AF88" s="2446"/>
      <c r="AG88" s="2297"/>
      <c r="AH88" s="2297"/>
      <c r="AI88" s="2447"/>
      <c r="AJ88" s="2451"/>
      <c r="AK88" s="2485"/>
      <c r="AL88" s="2485"/>
      <c r="AM88" s="2485"/>
      <c r="AN88" s="2451"/>
      <c r="AO88" s="2485"/>
      <c r="AP88" s="2485"/>
      <c r="AQ88" s="2485"/>
      <c r="AR88" s="2356"/>
      <c r="AS88" s="2356"/>
      <c r="AT88" s="2356"/>
      <c r="AU88" s="2356"/>
      <c r="AV88" s="2356"/>
      <c r="AW88" s="2356"/>
      <c r="AX88" s="2356"/>
      <c r="AY88" s="2356"/>
      <c r="AZ88" s="2422"/>
      <c r="BA88" s="2297"/>
      <c r="BB88" s="2297"/>
      <c r="BC88" s="2297"/>
      <c r="BD88" s="2356"/>
      <c r="BE88" s="2356"/>
      <c r="BF88" s="2356"/>
      <c r="BG88" s="2356"/>
      <c r="BH88" s="2356"/>
      <c r="BI88" s="2356"/>
      <c r="BJ88" s="2356"/>
      <c r="BK88" s="2374"/>
      <c r="BL88" s="2410"/>
      <c r="BM88" s="2375"/>
      <c r="BN88" s="2375"/>
      <c r="BO88" s="2375"/>
      <c r="BP88" s="2375"/>
      <c r="BQ88" s="2375"/>
      <c r="BR88" s="2375"/>
      <c r="BS88" s="2376"/>
      <c r="BT88" s="2370"/>
      <c r="BU88" s="2370"/>
      <c r="BV88" s="2370"/>
      <c r="BW88" s="2370"/>
      <c r="BX88" s="2370"/>
      <c r="BY88" s="2370"/>
      <c r="BZ88" s="2370"/>
      <c r="CA88" s="2370"/>
      <c r="CB88" s="2370"/>
      <c r="CC88" s="2370"/>
      <c r="CD88" s="2370"/>
      <c r="CE88" s="2370"/>
      <c r="CF88" s="2370"/>
      <c r="CG88" s="2370"/>
      <c r="CH88" s="2371"/>
      <c r="CI88" s="2702"/>
      <c r="CJ88" s="2702"/>
      <c r="CK88" s="2857"/>
      <c r="CL88" s="2857"/>
      <c r="CM88" s="2857"/>
      <c r="CN88" s="139"/>
      <c r="CO88" s="139"/>
      <c r="CP88" s="139"/>
      <c r="CQ88" s="2742"/>
      <c r="CR88" s="2743"/>
      <c r="CS88" s="2743"/>
      <c r="CT88" s="2744"/>
      <c r="CU88" s="139"/>
      <c r="CV88" s="139"/>
      <c r="CW88" s="139"/>
      <c r="CX88" s="139"/>
      <c r="CY88" s="139"/>
      <c r="CZ88" s="139"/>
      <c r="DB88" s="8"/>
      <c r="DC88" s="2222"/>
      <c r="DD88" s="2223"/>
      <c r="DE88" s="2220"/>
      <c r="DF88" s="2221"/>
      <c r="DG88" s="2221"/>
      <c r="DH88" s="2221"/>
      <c r="DI88" s="2221"/>
      <c r="DJ88" s="2221"/>
      <c r="DK88" s="2221"/>
      <c r="DL88" s="2269"/>
      <c r="DM88" s="2270"/>
      <c r="DN88" s="2271"/>
      <c r="DO88" s="2271"/>
      <c r="DP88" s="2271"/>
      <c r="DV88" s="9"/>
    </row>
    <row r="89" spans="1:126" ht="8.85" customHeight="1">
      <c r="A89" s="2518"/>
      <c r="B89" s="2530"/>
      <c r="C89" s="2522"/>
      <c r="D89" s="2522"/>
      <c r="E89" s="2522"/>
      <c r="F89" s="2522"/>
      <c r="G89" s="2527"/>
      <c r="H89" s="2506"/>
      <c r="I89" s="2507"/>
      <c r="J89" s="2507"/>
      <c r="K89" s="2508"/>
      <c r="L89" s="2477"/>
      <c r="M89" s="2478"/>
      <c r="N89" s="2478"/>
      <c r="O89" s="2479"/>
      <c r="P89" s="2506"/>
      <c r="Q89" s="2507"/>
      <c r="R89" s="2507"/>
      <c r="S89" s="2508"/>
      <c r="T89" s="2422"/>
      <c r="U89" s="2297"/>
      <c r="V89" s="2297"/>
      <c r="W89" s="2451"/>
      <c r="X89" s="2422"/>
      <c r="Y89" s="2297"/>
      <c r="Z89" s="2297"/>
      <c r="AA89" s="2451"/>
      <c r="AB89" s="2375"/>
      <c r="AC89" s="2375"/>
      <c r="AD89" s="2375"/>
      <c r="AE89" s="2376"/>
      <c r="AF89" s="2446"/>
      <c r="AG89" s="2297"/>
      <c r="AH89" s="2297"/>
      <c r="AI89" s="2447"/>
      <c r="AJ89" s="2451"/>
      <c r="AK89" s="2485"/>
      <c r="AL89" s="2485"/>
      <c r="AM89" s="2485"/>
      <c r="AN89" s="2451"/>
      <c r="AO89" s="2485"/>
      <c r="AP89" s="2485"/>
      <c r="AQ89" s="2485"/>
      <c r="AR89" s="2356"/>
      <c r="AS89" s="2356"/>
      <c r="AT89" s="2356"/>
      <c r="AU89" s="2356"/>
      <c r="AV89" s="2356"/>
      <c r="AW89" s="2356"/>
      <c r="AX89" s="2356"/>
      <c r="AY89" s="2356"/>
      <c r="AZ89" s="2422"/>
      <c r="BA89" s="2297"/>
      <c r="BB89" s="2297"/>
      <c r="BC89" s="2297"/>
      <c r="BD89" s="2356"/>
      <c r="BE89" s="2356"/>
      <c r="BF89" s="2356"/>
      <c r="BG89" s="2356"/>
      <c r="BH89" s="2356"/>
      <c r="BI89" s="2356"/>
      <c r="BJ89" s="2356"/>
      <c r="BK89" s="2374"/>
      <c r="BL89" s="2410"/>
      <c r="BM89" s="2375"/>
      <c r="BN89" s="2375"/>
      <c r="BO89" s="2375"/>
      <c r="BP89" s="2375"/>
      <c r="BQ89" s="2375"/>
      <c r="BR89" s="2375"/>
      <c r="BS89" s="2376"/>
      <c r="BT89" s="2370"/>
      <c r="BU89" s="2370"/>
      <c r="BV89" s="2370"/>
      <c r="BW89" s="2370"/>
      <c r="BX89" s="2370"/>
      <c r="BY89" s="2370"/>
      <c r="BZ89" s="2370"/>
      <c r="CA89" s="2370"/>
      <c r="CB89" s="2370"/>
      <c r="CC89" s="2370"/>
      <c r="CD89" s="2370"/>
      <c r="CE89" s="2370"/>
      <c r="CF89" s="2370"/>
      <c r="CG89" s="2370"/>
      <c r="CH89" s="2371"/>
      <c r="CI89" s="2702"/>
      <c r="CJ89" s="2702"/>
      <c r="CK89" s="2857"/>
      <c r="CL89" s="2857"/>
      <c r="CM89" s="2857"/>
      <c r="CN89" s="139"/>
      <c r="CO89" s="139"/>
      <c r="CP89" s="139"/>
      <c r="CQ89" s="2742"/>
      <c r="CR89" s="2743"/>
      <c r="CS89" s="2743"/>
      <c r="CT89" s="2744"/>
      <c r="CU89" s="139"/>
      <c r="CV89" s="139"/>
      <c r="CW89" s="139"/>
      <c r="CX89" s="139"/>
      <c r="CY89" s="139"/>
      <c r="CZ89" s="139"/>
      <c r="DB89" s="8"/>
      <c r="DC89" s="2222"/>
      <c r="DD89" s="2223"/>
      <c r="DE89" s="2220"/>
      <c r="DF89" s="2221"/>
      <c r="DG89" s="2221"/>
      <c r="DH89" s="2221"/>
      <c r="DI89" s="2221"/>
      <c r="DJ89" s="2221"/>
      <c r="DK89" s="2221"/>
      <c r="DL89" s="2269"/>
      <c r="DM89" s="2270"/>
      <c r="DN89" s="2271"/>
      <c r="DO89" s="2271"/>
      <c r="DP89" s="2271"/>
      <c r="DV89" s="9"/>
    </row>
    <row r="90" spans="1:126" ht="8.85" customHeight="1" thickBot="1">
      <c r="A90" s="2518"/>
      <c r="B90" s="2523"/>
      <c r="C90" s="2524"/>
      <c r="D90" s="2524"/>
      <c r="E90" s="2524"/>
      <c r="F90" s="2524"/>
      <c r="G90" s="2528"/>
      <c r="H90" s="2509"/>
      <c r="I90" s="2510"/>
      <c r="J90" s="2510"/>
      <c r="K90" s="2511"/>
      <c r="L90" s="2480"/>
      <c r="M90" s="2481"/>
      <c r="N90" s="2481"/>
      <c r="O90" s="2482"/>
      <c r="P90" s="2509"/>
      <c r="Q90" s="2510"/>
      <c r="R90" s="2510"/>
      <c r="S90" s="2511"/>
      <c r="T90" s="2439"/>
      <c r="U90" s="2298"/>
      <c r="V90" s="2298"/>
      <c r="W90" s="2452"/>
      <c r="X90" s="2439"/>
      <c r="Y90" s="2298"/>
      <c r="Z90" s="2298"/>
      <c r="AA90" s="2452"/>
      <c r="AB90" s="2407"/>
      <c r="AC90" s="2407"/>
      <c r="AD90" s="2407"/>
      <c r="AE90" s="2408"/>
      <c r="AF90" s="2472"/>
      <c r="AG90" s="2424"/>
      <c r="AH90" s="2424"/>
      <c r="AI90" s="2473"/>
      <c r="AJ90" s="2486"/>
      <c r="AK90" s="2487"/>
      <c r="AL90" s="2487"/>
      <c r="AM90" s="2487"/>
      <c r="AN90" s="2486"/>
      <c r="AO90" s="2487"/>
      <c r="AP90" s="2487"/>
      <c r="AQ90" s="2487"/>
      <c r="AR90" s="2361"/>
      <c r="AS90" s="2361"/>
      <c r="AT90" s="2361"/>
      <c r="AU90" s="2361"/>
      <c r="AV90" s="2361"/>
      <c r="AW90" s="2361"/>
      <c r="AX90" s="2361"/>
      <c r="AY90" s="2361"/>
      <c r="AZ90" s="2423"/>
      <c r="BA90" s="2424"/>
      <c r="BB90" s="2424"/>
      <c r="BC90" s="2424"/>
      <c r="BD90" s="2361"/>
      <c r="BE90" s="2361"/>
      <c r="BF90" s="2361"/>
      <c r="BG90" s="2361"/>
      <c r="BH90" s="2361"/>
      <c r="BI90" s="2361"/>
      <c r="BJ90" s="2361"/>
      <c r="BK90" s="2394"/>
      <c r="BL90" s="2410"/>
      <c r="BM90" s="2375"/>
      <c r="BN90" s="2375"/>
      <c r="BO90" s="2375"/>
      <c r="BP90" s="2407"/>
      <c r="BQ90" s="2407"/>
      <c r="BR90" s="2407"/>
      <c r="BS90" s="2408"/>
      <c r="BT90" s="2372"/>
      <c r="BU90" s="2372"/>
      <c r="BV90" s="2372"/>
      <c r="BW90" s="2372"/>
      <c r="BX90" s="2372"/>
      <c r="BY90" s="2372"/>
      <c r="BZ90" s="2372"/>
      <c r="CA90" s="2372"/>
      <c r="CB90" s="2372"/>
      <c r="CC90" s="2372"/>
      <c r="CD90" s="2372"/>
      <c r="CE90" s="2372"/>
      <c r="CF90" s="2372"/>
      <c r="CG90" s="2372"/>
      <c r="CH90" s="2373"/>
      <c r="CI90" s="2702"/>
      <c r="CJ90" s="2702"/>
      <c r="CK90" s="2857"/>
      <c r="CL90" s="2857"/>
      <c r="CM90" s="2857"/>
      <c r="CN90" s="139"/>
      <c r="CO90" s="139"/>
      <c r="CP90" s="139"/>
      <c r="CQ90" s="2745"/>
      <c r="CR90" s="2746"/>
      <c r="CS90" s="2746"/>
      <c r="CT90" s="2747"/>
      <c r="CU90" s="139"/>
      <c r="CV90" s="139"/>
      <c r="CW90" s="139"/>
      <c r="CX90" s="139"/>
      <c r="CY90" s="139"/>
      <c r="CZ90" s="139"/>
      <c r="DB90" s="8"/>
      <c r="DC90" s="2222"/>
      <c r="DD90" s="2223"/>
      <c r="DE90" s="2220"/>
      <c r="DF90" s="2221"/>
      <c r="DG90" s="2221"/>
      <c r="DH90" s="2221"/>
      <c r="DI90" s="2221"/>
      <c r="DJ90" s="2221"/>
      <c r="DK90" s="2221"/>
      <c r="DL90" s="2269"/>
      <c r="DM90" s="2270"/>
      <c r="DN90" s="2271"/>
      <c r="DO90" s="2271"/>
      <c r="DP90" s="2271"/>
      <c r="DV90" s="9"/>
    </row>
    <row r="91" spans="1:126" ht="8.85" customHeight="1">
      <c r="A91" s="1"/>
      <c r="B91" s="2488" t="s">
        <v>217</v>
      </c>
      <c r="C91" s="2489"/>
      <c r="D91" s="2489"/>
      <c r="E91" s="2489"/>
      <c r="F91" s="2489"/>
      <c r="G91" s="2489"/>
      <c r="H91" s="2489"/>
      <c r="I91" s="2489"/>
      <c r="J91" s="2489"/>
      <c r="K91" s="2489"/>
      <c r="L91" s="2489"/>
      <c r="M91" s="2489"/>
      <c r="N91" s="2489"/>
      <c r="O91" s="2489"/>
      <c r="P91" s="2489"/>
      <c r="Q91" s="2489"/>
      <c r="R91" s="2489"/>
      <c r="S91" s="2489"/>
      <c r="T91" s="2494" t="str">
        <f>IF(SUM(AF51:AI90)=0,"",SUM(AF51:AI90))</f>
        <v/>
      </c>
      <c r="U91" s="2495"/>
      <c r="V91" s="2495"/>
      <c r="W91" s="2496"/>
      <c r="X91" s="2462" t="s">
        <v>196</v>
      </c>
      <c r="Y91" s="2453" t="str">
        <f>IF(EW112=0,"",EW112)</f>
        <v/>
      </c>
      <c r="Z91" s="2454"/>
      <c r="AA91" s="2455"/>
      <c r="AB91" s="2466" t="s">
        <v>324</v>
      </c>
      <c r="AC91" s="2467"/>
      <c r="AD91" s="2467"/>
      <c r="AE91" s="2468"/>
      <c r="AF91" s="2362" t="str">
        <f>IF(SUM(AF51:AI90)=0,"",SUM(AF51:AI90)-EW112)</f>
        <v/>
      </c>
      <c r="AG91" s="2363"/>
      <c r="AH91" s="2363"/>
      <c r="AI91" s="2364"/>
      <c r="AJ91" s="2357" t="str">
        <f>IF(SUM(AJ51:AM90)=0,"",SUM(AJ51:AM90))</f>
        <v/>
      </c>
      <c r="AK91" s="2358"/>
      <c r="AL91" s="2358"/>
      <c r="AM91" s="2358"/>
      <c r="AN91" s="2350" t="str">
        <f>IF(SUM(AN51:AQ90)=0,"",SUM(AN51:AQ90))</f>
        <v/>
      </c>
      <c r="AO91" s="2351"/>
      <c r="AP91" s="2351"/>
      <c r="AQ91" s="2351"/>
      <c r="AR91" s="2351" t="str">
        <f>IF(SUM(AR51:AU90)=0,"",SUM(AR51:AU90))</f>
        <v/>
      </c>
      <c r="AS91" s="2351"/>
      <c r="AT91" s="2351"/>
      <c r="AU91" s="2351"/>
      <c r="AV91" s="2351" t="str">
        <f>IF(SUM(AV51:AY90)=0,"",SUM(AV51:AY90))</f>
        <v/>
      </c>
      <c r="AW91" s="2351"/>
      <c r="AX91" s="2351"/>
      <c r="AY91" s="2351"/>
      <c r="AZ91" s="2351" t="str">
        <f>IF(SUM(AZ51:BC90)=0,"",SUM(AZ51:BC90))</f>
        <v/>
      </c>
      <c r="BA91" s="2351"/>
      <c r="BB91" s="2351"/>
      <c r="BC91" s="2351"/>
      <c r="BD91" s="2351" t="str">
        <f>IF(SUM(BD51:BG90)=0,"",SUM(BD51:BG90))</f>
        <v/>
      </c>
      <c r="BE91" s="2351"/>
      <c r="BF91" s="2351"/>
      <c r="BG91" s="2377"/>
      <c r="BH91" s="2362" t="str">
        <f>IF(BL91="","",IF(AF91="","",SUM(BH51:BK90)))</f>
        <v/>
      </c>
      <c r="BI91" s="2363"/>
      <c r="BJ91" s="2363"/>
      <c r="BK91" s="2364"/>
      <c r="BL91" s="2411" t="str">
        <f>IF(SUM(BL51:BO90)=0,"",SUM(BL51:BO90))</f>
        <v/>
      </c>
      <c r="BM91" s="2412"/>
      <c r="BN91" s="2412"/>
      <c r="BO91" s="2413"/>
      <c r="BP91" s="2684" t="s">
        <v>198</v>
      </c>
      <c r="BQ91" s="2685"/>
      <c r="BR91" s="2685"/>
      <c r="BS91" s="2685"/>
      <c r="BT91" s="2400" t="s">
        <v>16</v>
      </c>
      <c r="BU91" s="2401"/>
      <c r="BV91" s="2401"/>
      <c r="BW91" s="2401"/>
      <c r="BX91" s="2401"/>
      <c r="BY91" s="2401"/>
      <c r="BZ91" s="2401"/>
      <c r="CA91" s="2401"/>
      <c r="CB91" s="2401"/>
      <c r="CC91" s="2401"/>
      <c r="CD91" s="2401"/>
      <c r="CE91" s="2401"/>
      <c r="CF91" s="2401"/>
      <c r="CG91" s="2401"/>
      <c r="CH91" s="2402"/>
      <c r="DB91" s="8"/>
      <c r="DC91" s="2222">
        <v>10</v>
      </c>
      <c r="DD91" s="2223"/>
      <c r="DE91" s="2220" t="str">
        <f>BP87</f>
        <v/>
      </c>
      <c r="DF91" s="2221"/>
      <c r="DG91" s="2221"/>
      <c r="DH91" s="2221"/>
      <c r="DI91" s="2221" t="str">
        <f t="shared" ref="DI91" si="37">IF(DE91=DE87,DI87,IF(X87="","",DR$41-X87))</f>
        <v/>
      </c>
      <c r="DJ91" s="2221"/>
      <c r="DK91" s="2221"/>
      <c r="DL91" s="2269"/>
      <c r="DM91" s="2270" t="str">
        <f>IF(DI91=DI87,DM87,IF(L$28="","",IF(X87="","",L$28-X87)))</f>
        <v/>
      </c>
      <c r="DN91" s="2271"/>
      <c r="DO91" s="2271"/>
      <c r="DP91" s="2271"/>
      <c r="DV91" s="9"/>
    </row>
    <row r="92" spans="1:126" ht="8.85" customHeight="1">
      <c r="A92" s="1"/>
      <c r="B92" s="2490"/>
      <c r="C92" s="2491"/>
      <c r="D92" s="2491"/>
      <c r="E92" s="2491"/>
      <c r="F92" s="2491"/>
      <c r="G92" s="2491"/>
      <c r="H92" s="2491"/>
      <c r="I92" s="2491"/>
      <c r="J92" s="2491"/>
      <c r="K92" s="2491"/>
      <c r="L92" s="2491"/>
      <c r="M92" s="2491"/>
      <c r="N92" s="2491"/>
      <c r="O92" s="2491"/>
      <c r="P92" s="2491"/>
      <c r="Q92" s="2491"/>
      <c r="R92" s="2491"/>
      <c r="S92" s="2491"/>
      <c r="T92" s="2497"/>
      <c r="U92" s="2498"/>
      <c r="V92" s="2498"/>
      <c r="W92" s="2499"/>
      <c r="X92" s="2463"/>
      <c r="Y92" s="2456"/>
      <c r="Z92" s="2457"/>
      <c r="AA92" s="2458"/>
      <c r="AB92" s="2469"/>
      <c r="AC92" s="2469"/>
      <c r="AD92" s="2469"/>
      <c r="AE92" s="2470"/>
      <c r="AF92" s="2365"/>
      <c r="AG92" s="2366"/>
      <c r="AH92" s="2366"/>
      <c r="AI92" s="2367"/>
      <c r="AJ92" s="2359"/>
      <c r="AK92" s="2360"/>
      <c r="AL92" s="2360"/>
      <c r="AM92" s="2360"/>
      <c r="AN92" s="2352"/>
      <c r="AO92" s="2353"/>
      <c r="AP92" s="2353"/>
      <c r="AQ92" s="2353"/>
      <c r="AR92" s="2353"/>
      <c r="AS92" s="2353"/>
      <c r="AT92" s="2353"/>
      <c r="AU92" s="2353"/>
      <c r="AV92" s="2353"/>
      <c r="AW92" s="2353"/>
      <c r="AX92" s="2353"/>
      <c r="AY92" s="2353"/>
      <c r="AZ92" s="2353"/>
      <c r="BA92" s="2353"/>
      <c r="BB92" s="2353"/>
      <c r="BC92" s="2353"/>
      <c r="BD92" s="2353"/>
      <c r="BE92" s="2353"/>
      <c r="BF92" s="2353"/>
      <c r="BG92" s="2378"/>
      <c r="BH92" s="2365"/>
      <c r="BI92" s="2366"/>
      <c r="BJ92" s="2366"/>
      <c r="BK92" s="2367"/>
      <c r="BL92" s="2414"/>
      <c r="BM92" s="2415"/>
      <c r="BN92" s="2415"/>
      <c r="BO92" s="2416"/>
      <c r="BP92" s="2684"/>
      <c r="BQ92" s="2685"/>
      <c r="BR92" s="2685"/>
      <c r="BS92" s="2685"/>
      <c r="BT92" s="2403"/>
      <c r="BU92" s="2404"/>
      <c r="BV92" s="2404"/>
      <c r="BW92" s="2404"/>
      <c r="BX92" s="2404"/>
      <c r="BY92" s="2404"/>
      <c r="BZ92" s="2404"/>
      <c r="CA92" s="2404"/>
      <c r="CB92" s="2404"/>
      <c r="CC92" s="2404"/>
      <c r="CD92" s="2404"/>
      <c r="CE92" s="2404"/>
      <c r="CF92" s="2404"/>
      <c r="CG92" s="2404"/>
      <c r="CH92" s="2405"/>
      <c r="DB92" s="8"/>
      <c r="DC92" s="2222"/>
      <c r="DD92" s="2223"/>
      <c r="DE92" s="2220"/>
      <c r="DF92" s="2221"/>
      <c r="DG92" s="2221"/>
      <c r="DH92" s="2221"/>
      <c r="DI92" s="2221"/>
      <c r="DJ92" s="2221"/>
      <c r="DK92" s="2221"/>
      <c r="DL92" s="2269"/>
      <c r="DM92" s="2270"/>
      <c r="DN92" s="2271"/>
      <c r="DO92" s="2271"/>
      <c r="DP92" s="2271"/>
      <c r="DV92" s="9"/>
    </row>
    <row r="93" spans="1:126" ht="8.85" customHeight="1" thickBot="1">
      <c r="A93" s="1"/>
      <c r="B93" s="2490"/>
      <c r="C93" s="2491"/>
      <c r="D93" s="2491"/>
      <c r="E93" s="2491"/>
      <c r="F93" s="2491"/>
      <c r="G93" s="2491"/>
      <c r="H93" s="2491"/>
      <c r="I93" s="2491"/>
      <c r="J93" s="2491"/>
      <c r="K93" s="2491"/>
      <c r="L93" s="2491"/>
      <c r="M93" s="2491"/>
      <c r="N93" s="2491"/>
      <c r="O93" s="2491"/>
      <c r="P93" s="2491"/>
      <c r="Q93" s="2491"/>
      <c r="R93" s="2491"/>
      <c r="S93" s="2491"/>
      <c r="T93" s="2500"/>
      <c r="U93" s="2501"/>
      <c r="V93" s="2501"/>
      <c r="W93" s="2502"/>
      <c r="X93" s="2463"/>
      <c r="Y93" s="2459"/>
      <c r="Z93" s="2460"/>
      <c r="AA93" s="2461"/>
      <c r="AB93" s="2469"/>
      <c r="AC93" s="2469"/>
      <c r="AD93" s="2469"/>
      <c r="AE93" s="2470"/>
      <c r="AF93" s="2365"/>
      <c r="AG93" s="2366"/>
      <c r="AH93" s="2366"/>
      <c r="AI93" s="2367"/>
      <c r="AJ93" s="2359"/>
      <c r="AK93" s="2360"/>
      <c r="AL93" s="2360"/>
      <c r="AM93" s="2360"/>
      <c r="AN93" s="2354"/>
      <c r="AO93" s="2355"/>
      <c r="AP93" s="2355"/>
      <c r="AQ93" s="2355"/>
      <c r="AR93" s="2355"/>
      <c r="AS93" s="2355"/>
      <c r="AT93" s="2355"/>
      <c r="AU93" s="2353"/>
      <c r="AV93" s="2353"/>
      <c r="AW93" s="2353"/>
      <c r="AX93" s="2353"/>
      <c r="AY93" s="2355"/>
      <c r="AZ93" s="2355"/>
      <c r="BA93" s="2355"/>
      <c r="BB93" s="2355"/>
      <c r="BC93" s="2355"/>
      <c r="BD93" s="2355"/>
      <c r="BE93" s="2355"/>
      <c r="BF93" s="2355"/>
      <c r="BG93" s="2379"/>
      <c r="BH93" s="2380"/>
      <c r="BI93" s="2381"/>
      <c r="BJ93" s="2381"/>
      <c r="BK93" s="2382"/>
      <c r="BL93" s="2417"/>
      <c r="BM93" s="2418"/>
      <c r="BN93" s="2418"/>
      <c r="BO93" s="2419"/>
      <c r="BP93" s="2684"/>
      <c r="BQ93" s="2685"/>
      <c r="BR93" s="2685"/>
      <c r="BS93" s="2685"/>
      <c r="BT93" s="2393" t="s">
        <v>983</v>
      </c>
      <c r="BU93" s="2321"/>
      <c r="BV93" s="2321"/>
      <c r="BW93" s="2308"/>
      <c r="BX93" s="2308"/>
      <c r="BY93" s="2308"/>
      <c r="BZ93" s="2310" t="s">
        <v>20</v>
      </c>
      <c r="CA93" s="2321" t="s">
        <v>36</v>
      </c>
      <c r="CB93" s="2321"/>
      <c r="CC93" s="2321"/>
      <c r="CD93" s="2321"/>
      <c r="CE93" s="2308"/>
      <c r="CF93" s="2308"/>
      <c r="CG93" s="2308"/>
      <c r="CH93" s="2406" t="s">
        <v>20</v>
      </c>
      <c r="DB93" s="8"/>
      <c r="DC93" s="2222"/>
      <c r="DD93" s="2223"/>
      <c r="DE93" s="2220"/>
      <c r="DF93" s="2221"/>
      <c r="DG93" s="2221"/>
      <c r="DH93" s="2221"/>
      <c r="DI93" s="2221"/>
      <c r="DJ93" s="2221"/>
      <c r="DK93" s="2221"/>
      <c r="DL93" s="2269"/>
      <c r="DM93" s="2270"/>
      <c r="DN93" s="2271"/>
      <c r="DO93" s="2271"/>
      <c r="DP93" s="2271"/>
      <c r="DV93" s="9"/>
    </row>
    <row r="94" spans="1:126" ht="15.9" customHeight="1" thickBot="1">
      <c r="A94" s="1"/>
      <c r="B94" s="2448" t="s">
        <v>332</v>
      </c>
      <c r="C94" s="2449"/>
      <c r="D94" s="2449"/>
      <c r="E94" s="2449"/>
      <c r="F94" s="2449"/>
      <c r="G94" s="2449"/>
      <c r="H94" s="2449"/>
      <c r="I94" s="2449"/>
      <c r="J94" s="2449"/>
      <c r="K94" s="2449"/>
      <c r="L94" s="2449"/>
      <c r="M94" s="2449"/>
      <c r="N94" s="2449"/>
      <c r="O94" s="2449"/>
      <c r="P94" s="2449"/>
      <c r="Q94" s="2449"/>
      <c r="R94" s="2449"/>
      <c r="S94" s="2449"/>
      <c r="T94" s="2557" t="s">
        <v>202</v>
      </c>
      <c r="U94" s="2557"/>
      <c r="V94" s="2557"/>
      <c r="W94" s="2557"/>
      <c r="X94" s="2550"/>
      <c r="Y94" s="2553" t="s">
        <v>203</v>
      </c>
      <c r="Z94" s="2553"/>
      <c r="AA94" s="2553"/>
      <c r="AB94" s="2553"/>
      <c r="AC94" s="2553"/>
      <c r="AD94" s="2551" t="s">
        <v>325</v>
      </c>
      <c r="AE94" s="2552"/>
      <c r="AF94" s="2312" t="str">
        <f>IF(SUM(AF51:AI90)+SUM('Concr. Pg 2'!AF42:AI101)+SUM('Concr. Pg 3'!AF42:AI101)=0,"",SUM(AF51:AI90)-EW112+SUM('Concr. Pg 2'!AF42:AI101)-EW122+SUM('Concr. Pg 3'!AF42:AI101)-EW137)</f>
        <v/>
      </c>
      <c r="AG94" s="2313"/>
      <c r="AH94" s="2313"/>
      <c r="AI94" s="2314"/>
      <c r="AJ94" s="2288" t="str">
        <f>IF(SUM(AJ51:AM90)=0,"",'Concr. Pg 2'!DA121+'Concr. Pg 3'!DA121+SUM(AJ51:AM90))</f>
        <v/>
      </c>
      <c r="AK94" s="2289"/>
      <c r="AL94" s="2289"/>
      <c r="AM94" s="2290"/>
      <c r="AN94" s="2280" t="s">
        <v>231</v>
      </c>
      <c r="AO94" s="2280"/>
      <c r="AP94" s="2280"/>
      <c r="AQ94" s="2280"/>
      <c r="AR94" s="2280"/>
      <c r="AS94" s="2280"/>
      <c r="AT94" s="2281"/>
      <c r="AU94" s="2427" t="str">
        <f>IF(SUM(AF51:AI90)=0,"",IF(SUM(AJ51:AM90)="",SUM(AN51:AQ90)-0+SUM(AR91:BG93),SUM(AN51:AQ90)-SUM(AJ51:AM90)+SUM(AR91:BG93)))</f>
        <v/>
      </c>
      <c r="AV94" s="2428"/>
      <c r="AW94" s="2428"/>
      <c r="AX94" s="2429"/>
      <c r="AY94" s="2425" t="s">
        <v>326</v>
      </c>
      <c r="AZ94" s="2425"/>
      <c r="BA94" s="2396"/>
      <c r="BB94" s="2312" t="str">
        <f>IF(SUM(AF51:AI90)=0,"",SUM(AN51:AQ90)-SUM(AJ51:AM90)+SUM(AR91:BG93)+'Concr. Pg 2'!DA112+'Concr. Pg 3'!DA112)</f>
        <v/>
      </c>
      <c r="BC94" s="2313"/>
      <c r="BD94" s="2313"/>
      <c r="BE94" s="2314"/>
      <c r="BF94" s="2395" t="s">
        <v>327</v>
      </c>
      <c r="BG94" s="2396"/>
      <c r="BH94" s="2312" t="str">
        <f>IF(BL94="","",IF(AF94="","",'Concr. Pg 3'!DA118+'Concr. Pg 2'!DA118+SUM(BH51:BK90)))</f>
        <v/>
      </c>
      <c r="BI94" s="2313"/>
      <c r="BJ94" s="2313"/>
      <c r="BK94" s="2314"/>
      <c r="BL94" s="2312" t="str">
        <f>IF(SUM(BL51:BO90)=0,"",'Concr. Pg 3'!DA115+'Concr. Pg 2'!DA115+SUM(BL51:BO90))</f>
        <v/>
      </c>
      <c r="BM94" s="2313"/>
      <c r="BN94" s="2313"/>
      <c r="BO94" s="2314"/>
      <c r="BP94" s="2673" t="s">
        <v>328</v>
      </c>
      <c r="BQ94" s="2674"/>
      <c r="BR94" s="2674"/>
      <c r="BS94" s="2674"/>
      <c r="BT94" s="2393"/>
      <c r="BU94" s="2321"/>
      <c r="BV94" s="2321"/>
      <c r="BW94" s="2308"/>
      <c r="BX94" s="2308"/>
      <c r="BY94" s="2308"/>
      <c r="BZ94" s="2310"/>
      <c r="CA94" s="2321"/>
      <c r="CB94" s="2321"/>
      <c r="CC94" s="2321"/>
      <c r="CD94" s="2321"/>
      <c r="CE94" s="2308"/>
      <c r="CF94" s="2308"/>
      <c r="CG94" s="2308"/>
      <c r="CH94" s="2406"/>
      <c r="DB94" s="151"/>
      <c r="DC94" s="2222"/>
      <c r="DD94" s="2223"/>
      <c r="DE94" s="2220"/>
      <c r="DF94" s="2221"/>
      <c r="DG94" s="2221"/>
      <c r="DH94" s="2221"/>
      <c r="DI94" s="2221"/>
      <c r="DJ94" s="2221"/>
      <c r="DK94" s="2221"/>
      <c r="DL94" s="2269"/>
      <c r="DM94" s="2270"/>
      <c r="DN94" s="2271"/>
      <c r="DO94" s="2271"/>
      <c r="DP94" s="2271"/>
      <c r="DQ94" s="149"/>
      <c r="DR94" s="147"/>
      <c r="DS94" s="147"/>
      <c r="DT94" s="147"/>
      <c r="DU94" s="147"/>
      <c r="DV94" s="150"/>
    </row>
    <row r="95" spans="1:126" ht="8.1" customHeight="1">
      <c r="A95" s="1"/>
      <c r="B95" s="2448"/>
      <c r="C95" s="2449"/>
      <c r="D95" s="2449"/>
      <c r="E95" s="2449"/>
      <c r="F95" s="2449"/>
      <c r="G95" s="2449"/>
      <c r="H95" s="2449"/>
      <c r="I95" s="2449"/>
      <c r="J95" s="2449"/>
      <c r="K95" s="2449"/>
      <c r="L95" s="2449"/>
      <c r="M95" s="2449"/>
      <c r="N95" s="2449"/>
      <c r="O95" s="2449"/>
      <c r="P95" s="2449"/>
      <c r="Q95" s="2449"/>
      <c r="R95" s="2449"/>
      <c r="S95" s="2449"/>
      <c r="T95" s="2557"/>
      <c r="U95" s="2557"/>
      <c r="V95" s="2557"/>
      <c r="W95" s="2557"/>
      <c r="X95" s="2550"/>
      <c r="Y95" s="2553"/>
      <c r="Z95" s="2553"/>
      <c r="AA95" s="2553"/>
      <c r="AB95" s="2553"/>
      <c r="AC95" s="2553"/>
      <c r="AD95" s="2551"/>
      <c r="AE95" s="2552"/>
      <c r="AF95" s="2315"/>
      <c r="AG95" s="2316"/>
      <c r="AH95" s="2316"/>
      <c r="AI95" s="2317"/>
      <c r="AJ95" s="2554" t="s">
        <v>142</v>
      </c>
      <c r="AK95" s="2555"/>
      <c r="AL95" s="2555"/>
      <c r="AM95" s="2555"/>
      <c r="AN95" s="2282" t="str">
        <f>IF(SUM(AJ51:AM90)=0,"",'Concr. Pg 2'!DA124+'Concr. Pg 3'!DA124+SUM(AN51:AQ90))</f>
        <v/>
      </c>
      <c r="AO95" s="2283"/>
      <c r="AP95" s="2283"/>
      <c r="AQ95" s="2284"/>
      <c r="AR95" s="2465"/>
      <c r="AS95" s="2465"/>
      <c r="AT95" s="2465"/>
      <c r="AU95" s="2430"/>
      <c r="AV95" s="2431"/>
      <c r="AW95" s="2431"/>
      <c r="AX95" s="2432"/>
      <c r="AY95" s="2426"/>
      <c r="AZ95" s="2426"/>
      <c r="BA95" s="2398"/>
      <c r="BB95" s="2315"/>
      <c r="BC95" s="2316"/>
      <c r="BD95" s="2316"/>
      <c r="BE95" s="2317"/>
      <c r="BF95" s="2397"/>
      <c r="BG95" s="2398"/>
      <c r="BH95" s="2315"/>
      <c r="BI95" s="2316"/>
      <c r="BJ95" s="2316"/>
      <c r="BK95" s="2317"/>
      <c r="BL95" s="2315"/>
      <c r="BM95" s="2316"/>
      <c r="BN95" s="2316"/>
      <c r="BO95" s="2317"/>
      <c r="BP95" s="2673"/>
      <c r="BQ95" s="2674"/>
      <c r="BR95" s="2674"/>
      <c r="BS95" s="2674"/>
      <c r="BT95" s="2393"/>
      <c r="BU95" s="2321"/>
      <c r="BV95" s="2321"/>
      <c r="BW95" s="2309"/>
      <c r="BX95" s="2309"/>
      <c r="BY95" s="2309"/>
      <c r="BZ95" s="2310"/>
      <c r="CA95" s="2321"/>
      <c r="CB95" s="2321"/>
      <c r="CC95" s="2321"/>
      <c r="CD95" s="2321"/>
      <c r="CE95" s="2309"/>
      <c r="CF95" s="2309"/>
      <c r="CG95" s="2309"/>
      <c r="CH95" s="2406"/>
      <c r="DB95" s="19"/>
      <c r="DC95" s="2222">
        <v>11</v>
      </c>
      <c r="DD95" s="2223"/>
      <c r="DE95" s="2220" t="str">
        <f>'Concr. Pg 2'!BP42</f>
        <v/>
      </c>
      <c r="DF95" s="2221"/>
      <c r="DG95" s="2221"/>
      <c r="DH95" s="2221"/>
      <c r="DI95" s="2221" t="str">
        <f>IF('Concr. Pg 2'!X42="","",DR$41-'Concr. Pg 2'!X42)</f>
        <v/>
      </c>
      <c r="DJ95" s="2221"/>
      <c r="DK95" s="2221"/>
      <c r="DL95" s="2269"/>
      <c r="DM95" s="2270" t="str">
        <f>IF(L$28="","",IF('Concr. Pg 2'!X42="","",L$28-'Concr. Pg 2'!X42))</f>
        <v/>
      </c>
      <c r="DN95" s="2271"/>
      <c r="DO95" s="2271"/>
      <c r="DP95" s="2271"/>
      <c r="DV95" s="20"/>
    </row>
    <row r="96" spans="1:126" ht="8.1" customHeight="1" thickBot="1">
      <c r="A96" s="1"/>
      <c r="B96" s="2448"/>
      <c r="C96" s="2449"/>
      <c r="D96" s="2449"/>
      <c r="E96" s="2449"/>
      <c r="F96" s="2449"/>
      <c r="G96" s="2449"/>
      <c r="H96" s="2449"/>
      <c r="I96" s="2449"/>
      <c r="J96" s="2449"/>
      <c r="K96" s="2449"/>
      <c r="L96" s="2449"/>
      <c r="M96" s="2449"/>
      <c r="N96" s="2449"/>
      <c r="O96" s="2449"/>
      <c r="P96" s="2449"/>
      <c r="Q96" s="2449"/>
      <c r="R96" s="2449"/>
      <c r="S96" s="2449"/>
      <c r="T96" s="2556" t="s">
        <v>214</v>
      </c>
      <c r="U96" s="2556"/>
      <c r="V96" s="2556"/>
      <c r="W96" s="2556"/>
      <c r="X96" s="2556"/>
      <c r="Y96" s="2556"/>
      <c r="Z96" s="2556"/>
      <c r="AA96" s="2556"/>
      <c r="AB96" s="2556"/>
      <c r="AC96" s="2556"/>
      <c r="AD96" s="2551"/>
      <c r="AE96" s="2552"/>
      <c r="AF96" s="2318"/>
      <c r="AG96" s="2319"/>
      <c r="AH96" s="2319"/>
      <c r="AI96" s="2320"/>
      <c r="AJ96" s="2554"/>
      <c r="AK96" s="2555"/>
      <c r="AL96" s="2555"/>
      <c r="AM96" s="2555"/>
      <c r="AN96" s="2285"/>
      <c r="AO96" s="2286"/>
      <c r="AP96" s="2286"/>
      <c r="AQ96" s="2287"/>
      <c r="AR96" s="2465"/>
      <c r="AS96" s="2465"/>
      <c r="AT96" s="2465"/>
      <c r="AU96" s="2291"/>
      <c r="AV96" s="2291"/>
      <c r="AW96" s="2291"/>
      <c r="AX96" s="2291"/>
      <c r="AY96" s="2426"/>
      <c r="AZ96" s="2426"/>
      <c r="BA96" s="2398"/>
      <c r="BB96" s="2318"/>
      <c r="BC96" s="2319"/>
      <c r="BD96" s="2319"/>
      <c r="BE96" s="2320"/>
      <c r="BF96" s="2397"/>
      <c r="BG96" s="2398"/>
      <c r="BH96" s="2318"/>
      <c r="BI96" s="2319"/>
      <c r="BJ96" s="2319"/>
      <c r="BK96" s="2320"/>
      <c r="BL96" s="2318"/>
      <c r="BM96" s="2319"/>
      <c r="BN96" s="2319"/>
      <c r="BO96" s="2320"/>
      <c r="BP96" s="2673"/>
      <c r="BQ96" s="2674"/>
      <c r="BR96" s="2674"/>
      <c r="BS96" s="2674"/>
      <c r="BT96" s="933"/>
      <c r="BU96" s="933"/>
      <c r="BV96" s="933"/>
      <c r="BW96" s="933"/>
      <c r="BX96" s="933"/>
      <c r="BY96" s="933"/>
      <c r="BZ96" s="933"/>
      <c r="CA96" s="933"/>
      <c r="CB96" s="933"/>
      <c r="CC96" s="933"/>
      <c r="CD96" s="933"/>
      <c r="CE96" s="933"/>
      <c r="CF96" s="933"/>
      <c r="CG96" s="933"/>
      <c r="CH96" s="934"/>
      <c r="DB96" s="8"/>
      <c r="DC96" s="2222"/>
      <c r="DD96" s="2223"/>
      <c r="DE96" s="2220"/>
      <c r="DF96" s="2221"/>
      <c r="DG96" s="2221"/>
      <c r="DH96" s="2221"/>
      <c r="DI96" s="2221"/>
      <c r="DJ96" s="2221"/>
      <c r="DK96" s="2221"/>
      <c r="DL96" s="2269"/>
      <c r="DM96" s="2270"/>
      <c r="DN96" s="2271"/>
      <c r="DO96" s="2271"/>
      <c r="DP96" s="2271"/>
      <c r="DV96" s="9"/>
    </row>
    <row r="97" spans="1:158" ht="15.9" customHeight="1">
      <c r="A97" s="1"/>
      <c r="B97" s="2383" t="s">
        <v>204</v>
      </c>
      <c r="C97" s="2384"/>
      <c r="D97" s="2384"/>
      <c r="E97" s="2384"/>
      <c r="F97" s="2384"/>
      <c r="G97" s="2384"/>
      <c r="H97" s="2385"/>
      <c r="I97" s="2558" t="str">
        <f>IF(AF91="","",T91+SUM('Concr. Pg 2'!AF42:AI101)+SUM('Concr. Pg 3'!AF42:AI101))</f>
        <v/>
      </c>
      <c r="J97" s="2559"/>
      <c r="K97" s="2560"/>
      <c r="L97" s="2386" t="s">
        <v>196</v>
      </c>
      <c r="M97" s="2564" t="str">
        <f>IF(I97="","",EW112+EW122+EW137)</f>
        <v/>
      </c>
      <c r="N97" s="2565"/>
      <c r="O97" s="2566"/>
      <c r="P97" s="2386" t="s">
        <v>197</v>
      </c>
      <c r="Q97" s="2512" t="str">
        <f>IF(I97="","",I97-M97)</f>
        <v/>
      </c>
      <c r="R97" s="2513"/>
      <c r="S97" s="2514"/>
      <c r="T97" s="2556"/>
      <c r="U97" s="2556"/>
      <c r="V97" s="2556"/>
      <c r="W97" s="2556"/>
      <c r="X97" s="2556"/>
      <c r="Y97" s="2556"/>
      <c r="Z97" s="2556"/>
      <c r="AA97" s="2556"/>
      <c r="AB97" s="2556"/>
      <c r="AC97" s="2556"/>
      <c r="AD97" s="2303" t="s">
        <v>320</v>
      </c>
      <c r="AE97" s="2304"/>
      <c r="AF97" s="2305"/>
      <c r="AG97" s="2305"/>
      <c r="AH97" s="2305"/>
      <c r="AI97" s="2305"/>
      <c r="AJ97" s="2304"/>
      <c r="AK97" s="2304"/>
      <c r="AL97" s="2304"/>
      <c r="AM97" s="2304"/>
      <c r="AN97" s="2305"/>
      <c r="AO97" s="2305"/>
      <c r="AP97" s="2305"/>
      <c r="AQ97" s="2305"/>
      <c r="AR97" s="2304"/>
      <c r="AS97" s="2304"/>
      <c r="AT97" s="2304"/>
      <c r="AU97" s="2304"/>
      <c r="AV97" s="2304"/>
      <c r="AW97" s="2304"/>
      <c r="AX97" s="2304"/>
      <c r="AY97" s="2304"/>
      <c r="AZ97" s="2304"/>
      <c r="BA97" s="2304"/>
      <c r="BB97" s="2305"/>
      <c r="BC97" s="2305"/>
      <c r="BD97" s="2305"/>
      <c r="BE97" s="2305"/>
      <c r="BF97" s="2304"/>
      <c r="BG97" s="2304"/>
      <c r="BH97" s="2305"/>
      <c r="BI97" s="2305"/>
      <c r="BJ97" s="2305"/>
      <c r="BK97" s="2305"/>
      <c r="BL97" s="2305"/>
      <c r="BM97" s="2305"/>
      <c r="BN97" s="2305"/>
      <c r="BO97" s="2306"/>
      <c r="BP97" s="2871" t="str">
        <f>IF(OR(CB98="",CB103=""),"",IF(CB103&gt;CB98,"Note:  Placement &gt; Slump Loss time",""))</f>
        <v/>
      </c>
      <c r="BQ97" s="2872"/>
      <c r="BR97" s="2872"/>
      <c r="BS97" s="2872"/>
      <c r="BT97" s="2872"/>
      <c r="BU97" s="2872"/>
      <c r="BV97" s="2872"/>
      <c r="BW97" s="2872"/>
      <c r="BX97" s="2872"/>
      <c r="BY97" s="2872"/>
      <c r="BZ97" s="2872"/>
      <c r="CA97" s="2872"/>
      <c r="CB97" s="2872"/>
      <c r="CC97" s="2872"/>
      <c r="CD97" s="2872"/>
      <c r="CE97" s="2872"/>
      <c r="CF97" s="2872"/>
      <c r="CG97" s="2872"/>
      <c r="CH97" s="932"/>
      <c r="CZ97" s="4"/>
      <c r="DA97" s="4"/>
      <c r="DB97" s="21"/>
      <c r="DC97" s="2222"/>
      <c r="DD97" s="2223"/>
      <c r="DE97" s="2220"/>
      <c r="DF97" s="2221"/>
      <c r="DG97" s="2221"/>
      <c r="DH97" s="2221"/>
      <c r="DI97" s="2221"/>
      <c r="DJ97" s="2221"/>
      <c r="DK97" s="2221"/>
      <c r="DL97" s="2269"/>
      <c r="DM97" s="2270"/>
      <c r="DN97" s="2271"/>
      <c r="DO97" s="2271"/>
      <c r="DP97" s="2271"/>
      <c r="DV97" s="9"/>
    </row>
    <row r="98" spans="1:158" ht="9" customHeight="1">
      <c r="A98" s="1"/>
      <c r="B98" s="2383"/>
      <c r="C98" s="2384"/>
      <c r="D98" s="2384"/>
      <c r="E98" s="2384"/>
      <c r="F98" s="2384"/>
      <c r="G98" s="2384"/>
      <c r="H98" s="2385"/>
      <c r="I98" s="2561"/>
      <c r="J98" s="2562"/>
      <c r="K98" s="2563"/>
      <c r="L98" s="2386"/>
      <c r="M98" s="2567"/>
      <c r="N98" s="2568"/>
      <c r="O98" s="2569"/>
      <c r="P98" s="2386"/>
      <c r="Q98" s="2515"/>
      <c r="R98" s="2516"/>
      <c r="S98" s="2517"/>
      <c r="T98" s="2556"/>
      <c r="U98" s="2556"/>
      <c r="V98" s="2556"/>
      <c r="W98" s="2556"/>
      <c r="X98" s="2556"/>
      <c r="Y98" s="2556"/>
      <c r="Z98" s="2556"/>
      <c r="AA98" s="2556"/>
      <c r="AB98" s="2556"/>
      <c r="AC98" s="2556"/>
      <c r="AD98" s="2388" t="s">
        <v>114</v>
      </c>
      <c r="AE98" s="2388"/>
      <c r="AF98" s="2388"/>
      <c r="AG98" s="2388"/>
      <c r="AH98" s="2388"/>
      <c r="AI98" s="2388"/>
      <c r="AJ98" s="2388"/>
      <c r="AK98" s="2388"/>
      <c r="AL98" s="2388"/>
      <c r="AM98" s="2388"/>
      <c r="AN98" s="2388"/>
      <c r="AO98" s="2388"/>
      <c r="AP98" s="2339"/>
      <c r="AQ98" s="2388" t="s">
        <v>117</v>
      </c>
      <c r="AR98" s="2388"/>
      <c r="AS98" s="2388"/>
      <c r="AT98" s="2388"/>
      <c r="AU98" s="2388"/>
      <c r="AV98" s="2388"/>
      <c r="AW98" s="2388"/>
      <c r="AX98" s="2388"/>
      <c r="AY98" s="2388"/>
      <c r="AZ98" s="2388"/>
      <c r="BA98" s="2388"/>
      <c r="BB98" s="2388"/>
      <c r="BC98" s="2388"/>
      <c r="BD98" s="2311"/>
      <c r="BE98" s="2409" t="s">
        <v>984</v>
      </c>
      <c r="BF98" s="2409"/>
      <c r="BG98" s="2409"/>
      <c r="BH98" s="2409"/>
      <c r="BI98" s="2409"/>
      <c r="BJ98" s="2409"/>
      <c r="BK98" s="2409"/>
      <c r="BL98" s="2409"/>
      <c r="BM98" s="2409"/>
      <c r="BN98" s="2409"/>
      <c r="BO98" s="2409"/>
      <c r="BP98" s="2409"/>
      <c r="BQ98" s="2409"/>
      <c r="BR98" s="2409"/>
      <c r="BS98" s="2409"/>
      <c r="BT98" s="2409"/>
      <c r="BU98" s="2409"/>
      <c r="BV98" s="2409"/>
      <c r="BW98" s="2409"/>
      <c r="BX98" s="2409"/>
      <c r="BY98" s="2409"/>
      <c r="BZ98" s="2409"/>
      <c r="CA98" s="2409"/>
      <c r="CB98" s="2336"/>
      <c r="CC98" s="2336"/>
      <c r="CD98" s="2336"/>
      <c r="CE98" s="2336"/>
      <c r="CF98" s="2336"/>
      <c r="CG98" s="2336"/>
      <c r="CH98" s="932"/>
      <c r="CZ98" s="4"/>
      <c r="DA98" s="4"/>
      <c r="DB98" s="21"/>
      <c r="DC98" s="2222"/>
      <c r="DD98" s="2223"/>
      <c r="DE98" s="2220"/>
      <c r="DF98" s="2221"/>
      <c r="DG98" s="2221"/>
      <c r="DH98" s="2221"/>
      <c r="DI98" s="2221"/>
      <c r="DJ98" s="2221"/>
      <c r="DK98" s="2221"/>
      <c r="DL98" s="2269"/>
      <c r="DM98" s="2270"/>
      <c r="DN98" s="2271"/>
      <c r="DO98" s="2271"/>
      <c r="DP98" s="2271"/>
      <c r="DQ98" s="11"/>
      <c r="DR98" s="11"/>
      <c r="DS98" s="11"/>
      <c r="DT98" s="11"/>
      <c r="DU98" s="11"/>
      <c r="DV98" s="9"/>
    </row>
    <row r="99" spans="1:158" ht="9" customHeight="1">
      <c r="A99" s="1"/>
      <c r="B99" s="2492" t="s">
        <v>135</v>
      </c>
      <c r="C99" s="2493"/>
      <c r="D99" s="2493"/>
      <c r="E99" s="2493"/>
      <c r="F99" s="2493"/>
      <c r="G99" s="2493"/>
      <c r="H99" s="2493"/>
      <c r="I99" s="2389" t="s">
        <v>126</v>
      </c>
      <c r="J99" s="2389"/>
      <c r="K99" s="2387" t="s">
        <v>131</v>
      </c>
      <c r="L99" s="2387"/>
      <c r="M99" s="2242"/>
      <c r="N99" s="2242"/>
      <c r="O99" s="2464" t="s">
        <v>110</v>
      </c>
      <c r="P99" s="2464"/>
      <c r="Q99" s="2464"/>
      <c r="R99" s="2464"/>
      <c r="S99" s="2464"/>
      <c r="T99" s="2242"/>
      <c r="U99" s="2242"/>
      <c r="V99" s="2464" t="s">
        <v>111</v>
      </c>
      <c r="W99" s="2464"/>
      <c r="X99" s="2464"/>
      <c r="Y99" s="2464"/>
      <c r="Z99" s="2464"/>
      <c r="AA99" s="2242"/>
      <c r="AB99" s="2242"/>
      <c r="AD99" s="2389"/>
      <c r="AE99" s="2389"/>
      <c r="AF99" s="2389"/>
      <c r="AG99" s="2389"/>
      <c r="AH99" s="2389"/>
      <c r="AI99" s="2389"/>
      <c r="AJ99" s="2389"/>
      <c r="AK99" s="2389"/>
      <c r="AL99" s="2389"/>
      <c r="AM99" s="2389"/>
      <c r="AN99" s="2389"/>
      <c r="AO99" s="2389"/>
      <c r="AP99" s="2307"/>
      <c r="AQ99" s="2389"/>
      <c r="AR99" s="2389"/>
      <c r="AS99" s="2389"/>
      <c r="AT99" s="2389"/>
      <c r="AU99" s="2389"/>
      <c r="AV99" s="2389"/>
      <c r="AW99" s="2389"/>
      <c r="AX99" s="2389"/>
      <c r="AY99" s="2389"/>
      <c r="AZ99" s="2389"/>
      <c r="BA99" s="2389"/>
      <c r="BB99" s="2389"/>
      <c r="BC99" s="2389"/>
      <c r="BD99" s="2242"/>
      <c r="BE99" s="2409"/>
      <c r="BF99" s="2409"/>
      <c r="BG99" s="2409"/>
      <c r="BH99" s="2409"/>
      <c r="BI99" s="2409"/>
      <c r="BJ99" s="2409"/>
      <c r="BK99" s="2409"/>
      <c r="BL99" s="2409"/>
      <c r="BM99" s="2409"/>
      <c r="BN99" s="2409"/>
      <c r="BO99" s="2409"/>
      <c r="BP99" s="2409"/>
      <c r="BQ99" s="2409"/>
      <c r="BR99" s="2409"/>
      <c r="BS99" s="2409"/>
      <c r="BT99" s="2409"/>
      <c r="BU99" s="2409"/>
      <c r="BV99" s="2409"/>
      <c r="BW99" s="2409"/>
      <c r="BX99" s="2409"/>
      <c r="BY99" s="2409"/>
      <c r="BZ99" s="2409"/>
      <c r="CA99" s="2409"/>
      <c r="CB99" s="2337"/>
      <c r="CC99" s="2337"/>
      <c r="CD99" s="2337"/>
      <c r="CE99" s="2337"/>
      <c r="CF99" s="2337"/>
      <c r="CG99" s="2337"/>
      <c r="CH99" s="932"/>
      <c r="CZ99" s="4"/>
      <c r="DA99" s="4"/>
      <c r="DB99" s="21"/>
      <c r="DC99" s="2222">
        <v>12</v>
      </c>
      <c r="DD99" s="2223"/>
      <c r="DE99" s="2220" t="str">
        <f>'Concr. Pg 2'!BP46</f>
        <v/>
      </c>
      <c r="DF99" s="2221"/>
      <c r="DG99" s="2221"/>
      <c r="DH99" s="2221"/>
      <c r="DI99" s="2221" t="str">
        <f>IF('Concr. Pg 2'!X46="","",DR$41-'Concr. Pg 2'!X46)</f>
        <v/>
      </c>
      <c r="DJ99" s="2221"/>
      <c r="DK99" s="2221"/>
      <c r="DL99" s="2269"/>
      <c r="DM99" s="2270" t="str">
        <f>IF(L$28="","",IF('Concr. Pg 2'!X46="","",L$28-'Concr. Pg 2'!X46))</f>
        <v/>
      </c>
      <c r="DN99" s="2271"/>
      <c r="DO99" s="2271"/>
      <c r="DP99" s="2271"/>
      <c r="DQ99" s="11"/>
      <c r="DR99" s="11"/>
      <c r="DS99" s="11"/>
      <c r="DT99" s="11"/>
      <c r="DU99" s="11"/>
      <c r="DV99" s="9"/>
    </row>
    <row r="100" spans="1:158" ht="9" customHeight="1">
      <c r="A100" s="1"/>
      <c r="B100" s="2492"/>
      <c r="C100" s="2493"/>
      <c r="D100" s="2493"/>
      <c r="E100" s="2493"/>
      <c r="F100" s="2493"/>
      <c r="G100" s="2493"/>
      <c r="H100" s="2493"/>
      <c r="I100" s="2389"/>
      <c r="J100" s="2389"/>
      <c r="K100" s="2387"/>
      <c r="L100" s="2387"/>
      <c r="M100" s="2242"/>
      <c r="N100" s="2242"/>
      <c r="O100" s="2464"/>
      <c r="P100" s="2464"/>
      <c r="Q100" s="2464"/>
      <c r="R100" s="2464"/>
      <c r="S100" s="2464"/>
      <c r="T100" s="2242"/>
      <c r="U100" s="2242"/>
      <c r="V100" s="2464"/>
      <c r="W100" s="2464"/>
      <c r="X100" s="2464"/>
      <c r="Y100" s="2464"/>
      <c r="Z100" s="2464"/>
      <c r="AA100" s="2242"/>
      <c r="AB100" s="2242"/>
      <c r="AC100" s="2340" t="s">
        <v>115</v>
      </c>
      <c r="AD100" s="2340"/>
      <c r="AE100" s="2340"/>
      <c r="AF100" s="2340"/>
      <c r="AG100" s="2340"/>
      <c r="AH100" s="2340"/>
      <c r="AI100" s="2242"/>
      <c r="AJ100" s="2340" t="s">
        <v>116</v>
      </c>
      <c r="AK100" s="2340"/>
      <c r="AL100" s="2340"/>
      <c r="AM100" s="2340"/>
      <c r="AN100" s="2340"/>
      <c r="AO100" s="2340"/>
      <c r="AP100" s="2307"/>
      <c r="AQ100" s="2340" t="s">
        <v>115</v>
      </c>
      <c r="AR100" s="2340"/>
      <c r="AS100" s="2340"/>
      <c r="AT100" s="2340"/>
      <c r="AU100" s="2340"/>
      <c r="AV100" s="2340"/>
      <c r="AW100" s="2242"/>
      <c r="AX100" s="2340" t="s">
        <v>116</v>
      </c>
      <c r="AY100" s="2340"/>
      <c r="AZ100" s="2340"/>
      <c r="BA100" s="2340"/>
      <c r="BB100" s="2340"/>
      <c r="BC100" s="2340"/>
      <c r="BD100" s="2242"/>
      <c r="BE100" s="2686" t="s">
        <v>987</v>
      </c>
      <c r="BF100" s="2686"/>
      <c r="BG100" s="2686"/>
      <c r="BH100" s="2686"/>
      <c r="BI100" s="2686"/>
      <c r="BJ100" s="2686"/>
      <c r="BK100" s="2686"/>
      <c r="BL100" s="2686"/>
      <c r="BM100" s="2686"/>
      <c r="BN100" s="2686"/>
      <c r="BO100" s="2686"/>
      <c r="BP100" s="2686"/>
      <c r="BQ100" s="2686"/>
      <c r="BR100" s="2686"/>
      <c r="BS100" s="2686"/>
      <c r="BT100" s="2686"/>
      <c r="BU100" s="2686"/>
      <c r="BV100" s="2686"/>
      <c r="BW100" s="2686"/>
      <c r="BX100" s="2686"/>
      <c r="BY100" s="2686"/>
      <c r="BZ100" s="2686"/>
      <c r="CA100" s="2242"/>
      <c r="CB100" s="2391"/>
      <c r="CC100" s="2391"/>
      <c r="CD100" s="2391"/>
      <c r="CE100" s="2391"/>
      <c r="CF100" s="2391"/>
      <c r="CG100" s="2391"/>
      <c r="CH100" s="2322"/>
      <c r="DB100" s="8"/>
      <c r="DC100" s="2222"/>
      <c r="DD100" s="2223"/>
      <c r="DE100" s="2220"/>
      <c r="DF100" s="2221"/>
      <c r="DG100" s="2221"/>
      <c r="DH100" s="2221"/>
      <c r="DI100" s="2221"/>
      <c r="DJ100" s="2221"/>
      <c r="DK100" s="2221"/>
      <c r="DL100" s="2269"/>
      <c r="DM100" s="2270"/>
      <c r="DN100" s="2271"/>
      <c r="DO100" s="2271"/>
      <c r="DP100" s="2271"/>
      <c r="DV100" s="9"/>
    </row>
    <row r="101" spans="1:158" ht="9" customHeight="1">
      <c r="A101" s="1"/>
      <c r="B101" s="2492"/>
      <c r="C101" s="2493"/>
      <c r="D101" s="2493"/>
      <c r="E101" s="2493"/>
      <c r="F101" s="2493"/>
      <c r="G101" s="2493"/>
      <c r="H101" s="2493"/>
      <c r="I101" s="2389"/>
      <c r="J101" s="2389"/>
      <c r="K101" s="2387"/>
      <c r="L101" s="2387"/>
      <c r="M101" s="2242"/>
      <c r="N101" s="2242"/>
      <c r="O101" s="2464"/>
      <c r="P101" s="2464"/>
      <c r="Q101" s="2464"/>
      <c r="R101" s="2464"/>
      <c r="S101" s="2464"/>
      <c r="T101" s="2242"/>
      <c r="U101" s="2242"/>
      <c r="V101" s="2464"/>
      <c r="W101" s="2464"/>
      <c r="X101" s="2464"/>
      <c r="Y101" s="2464"/>
      <c r="Z101" s="2464"/>
      <c r="AA101" s="2242"/>
      <c r="AB101" s="2242"/>
      <c r="AC101" s="2340"/>
      <c r="AD101" s="2340"/>
      <c r="AE101" s="2340"/>
      <c r="AF101" s="2340"/>
      <c r="AG101" s="2340"/>
      <c r="AH101" s="2340"/>
      <c r="AI101" s="2242"/>
      <c r="AJ101" s="2340"/>
      <c r="AK101" s="2340"/>
      <c r="AL101" s="2340"/>
      <c r="AM101" s="2340"/>
      <c r="AN101" s="2340"/>
      <c r="AO101" s="2340"/>
      <c r="AP101" s="2307"/>
      <c r="AQ101" s="2340"/>
      <c r="AR101" s="2340"/>
      <c r="AS101" s="2340"/>
      <c r="AT101" s="2340"/>
      <c r="AU101" s="2340"/>
      <c r="AV101" s="2340"/>
      <c r="AW101" s="2242"/>
      <c r="AX101" s="2340"/>
      <c r="AY101" s="2340"/>
      <c r="AZ101" s="2340"/>
      <c r="BA101" s="2340"/>
      <c r="BB101" s="2340"/>
      <c r="BC101" s="2340"/>
      <c r="BD101" s="2242"/>
      <c r="BE101" s="2686"/>
      <c r="BF101" s="2686"/>
      <c r="BG101" s="2686"/>
      <c r="BH101" s="2686"/>
      <c r="BI101" s="2686"/>
      <c r="BJ101" s="2686"/>
      <c r="BK101" s="2686"/>
      <c r="BL101" s="2686"/>
      <c r="BM101" s="2686"/>
      <c r="BN101" s="2686"/>
      <c r="BO101" s="2686"/>
      <c r="BP101" s="2686"/>
      <c r="BQ101" s="2686"/>
      <c r="BR101" s="2686"/>
      <c r="BS101" s="2686"/>
      <c r="BT101" s="2686"/>
      <c r="BU101" s="2686"/>
      <c r="BV101" s="2686"/>
      <c r="BW101" s="2686"/>
      <c r="BX101" s="2686"/>
      <c r="BY101" s="2686"/>
      <c r="BZ101" s="2686"/>
      <c r="CA101" s="2242"/>
      <c r="CB101" s="2391"/>
      <c r="CC101" s="2391"/>
      <c r="CD101" s="2391"/>
      <c r="CE101" s="2391"/>
      <c r="CF101" s="2391"/>
      <c r="CG101" s="2391"/>
      <c r="CH101" s="2322"/>
      <c r="DB101" s="8"/>
      <c r="DC101" s="2222"/>
      <c r="DD101" s="2223"/>
      <c r="DE101" s="2220"/>
      <c r="DF101" s="2221"/>
      <c r="DG101" s="2221"/>
      <c r="DH101" s="2221"/>
      <c r="DI101" s="2221"/>
      <c r="DJ101" s="2221"/>
      <c r="DK101" s="2221"/>
      <c r="DL101" s="2269"/>
      <c r="DM101" s="2270"/>
      <c r="DN101" s="2271"/>
      <c r="DO101" s="2271"/>
      <c r="DP101" s="2271"/>
      <c r="DV101" s="9"/>
    </row>
    <row r="102" spans="1:158" ht="9" customHeight="1">
      <c r="A102" s="1"/>
      <c r="B102" s="2471"/>
      <c r="C102" s="2340" t="s">
        <v>112</v>
      </c>
      <c r="D102" s="2340"/>
      <c r="E102" s="2340"/>
      <c r="F102" s="2340"/>
      <c r="G102" s="2340"/>
      <c r="H102" s="2340"/>
      <c r="I102" s="2217"/>
      <c r="J102" s="2217"/>
      <c r="K102" s="2217"/>
      <c r="L102" s="2217"/>
      <c r="M102" s="2242"/>
      <c r="N102" s="2242"/>
      <c r="O102" s="2217"/>
      <c r="P102" s="2217"/>
      <c r="Q102" s="2217"/>
      <c r="R102" s="2217"/>
      <c r="S102" s="2217"/>
      <c r="T102" s="2242"/>
      <c r="U102" s="2242"/>
      <c r="V102" s="2217"/>
      <c r="W102" s="2217"/>
      <c r="X102" s="2217"/>
      <c r="Y102" s="2217"/>
      <c r="Z102" s="2217"/>
      <c r="AA102" s="2242"/>
      <c r="AB102" s="2242"/>
      <c r="AC102" s="2323"/>
      <c r="AD102" s="2323"/>
      <c r="AE102" s="2323"/>
      <c r="AF102" s="2323"/>
      <c r="AG102" s="2323"/>
      <c r="AH102" s="2323"/>
      <c r="AI102" s="2338"/>
      <c r="AJ102" s="2323"/>
      <c r="AK102" s="2323"/>
      <c r="AL102" s="2323"/>
      <c r="AM102" s="2323"/>
      <c r="AN102" s="2323"/>
      <c r="AO102" s="2323"/>
      <c r="AP102" s="2242"/>
      <c r="AQ102" s="2323"/>
      <c r="AR102" s="2323"/>
      <c r="AS102" s="2323"/>
      <c r="AT102" s="2323"/>
      <c r="AU102" s="2323"/>
      <c r="AV102" s="2323"/>
      <c r="AW102" s="2242"/>
      <c r="AX102" s="2323"/>
      <c r="AY102" s="2323"/>
      <c r="AZ102" s="2323"/>
      <c r="BA102" s="2323"/>
      <c r="BB102" s="2323"/>
      <c r="BC102" s="2323"/>
      <c r="BD102" s="2242"/>
      <c r="BE102" s="2686"/>
      <c r="BF102" s="2686"/>
      <c r="BG102" s="2686"/>
      <c r="BH102" s="2686"/>
      <c r="BI102" s="2686"/>
      <c r="BJ102" s="2686"/>
      <c r="BK102" s="2686"/>
      <c r="BL102" s="2686"/>
      <c r="BM102" s="2686"/>
      <c r="BN102" s="2686"/>
      <c r="BO102" s="2686"/>
      <c r="BP102" s="2686"/>
      <c r="BQ102" s="2686"/>
      <c r="BR102" s="2686"/>
      <c r="BS102" s="2686"/>
      <c r="BT102" s="2686"/>
      <c r="BU102" s="2686"/>
      <c r="BV102" s="2686"/>
      <c r="BW102" s="2686"/>
      <c r="BX102" s="2686"/>
      <c r="BY102" s="2686"/>
      <c r="BZ102" s="2686"/>
      <c r="CA102" s="2242"/>
      <c r="CB102" s="2392"/>
      <c r="CC102" s="2392"/>
      <c r="CD102" s="2392"/>
      <c r="CE102" s="2392"/>
      <c r="CF102" s="2392"/>
      <c r="CG102" s="2392"/>
      <c r="CH102" s="2322"/>
      <c r="DB102" s="8"/>
      <c r="DC102" s="2222"/>
      <c r="DD102" s="2223"/>
      <c r="DE102" s="2220"/>
      <c r="DF102" s="2221"/>
      <c r="DG102" s="2221"/>
      <c r="DH102" s="2221"/>
      <c r="DI102" s="2221"/>
      <c r="DJ102" s="2221"/>
      <c r="DK102" s="2221"/>
      <c r="DL102" s="2269"/>
      <c r="DM102" s="2270"/>
      <c r="DN102" s="2271"/>
      <c r="DO102" s="2271"/>
      <c r="DP102" s="2271"/>
      <c r="DV102" s="9"/>
    </row>
    <row r="103" spans="1:158" ht="9" customHeight="1">
      <c r="A103" s="1"/>
      <c r="B103" s="2471"/>
      <c r="C103" s="2340"/>
      <c r="D103" s="2340"/>
      <c r="E103" s="2340"/>
      <c r="F103" s="2340"/>
      <c r="G103" s="2340"/>
      <c r="H103" s="2340"/>
      <c r="I103" s="2217"/>
      <c r="J103" s="2217"/>
      <c r="K103" s="2217"/>
      <c r="L103" s="2217"/>
      <c r="M103" s="2242"/>
      <c r="N103" s="2242"/>
      <c r="O103" s="2217"/>
      <c r="P103" s="2217"/>
      <c r="Q103" s="2217"/>
      <c r="R103" s="2217"/>
      <c r="S103" s="2217"/>
      <c r="T103" s="2242"/>
      <c r="U103" s="2242"/>
      <c r="V103" s="2217"/>
      <c r="W103" s="2217"/>
      <c r="X103" s="2217"/>
      <c r="Y103" s="2217"/>
      <c r="Z103" s="2217"/>
      <c r="AA103" s="2242"/>
      <c r="AB103" s="2242"/>
      <c r="AC103" s="2323"/>
      <c r="AD103" s="2323"/>
      <c r="AE103" s="2323"/>
      <c r="AF103" s="2323"/>
      <c r="AG103" s="2323"/>
      <c r="AH103" s="2323"/>
      <c r="AI103" s="2242"/>
      <c r="AJ103" s="2323"/>
      <c r="AK103" s="2323"/>
      <c r="AL103" s="2323"/>
      <c r="AM103" s="2323"/>
      <c r="AN103" s="2323"/>
      <c r="AO103" s="2323"/>
      <c r="AP103" s="2242"/>
      <c r="AQ103" s="2323"/>
      <c r="AR103" s="2323"/>
      <c r="AS103" s="2323"/>
      <c r="AT103" s="2323"/>
      <c r="AU103" s="2323"/>
      <c r="AV103" s="2323"/>
      <c r="AW103" s="2242"/>
      <c r="AX103" s="2323"/>
      <c r="AY103" s="2323"/>
      <c r="AZ103" s="2323"/>
      <c r="BA103" s="2323"/>
      <c r="BB103" s="2323"/>
      <c r="BC103" s="2323"/>
      <c r="BD103" s="2242"/>
      <c r="BE103" s="2293" t="s">
        <v>432</v>
      </c>
      <c r="BF103" s="2293"/>
      <c r="BG103" s="2293"/>
      <c r="BH103" s="2293"/>
      <c r="BI103" s="2293"/>
      <c r="BJ103" s="2293"/>
      <c r="BK103" s="2293"/>
      <c r="BL103" s="2293"/>
      <c r="BM103" s="2293"/>
      <c r="BN103" s="2293"/>
      <c r="BO103" s="2293"/>
      <c r="BP103" s="2293"/>
      <c r="BQ103" s="2293"/>
      <c r="BR103" s="2293"/>
      <c r="BS103" s="2293"/>
      <c r="BT103" s="2293"/>
      <c r="BU103" s="2293"/>
      <c r="BV103" s="2293"/>
      <c r="BW103" s="2293"/>
      <c r="BX103" s="2293"/>
      <c r="BY103" s="2293"/>
      <c r="BZ103" s="2293"/>
      <c r="CA103" s="2242"/>
      <c r="CB103" s="2294" t="str">
        <f>IF(CB100="","",IF((CB100-FA153)*24&lt;0,(CB100-FA153)*24+24,(CB100-FA153)*24))</f>
        <v/>
      </c>
      <c r="CC103" s="2294"/>
      <c r="CD103" s="2294"/>
      <c r="CE103" s="2294"/>
      <c r="CF103" s="2294"/>
      <c r="CG103" s="2294"/>
      <c r="CH103" s="2322"/>
      <c r="DB103" s="8"/>
      <c r="DC103" s="2222">
        <v>13</v>
      </c>
      <c r="DD103" s="2223"/>
      <c r="DE103" s="2220" t="str">
        <f>'Concr. Pg 2'!BP50</f>
        <v/>
      </c>
      <c r="DF103" s="2221"/>
      <c r="DG103" s="2221"/>
      <c r="DH103" s="2221"/>
      <c r="DI103" s="2221" t="str">
        <f>IF('Concr. Pg 2'!X50="","",DR$41-'Concr. Pg 2'!X50)</f>
        <v/>
      </c>
      <c r="DJ103" s="2221"/>
      <c r="DK103" s="2221"/>
      <c r="DL103" s="2269"/>
      <c r="DM103" s="2270" t="str">
        <f>IF(L$28="","",IF('Concr. Pg 2'!X50="","",L$28-'Concr. Pg 2'!X50))</f>
        <v/>
      </c>
      <c r="DN103" s="2271"/>
      <c r="DO103" s="2271"/>
      <c r="DP103" s="2271"/>
      <c r="DV103" s="9"/>
      <c r="EQ103" s="139"/>
      <c r="ER103" s="139"/>
      <c r="ES103" s="139"/>
      <c r="ET103" s="139"/>
    </row>
    <row r="104" spans="1:158" ht="9" customHeight="1">
      <c r="A104" s="1"/>
      <c r="B104" s="2471"/>
      <c r="C104" s="2340"/>
      <c r="D104" s="2340"/>
      <c r="E104" s="2340"/>
      <c r="F104" s="2340"/>
      <c r="G104" s="2340"/>
      <c r="H104" s="2340"/>
      <c r="I104" s="2218"/>
      <c r="J104" s="2218"/>
      <c r="K104" s="2218"/>
      <c r="L104" s="2218"/>
      <c r="M104" s="2242"/>
      <c r="N104" s="2242"/>
      <c r="O104" s="2218"/>
      <c r="P104" s="2218"/>
      <c r="Q104" s="2218"/>
      <c r="R104" s="2218"/>
      <c r="S104" s="2218"/>
      <c r="T104" s="2242"/>
      <c r="U104" s="2242"/>
      <c r="V104" s="2218"/>
      <c r="W104" s="2218"/>
      <c r="X104" s="2218"/>
      <c r="Y104" s="2218"/>
      <c r="Z104" s="2218"/>
      <c r="AA104" s="2242"/>
      <c r="AB104" s="2242"/>
      <c r="AC104" s="2324"/>
      <c r="AD104" s="2324"/>
      <c r="AE104" s="2324"/>
      <c r="AF104" s="2324"/>
      <c r="AG104" s="2324"/>
      <c r="AH104" s="2324"/>
      <c r="AI104" s="2242"/>
      <c r="AJ104" s="2324"/>
      <c r="AK104" s="2324"/>
      <c r="AL104" s="2324"/>
      <c r="AM104" s="2324"/>
      <c r="AN104" s="2324"/>
      <c r="AO104" s="2324"/>
      <c r="AP104" s="2242"/>
      <c r="AQ104" s="2324"/>
      <c r="AR104" s="2324"/>
      <c r="AS104" s="2324"/>
      <c r="AT104" s="2324"/>
      <c r="AU104" s="2324"/>
      <c r="AV104" s="2324"/>
      <c r="AW104" s="2242"/>
      <c r="AX104" s="2324"/>
      <c r="AY104" s="2324"/>
      <c r="AZ104" s="2324"/>
      <c r="BA104" s="2324"/>
      <c r="BB104" s="2324"/>
      <c r="BC104" s="2324"/>
      <c r="BD104" s="2242"/>
      <c r="BE104" s="2293"/>
      <c r="BF104" s="2293"/>
      <c r="BG104" s="2293"/>
      <c r="BH104" s="2293"/>
      <c r="BI104" s="2293"/>
      <c r="BJ104" s="2293"/>
      <c r="BK104" s="2293"/>
      <c r="BL104" s="2293"/>
      <c r="BM104" s="2293"/>
      <c r="BN104" s="2293"/>
      <c r="BO104" s="2293"/>
      <c r="BP104" s="2293"/>
      <c r="BQ104" s="2293"/>
      <c r="BR104" s="2293"/>
      <c r="BS104" s="2293"/>
      <c r="BT104" s="2293"/>
      <c r="BU104" s="2293"/>
      <c r="BV104" s="2293"/>
      <c r="BW104" s="2293"/>
      <c r="BX104" s="2293"/>
      <c r="BY104" s="2293"/>
      <c r="BZ104" s="2293"/>
      <c r="CA104" s="2242"/>
      <c r="CB104" s="2295"/>
      <c r="CC104" s="2295"/>
      <c r="CD104" s="2295"/>
      <c r="CE104" s="2295"/>
      <c r="CF104" s="2295"/>
      <c r="CG104" s="2295"/>
      <c r="CH104" s="2322"/>
      <c r="DB104" s="8"/>
      <c r="DC104" s="2222"/>
      <c r="DD104" s="2223"/>
      <c r="DE104" s="2220"/>
      <c r="DF104" s="2221"/>
      <c r="DG104" s="2221"/>
      <c r="DH104" s="2221"/>
      <c r="DI104" s="2221"/>
      <c r="DJ104" s="2221"/>
      <c r="DK104" s="2221"/>
      <c r="DL104" s="2269"/>
      <c r="DM104" s="2270"/>
      <c r="DN104" s="2271"/>
      <c r="DO104" s="2271"/>
      <c r="DP104" s="2271"/>
      <c r="DV104" s="9"/>
      <c r="EM104" s="2224" t="s">
        <v>223</v>
      </c>
      <c r="EN104" s="2225"/>
      <c r="EO104" s="2225"/>
      <c r="EP104" s="2225"/>
      <c r="EQ104" s="2225"/>
      <c r="ER104" s="2225"/>
      <c r="ES104" s="2225"/>
      <c r="ET104" s="2225"/>
      <c r="EU104" s="2225"/>
      <c r="EV104" s="2225"/>
      <c r="EW104" s="2225"/>
      <c r="EX104" s="2226"/>
    </row>
    <row r="105" spans="1:158" ht="9" customHeight="1">
      <c r="A105" s="1"/>
      <c r="B105" s="106"/>
      <c r="C105" s="2390"/>
      <c r="D105" s="2390"/>
      <c r="E105" s="2390"/>
      <c r="F105" s="2390"/>
      <c r="G105" s="2390"/>
      <c r="H105" s="2390"/>
      <c r="I105" s="2292"/>
      <c r="J105" s="2292"/>
      <c r="K105" s="2292"/>
      <c r="L105" s="2292"/>
      <c r="M105" s="2340"/>
      <c r="N105" s="2340"/>
      <c r="O105" s="2292"/>
      <c r="P105" s="2292"/>
      <c r="Q105" s="2292"/>
      <c r="R105" s="2292"/>
      <c r="S105" s="2292"/>
      <c r="T105" s="2340"/>
      <c r="U105" s="2340"/>
      <c r="V105" s="2292"/>
      <c r="W105" s="2292"/>
      <c r="X105" s="2292"/>
      <c r="Y105" s="2292"/>
      <c r="Z105" s="2292"/>
      <c r="AA105" s="2340"/>
      <c r="AB105" s="2340"/>
      <c r="AC105" s="2292"/>
      <c r="AD105" s="2292"/>
      <c r="AE105" s="2292"/>
      <c r="AF105" s="2292"/>
      <c r="AG105" s="2292"/>
      <c r="AH105" s="2292"/>
      <c r="AI105" s="4"/>
      <c r="AJ105" s="2292"/>
      <c r="AK105" s="2292"/>
      <c r="AL105" s="2292"/>
      <c r="AM105" s="2292"/>
      <c r="AN105" s="2292"/>
      <c r="AO105" s="2292"/>
      <c r="AP105" s="4"/>
      <c r="AQ105" s="2292"/>
      <c r="AR105" s="2292"/>
      <c r="AS105" s="2292"/>
      <c r="AT105" s="2292"/>
      <c r="AU105" s="2292"/>
      <c r="AV105" s="2292"/>
      <c r="AW105" s="4"/>
      <c r="AX105" s="2292"/>
      <c r="AY105" s="2292"/>
      <c r="AZ105" s="2292"/>
      <c r="BA105" s="2292"/>
      <c r="BB105" s="2292"/>
      <c r="BC105" s="2292"/>
      <c r="BD105" s="4"/>
      <c r="BE105" s="2293"/>
      <c r="BF105" s="2293"/>
      <c r="BG105" s="2293"/>
      <c r="BH105" s="2293"/>
      <c r="BI105" s="2293"/>
      <c r="BJ105" s="2293"/>
      <c r="BK105" s="2293"/>
      <c r="BL105" s="2293"/>
      <c r="BM105" s="2293"/>
      <c r="BN105" s="2293"/>
      <c r="BO105" s="2293"/>
      <c r="BP105" s="2293"/>
      <c r="BQ105" s="2293"/>
      <c r="BR105" s="2293"/>
      <c r="BS105" s="2293"/>
      <c r="BT105" s="2293"/>
      <c r="BU105" s="2293"/>
      <c r="BV105" s="2293"/>
      <c r="BW105" s="2293"/>
      <c r="BX105" s="2293"/>
      <c r="BY105" s="2293"/>
      <c r="BZ105" s="2293"/>
      <c r="CA105" s="2242"/>
      <c r="CB105" s="2296"/>
      <c r="CC105" s="2296"/>
      <c r="CD105" s="2296"/>
      <c r="CE105" s="2296"/>
      <c r="CF105" s="2296"/>
      <c r="CG105" s="2296"/>
      <c r="CH105" s="2322"/>
      <c r="DB105" s="8"/>
      <c r="DC105" s="2222"/>
      <c r="DD105" s="2223"/>
      <c r="DE105" s="2220"/>
      <c r="DF105" s="2221"/>
      <c r="DG105" s="2221"/>
      <c r="DH105" s="2221"/>
      <c r="DI105" s="2221"/>
      <c r="DJ105" s="2221"/>
      <c r="DK105" s="2221"/>
      <c r="DL105" s="2269"/>
      <c r="DM105" s="2270"/>
      <c r="DN105" s="2271"/>
      <c r="DO105" s="2271"/>
      <c r="DP105" s="2271"/>
      <c r="DV105" s="9"/>
      <c r="EM105" s="2227"/>
      <c r="EN105" s="2228"/>
      <c r="EO105" s="2228"/>
      <c r="EP105" s="2228"/>
      <c r="EQ105" s="2228"/>
      <c r="ER105" s="2228"/>
      <c r="ES105" s="2228"/>
      <c r="ET105" s="2228"/>
      <c r="EU105" s="2228"/>
      <c r="EV105" s="2228"/>
      <c r="EW105" s="2228"/>
      <c r="EX105" s="2229"/>
      <c r="EY105" s="26"/>
      <c r="EZ105" s="26"/>
    </row>
    <row r="106" spans="1:158" ht="9" customHeight="1">
      <c r="A106" s="1"/>
      <c r="B106" s="2435"/>
      <c r="C106" s="2436" t="s">
        <v>113</v>
      </c>
      <c r="D106" s="2436"/>
      <c r="E106" s="2436"/>
      <c r="F106" s="2436"/>
      <c r="G106" s="2436"/>
      <c r="H106" s="2436"/>
      <c r="I106" s="2217"/>
      <c r="J106" s="2217"/>
      <c r="K106" s="2217"/>
      <c r="L106" s="2217"/>
      <c r="M106" s="2242"/>
      <c r="N106" s="2242"/>
      <c r="O106" s="2217"/>
      <c r="P106" s="2217"/>
      <c r="Q106" s="2217"/>
      <c r="R106" s="2217"/>
      <c r="S106" s="2217"/>
      <c r="T106" s="2242"/>
      <c r="U106" s="2242"/>
      <c r="V106" s="2217"/>
      <c r="W106" s="2217"/>
      <c r="X106" s="2217"/>
      <c r="Y106" s="2217"/>
      <c r="Z106" s="2217"/>
      <c r="AA106" s="2242"/>
      <c r="AB106" s="2242"/>
      <c r="AC106" s="2323"/>
      <c r="AD106" s="2323"/>
      <c r="AE106" s="2323"/>
      <c r="AF106" s="2323"/>
      <c r="AG106" s="2323"/>
      <c r="AH106" s="2323"/>
      <c r="AI106" s="2338"/>
      <c r="AJ106" s="2323"/>
      <c r="AK106" s="2323"/>
      <c r="AL106" s="2323"/>
      <c r="AM106" s="2323"/>
      <c r="AN106" s="2323"/>
      <c r="AO106" s="2323"/>
      <c r="AP106" s="2242"/>
      <c r="AQ106" s="2323"/>
      <c r="AR106" s="2323"/>
      <c r="AS106" s="2323"/>
      <c r="AT106" s="2323"/>
      <c r="AU106" s="2323"/>
      <c r="AV106" s="2323"/>
      <c r="AW106" s="2242"/>
      <c r="AX106" s="2323"/>
      <c r="AY106" s="2323"/>
      <c r="AZ106" s="2323"/>
      <c r="BA106" s="2323"/>
      <c r="BB106" s="2323"/>
      <c r="BC106" s="2323"/>
      <c r="BD106" s="2242"/>
      <c r="BE106" s="2399" t="str">
        <f>CONCATENATE("*Vol. Theor. (VT) (cy) ")</f>
        <v xml:space="preserve">*Vol. Theor. (VT) (cy) </v>
      </c>
      <c r="BF106" s="2399"/>
      <c r="BG106" s="2399"/>
      <c r="BH106" s="2399"/>
      <c r="BI106" s="2399"/>
      <c r="BJ106" s="2399"/>
      <c r="BK106" s="2399"/>
      <c r="BL106" s="2399"/>
      <c r="BM106" s="2399"/>
      <c r="BN106" s="2399"/>
      <c r="BO106" s="2297"/>
      <c r="BP106" s="2297"/>
      <c r="BQ106" s="2297"/>
      <c r="BR106" s="2297"/>
      <c r="BS106" s="2297"/>
      <c r="BT106" s="2299" t="str">
        <f>CONCATENATE("Overpour (OP) (cy) ")</f>
        <v xml:space="preserve">Overpour (OP) (cy) </v>
      </c>
      <c r="BU106" s="2299"/>
      <c r="BV106" s="2299"/>
      <c r="BW106" s="2299"/>
      <c r="BX106" s="2299"/>
      <c r="BY106" s="2299"/>
      <c r="BZ106" s="2299"/>
      <c r="CA106" s="2299"/>
      <c r="CB106" s="2299"/>
      <c r="CC106" s="2300" t="str">
        <f>IF(BL94="","",IF(BO106="","",BL94-BO106))</f>
        <v/>
      </c>
      <c r="CD106" s="2300"/>
      <c r="CE106" s="2300"/>
      <c r="CF106" s="2300"/>
      <c r="CG106" s="2300"/>
      <c r="CH106" s="2322"/>
      <c r="DB106" s="8"/>
      <c r="DC106" s="2222"/>
      <c r="DD106" s="2223"/>
      <c r="DE106" s="2220"/>
      <c r="DF106" s="2221"/>
      <c r="DG106" s="2221"/>
      <c r="DH106" s="2221"/>
      <c r="DI106" s="2221"/>
      <c r="DJ106" s="2221"/>
      <c r="DK106" s="2221"/>
      <c r="DL106" s="2269"/>
      <c r="DM106" s="2270"/>
      <c r="DN106" s="2271"/>
      <c r="DO106" s="2271"/>
      <c r="DP106" s="2271"/>
      <c r="DV106" s="9"/>
      <c r="EM106" s="2230"/>
      <c r="EN106" s="2231"/>
      <c r="EO106" s="2231"/>
      <c r="EP106" s="2231"/>
      <c r="EQ106" s="2231"/>
      <c r="ER106" s="2231"/>
      <c r="ES106" s="2231"/>
      <c r="ET106" s="2231"/>
      <c r="EU106" s="2231"/>
      <c r="EV106" s="2231"/>
      <c r="EW106" s="2231"/>
      <c r="EX106" s="2232"/>
      <c r="EY106" s="26"/>
      <c r="EZ106" s="26"/>
    </row>
    <row r="107" spans="1:158" ht="9" customHeight="1">
      <c r="A107" s="1"/>
      <c r="B107" s="2435"/>
      <c r="C107" s="2436"/>
      <c r="D107" s="2436"/>
      <c r="E107" s="2436"/>
      <c r="F107" s="2436"/>
      <c r="G107" s="2436"/>
      <c r="H107" s="2436"/>
      <c r="I107" s="2217"/>
      <c r="J107" s="2217"/>
      <c r="K107" s="2217"/>
      <c r="L107" s="2217"/>
      <c r="M107" s="2242"/>
      <c r="N107" s="2242"/>
      <c r="O107" s="2217"/>
      <c r="P107" s="2217"/>
      <c r="Q107" s="2217"/>
      <c r="R107" s="2217"/>
      <c r="S107" s="2217"/>
      <c r="T107" s="2242"/>
      <c r="U107" s="2242"/>
      <c r="V107" s="2217"/>
      <c r="W107" s="2217"/>
      <c r="X107" s="2217"/>
      <c r="Y107" s="2217"/>
      <c r="Z107" s="2217"/>
      <c r="AA107" s="2242"/>
      <c r="AB107" s="2242"/>
      <c r="AC107" s="2323"/>
      <c r="AD107" s="2323"/>
      <c r="AE107" s="2323"/>
      <c r="AF107" s="2323"/>
      <c r="AG107" s="2323"/>
      <c r="AH107" s="2323"/>
      <c r="AI107" s="2242"/>
      <c r="AJ107" s="2323"/>
      <c r="AK107" s="2323"/>
      <c r="AL107" s="2323"/>
      <c r="AM107" s="2323"/>
      <c r="AN107" s="2323"/>
      <c r="AO107" s="2323"/>
      <c r="AP107" s="2242"/>
      <c r="AQ107" s="2323"/>
      <c r="AR107" s="2323"/>
      <c r="AS107" s="2323"/>
      <c r="AT107" s="2323"/>
      <c r="AU107" s="2323"/>
      <c r="AV107" s="2323"/>
      <c r="AW107" s="2242"/>
      <c r="AX107" s="2323"/>
      <c r="AY107" s="2323"/>
      <c r="AZ107" s="2323"/>
      <c r="BA107" s="2323"/>
      <c r="BB107" s="2323"/>
      <c r="BC107" s="2323"/>
      <c r="BD107" s="2242"/>
      <c r="BE107" s="2399"/>
      <c r="BF107" s="2399"/>
      <c r="BG107" s="2399"/>
      <c r="BH107" s="2399"/>
      <c r="BI107" s="2399"/>
      <c r="BJ107" s="2399"/>
      <c r="BK107" s="2399"/>
      <c r="BL107" s="2399"/>
      <c r="BM107" s="2399"/>
      <c r="BN107" s="2399"/>
      <c r="BO107" s="2297"/>
      <c r="BP107" s="2297"/>
      <c r="BQ107" s="2297"/>
      <c r="BR107" s="2297"/>
      <c r="BS107" s="2297"/>
      <c r="BT107" s="2299"/>
      <c r="BU107" s="2299"/>
      <c r="BV107" s="2299"/>
      <c r="BW107" s="2299"/>
      <c r="BX107" s="2299"/>
      <c r="BY107" s="2299"/>
      <c r="BZ107" s="2299"/>
      <c r="CA107" s="2299"/>
      <c r="CB107" s="2299"/>
      <c r="CC107" s="2301"/>
      <c r="CD107" s="2301"/>
      <c r="CE107" s="2301"/>
      <c r="CF107" s="2301"/>
      <c r="CG107" s="2301"/>
      <c r="CH107" s="2322"/>
      <c r="DB107" s="8"/>
      <c r="DC107" s="2222">
        <v>14</v>
      </c>
      <c r="DD107" s="2223"/>
      <c r="DE107" s="2220" t="str">
        <f>'Concr. Pg 2'!BP54</f>
        <v/>
      </c>
      <c r="DF107" s="2221"/>
      <c r="DG107" s="2221"/>
      <c r="DH107" s="2221"/>
      <c r="DI107" s="2221" t="str">
        <f>IF('Concr. Pg 2'!X54="","",DR$41-'Concr. Pg 2'!X54)</f>
        <v/>
      </c>
      <c r="DJ107" s="2221"/>
      <c r="DK107" s="2221"/>
      <c r="DL107" s="2269"/>
      <c r="DM107" s="2270" t="str">
        <f>IF(L$28="","",IF('Concr. Pg 2'!X54="","",L$28-'Concr. Pg 2'!X54))</f>
        <v/>
      </c>
      <c r="DN107" s="2271"/>
      <c r="DO107" s="2271"/>
      <c r="DP107" s="2271"/>
      <c r="DV107" s="9"/>
      <c r="ED107" s="24"/>
      <c r="EE107" s="24"/>
      <c r="EF107" s="24"/>
      <c r="EM107" s="2238"/>
      <c r="EN107" s="2239"/>
      <c r="EO107" s="2240"/>
      <c r="EP107" s="2258" t="s">
        <v>168</v>
      </c>
      <c r="EQ107" s="2258" t="s">
        <v>167</v>
      </c>
      <c r="ER107" s="152"/>
      <c r="ES107" s="153"/>
      <c r="ET107" s="153"/>
      <c r="EU107" s="153"/>
      <c r="EV107" s="153"/>
      <c r="EW107" s="153"/>
      <c r="EX107" s="2234" t="s">
        <v>224</v>
      </c>
      <c r="EY107" s="2260" t="s">
        <v>226</v>
      </c>
      <c r="EZ107" s="2260" t="s">
        <v>225</v>
      </c>
      <c r="FA107" s="2260"/>
    </row>
    <row r="108" spans="1:158" ht="9" customHeight="1">
      <c r="A108" s="1"/>
      <c r="B108" s="2435"/>
      <c r="C108" s="2436"/>
      <c r="D108" s="2436"/>
      <c r="E108" s="2436"/>
      <c r="F108" s="2436"/>
      <c r="G108" s="2436"/>
      <c r="H108" s="2436"/>
      <c r="I108" s="2218"/>
      <c r="J108" s="2218"/>
      <c r="K108" s="2218"/>
      <c r="L108" s="2218"/>
      <c r="M108" s="2242"/>
      <c r="N108" s="2242"/>
      <c r="O108" s="2218"/>
      <c r="P108" s="2218"/>
      <c r="Q108" s="2218"/>
      <c r="R108" s="2218"/>
      <c r="S108" s="2218"/>
      <c r="T108" s="2242"/>
      <c r="U108" s="2242"/>
      <c r="V108" s="2218"/>
      <c r="W108" s="2218"/>
      <c r="X108" s="2218"/>
      <c r="Y108" s="2218"/>
      <c r="Z108" s="2218"/>
      <c r="AA108" s="2242"/>
      <c r="AB108" s="2242"/>
      <c r="AC108" s="2324"/>
      <c r="AD108" s="2324"/>
      <c r="AE108" s="2324"/>
      <c r="AF108" s="2324"/>
      <c r="AG108" s="2324"/>
      <c r="AH108" s="2324"/>
      <c r="AI108" s="2242"/>
      <c r="AJ108" s="2324"/>
      <c r="AK108" s="2324"/>
      <c r="AL108" s="2324"/>
      <c r="AM108" s="2324"/>
      <c r="AN108" s="2324"/>
      <c r="AO108" s="2324"/>
      <c r="AP108" s="2242"/>
      <c r="AQ108" s="2324"/>
      <c r="AR108" s="2324"/>
      <c r="AS108" s="2324"/>
      <c r="AT108" s="2324"/>
      <c r="AU108" s="2324"/>
      <c r="AV108" s="2324"/>
      <c r="AW108" s="2242"/>
      <c r="AX108" s="2324"/>
      <c r="AY108" s="2324"/>
      <c r="AZ108" s="2324"/>
      <c r="BA108" s="2324"/>
      <c r="BB108" s="2324"/>
      <c r="BC108" s="2324"/>
      <c r="BD108" s="2242"/>
      <c r="BE108" s="2399"/>
      <c r="BF108" s="2399"/>
      <c r="BG108" s="2399"/>
      <c r="BH108" s="2399"/>
      <c r="BI108" s="2399"/>
      <c r="BJ108" s="2399"/>
      <c r="BK108" s="2399"/>
      <c r="BL108" s="2399"/>
      <c r="BM108" s="2399"/>
      <c r="BN108" s="2399"/>
      <c r="BO108" s="2298"/>
      <c r="BP108" s="2298"/>
      <c r="BQ108" s="2298"/>
      <c r="BR108" s="2298"/>
      <c r="BS108" s="2298"/>
      <c r="BT108" s="2299"/>
      <c r="BU108" s="2299"/>
      <c r="BV108" s="2299"/>
      <c r="BW108" s="2299"/>
      <c r="BX108" s="2299"/>
      <c r="BY108" s="2299"/>
      <c r="BZ108" s="2299"/>
      <c r="CA108" s="2299"/>
      <c r="CB108" s="2299"/>
      <c r="CC108" s="2302"/>
      <c r="CD108" s="2302"/>
      <c r="CE108" s="2302"/>
      <c r="CF108" s="2302"/>
      <c r="CG108" s="2302"/>
      <c r="CH108" s="2322"/>
      <c r="DB108" s="8"/>
      <c r="DC108" s="2222"/>
      <c r="DD108" s="2223"/>
      <c r="DE108" s="2220"/>
      <c r="DF108" s="2221"/>
      <c r="DG108" s="2221"/>
      <c r="DH108" s="2221"/>
      <c r="DI108" s="2221"/>
      <c r="DJ108" s="2221"/>
      <c r="DK108" s="2221"/>
      <c r="DL108" s="2269"/>
      <c r="DM108" s="2270"/>
      <c r="DN108" s="2271"/>
      <c r="DO108" s="2271"/>
      <c r="DP108" s="2271"/>
      <c r="DV108" s="9"/>
      <c r="ED108" s="24"/>
      <c r="EE108" s="24"/>
      <c r="EF108" s="24"/>
      <c r="EM108" s="2241"/>
      <c r="EN108" s="2242"/>
      <c r="EO108" s="2243"/>
      <c r="EP108" s="2258"/>
      <c r="EQ108" s="2258"/>
      <c r="ER108" s="154"/>
      <c r="ES108" s="155"/>
      <c r="ET108" s="155"/>
      <c r="EU108" s="155"/>
      <c r="EV108" s="155"/>
      <c r="EW108" s="155"/>
      <c r="EX108" s="2235"/>
      <c r="EY108" s="2260"/>
      <c r="EZ108" s="2260"/>
      <c r="FA108" s="2260"/>
    </row>
    <row r="109" spans="1:158" ht="14.1" customHeight="1" thickBot="1">
      <c r="B109" s="2433" t="str">
        <f>IF(I102*I106&gt;0,IF(I102&gt;I106,"When 2 Casings, Csg 1 = INNER casing! (ID 1 &lt; ID 2)",""),"")</f>
        <v/>
      </c>
      <c r="C109" s="2434"/>
      <c r="D109" s="2434"/>
      <c r="E109" s="2434"/>
      <c r="F109" s="2434"/>
      <c r="G109" s="2434"/>
      <c r="H109" s="2434"/>
      <c r="I109" s="2434"/>
      <c r="J109" s="2434"/>
      <c r="K109" s="2434"/>
      <c r="L109" s="2434"/>
      <c r="M109" s="2434"/>
      <c r="N109" s="2434"/>
      <c r="O109" s="2434"/>
      <c r="P109" s="2434"/>
      <c r="Q109" s="2434"/>
      <c r="R109" s="2434"/>
      <c r="S109" s="2434"/>
      <c r="T109" s="2334" t="e">
        <f>IF(BO106=EJ145,"","(Note:  Current VT is not = sheet calc cell EJ145.  Click on cell BO106 to apply EJ145 via drop-down list, unless current input is preferred)")</f>
        <v>#DIV/0!</v>
      </c>
      <c r="U109" s="2334"/>
      <c r="V109" s="2334"/>
      <c r="W109" s="2334"/>
      <c r="X109" s="2334"/>
      <c r="Y109" s="2334"/>
      <c r="Z109" s="2334"/>
      <c r="AA109" s="2334"/>
      <c r="AB109" s="2334"/>
      <c r="AC109" s="2334"/>
      <c r="AD109" s="2334"/>
      <c r="AE109" s="2334"/>
      <c r="AF109" s="2334"/>
      <c r="AG109" s="2334"/>
      <c r="AH109" s="2334"/>
      <c r="AI109" s="2334"/>
      <c r="AJ109" s="2334"/>
      <c r="AK109" s="2334"/>
      <c r="AL109" s="2334"/>
      <c r="AM109" s="2334"/>
      <c r="AN109" s="2334"/>
      <c r="AO109" s="2334"/>
      <c r="AP109" s="2334"/>
      <c r="AQ109" s="2334"/>
      <c r="AR109" s="2334"/>
      <c r="AS109" s="2334"/>
      <c r="AT109" s="2334"/>
      <c r="AU109" s="2334"/>
      <c r="AV109" s="2334"/>
      <c r="AW109" s="2334"/>
      <c r="AX109" s="2334"/>
      <c r="AY109" s="2334"/>
      <c r="AZ109" s="2334"/>
      <c r="BA109" s="2334"/>
      <c r="BB109" s="2334"/>
      <c r="BC109" s="2334"/>
      <c r="BD109" s="2334"/>
      <c r="BE109" s="2334"/>
      <c r="BF109" s="2334"/>
      <c r="BG109" s="2334"/>
      <c r="BH109" s="2334"/>
      <c r="BI109" s="2334"/>
      <c r="BJ109" s="2334"/>
      <c r="BK109" s="2334"/>
      <c r="BL109" s="2334"/>
      <c r="BM109" s="2334"/>
      <c r="BN109" s="2334"/>
      <c r="BO109" s="2335" t="str">
        <f>IF(OR(EJ147="",EJ147=0),"VT   -  no  Est. Steel  included","VT   -  includes  Est. Steel  input")</f>
        <v>VT   -  no  Est. Steel  included</v>
      </c>
      <c r="BP109" s="2335"/>
      <c r="BQ109" s="2335"/>
      <c r="BR109" s="2335"/>
      <c r="BS109" s="2335"/>
      <c r="BT109" s="2335"/>
      <c r="BU109" s="2335"/>
      <c r="BV109" s="2335"/>
      <c r="BW109" s="2335"/>
      <c r="BX109" s="2335"/>
      <c r="BY109" s="2335"/>
      <c r="BZ109" s="2335"/>
      <c r="CA109" s="2335"/>
      <c r="CB109" s="2820" t="s">
        <v>43</v>
      </c>
      <c r="CC109" s="2820"/>
      <c r="CD109" s="2820"/>
      <c r="CE109" s="2820"/>
      <c r="CF109" s="2820"/>
      <c r="CG109" s="2820"/>
      <c r="CH109" s="2821"/>
      <c r="DB109" s="8"/>
      <c r="DC109" s="2222"/>
      <c r="DD109" s="2223"/>
      <c r="DE109" s="2220"/>
      <c r="DF109" s="2221"/>
      <c r="DG109" s="2221"/>
      <c r="DH109" s="2221"/>
      <c r="DI109" s="2221"/>
      <c r="DJ109" s="2221"/>
      <c r="DK109" s="2221"/>
      <c r="DL109" s="2269"/>
      <c r="DM109" s="2270"/>
      <c r="DN109" s="2271"/>
      <c r="DO109" s="2271"/>
      <c r="DP109" s="2271"/>
      <c r="DV109" s="9"/>
      <c r="ED109" s="24"/>
      <c r="EE109" s="24"/>
      <c r="EF109" s="24"/>
      <c r="EM109" s="2241"/>
      <c r="EN109" s="2242"/>
      <c r="EO109" s="2243"/>
      <c r="EP109" s="2258"/>
      <c r="EQ109" s="2258"/>
      <c r="ER109" s="138" t="s">
        <v>161</v>
      </c>
      <c r="ES109" s="2005" t="s">
        <v>160</v>
      </c>
      <c r="ET109" s="2257"/>
      <c r="EU109" s="2261" t="s">
        <v>34</v>
      </c>
      <c r="EV109" s="2250" t="s">
        <v>195</v>
      </c>
      <c r="EW109" s="2251"/>
      <c r="EX109" s="2235"/>
      <c r="EY109" s="2260"/>
      <c r="EZ109" s="2260"/>
      <c r="FA109" s="2260"/>
    </row>
    <row r="110" spans="1:158" ht="15" customHeight="1">
      <c r="B110" s="275"/>
      <c r="C110" s="276"/>
      <c r="D110" s="276"/>
      <c r="E110" s="276"/>
      <c r="F110" s="276"/>
      <c r="G110" s="276"/>
      <c r="H110" s="276"/>
      <c r="I110" s="276"/>
      <c r="J110" s="276"/>
      <c r="K110" s="276"/>
      <c r="L110" s="276"/>
      <c r="M110" s="276"/>
      <c r="N110" s="276"/>
      <c r="O110" s="276"/>
      <c r="P110" s="276"/>
      <c r="Q110" s="276"/>
      <c r="R110" s="276"/>
      <c r="S110" s="276"/>
      <c r="T110" s="276"/>
      <c r="U110" s="276"/>
      <c r="V110" s="276"/>
      <c r="W110" s="276"/>
      <c r="X110" s="276"/>
      <c r="Y110" s="276"/>
      <c r="Z110" s="276"/>
      <c r="AA110" s="276"/>
      <c r="AB110" s="276"/>
      <c r="AC110" s="276"/>
      <c r="AD110" s="276"/>
      <c r="AE110" s="276"/>
      <c r="AF110" s="276"/>
      <c r="AG110" s="276"/>
      <c r="AH110" s="276"/>
      <c r="AI110" s="276"/>
      <c r="AJ110" s="276"/>
      <c r="AK110" s="276"/>
      <c r="AL110" s="276"/>
      <c r="AM110" s="276"/>
      <c r="AN110" s="276"/>
      <c r="AO110" s="276"/>
      <c r="AP110" s="276"/>
      <c r="AQ110" s="276"/>
      <c r="AR110" s="276"/>
      <c r="AS110" s="276"/>
      <c r="AT110" s="276"/>
      <c r="AU110" s="276"/>
      <c r="AV110" s="276"/>
      <c r="AW110" s="276"/>
      <c r="AX110" s="276"/>
      <c r="AY110" s="276"/>
      <c r="AZ110" s="276"/>
      <c r="BA110" s="276"/>
      <c r="BB110" s="276"/>
      <c r="BC110" s="276"/>
      <c r="BD110" s="276"/>
      <c r="BE110" s="276"/>
      <c r="BF110" s="276"/>
      <c r="BG110" s="276"/>
      <c r="BH110" s="276"/>
      <c r="BI110" s="276"/>
      <c r="BJ110" s="276"/>
      <c r="BK110" s="276"/>
      <c r="BL110" s="276"/>
      <c r="BM110" s="276"/>
      <c r="BN110" s="276"/>
      <c r="BO110" s="276"/>
      <c r="BP110" s="276"/>
      <c r="BQ110" s="276"/>
      <c r="BR110" s="276"/>
      <c r="BS110" s="276"/>
      <c r="BT110" s="276"/>
      <c r="BU110" s="276"/>
      <c r="BV110" s="276"/>
      <c r="BW110" s="276"/>
      <c r="BX110" s="276"/>
      <c r="BY110" s="276"/>
      <c r="BZ110" s="276"/>
      <c r="CA110" s="276"/>
      <c r="CB110" s="276"/>
      <c r="CC110" s="276"/>
      <c r="CD110" s="276"/>
      <c r="CE110" s="276"/>
      <c r="CF110" s="276"/>
      <c r="CG110" s="276"/>
      <c r="CH110" s="276"/>
      <c r="DB110" s="8"/>
      <c r="DC110" s="2222"/>
      <c r="DD110" s="2223"/>
      <c r="DE110" s="2220"/>
      <c r="DF110" s="2221"/>
      <c r="DG110" s="2221"/>
      <c r="DH110" s="2221"/>
      <c r="DI110" s="2221"/>
      <c r="DJ110" s="2221"/>
      <c r="DK110" s="2221"/>
      <c r="DL110" s="2269"/>
      <c r="DM110" s="2270"/>
      <c r="DN110" s="2271"/>
      <c r="DO110" s="2271"/>
      <c r="DP110" s="2271"/>
      <c r="DV110" s="9"/>
      <c r="ED110" s="24"/>
      <c r="EE110" s="24"/>
      <c r="EF110" s="24"/>
      <c r="EG110" s="2708" t="s">
        <v>242</v>
      </c>
      <c r="EH110" s="2708"/>
      <c r="EM110" s="2244"/>
      <c r="EN110" s="2245"/>
      <c r="EO110" s="2246"/>
      <c r="EP110" s="2259"/>
      <c r="EQ110" s="2259"/>
      <c r="ER110" s="127" t="s">
        <v>162</v>
      </c>
      <c r="ES110" s="135" t="s">
        <v>160</v>
      </c>
      <c r="ET110" s="135" t="s">
        <v>160</v>
      </c>
      <c r="EU110" s="2262"/>
      <c r="EV110" s="2252"/>
      <c r="EW110" s="2253"/>
      <c r="EX110" s="2235"/>
      <c r="EY110" s="2260"/>
      <c r="EZ110" s="2260"/>
      <c r="FA110" s="2260"/>
    </row>
    <row r="111" spans="1:158" ht="15" customHeight="1">
      <c r="B111" s="274"/>
      <c r="S111" s="385"/>
      <c r="T111" s="386"/>
      <c r="DB111" s="8"/>
      <c r="DC111" s="2222">
        <v>15</v>
      </c>
      <c r="DD111" s="2223"/>
      <c r="DE111" s="2220" t="str">
        <f>'Concr. Pg 2'!BP58</f>
        <v/>
      </c>
      <c r="DF111" s="2221"/>
      <c r="DG111" s="2221"/>
      <c r="DH111" s="2221"/>
      <c r="DI111" s="2221" t="str">
        <f>IF('Concr. Pg 2'!X58="","",DR$41-'Concr. Pg 2'!X58)</f>
        <v/>
      </c>
      <c r="DJ111" s="2221"/>
      <c r="DK111" s="2221"/>
      <c r="DL111" s="2269"/>
      <c r="DM111" s="2270" t="str">
        <f>IF(L$28="","",IF('Concr. Pg 2'!X58="","",L$28-'Concr. Pg 2'!X58))</f>
        <v/>
      </c>
      <c r="DN111" s="2271"/>
      <c r="DO111" s="2271"/>
      <c r="DP111" s="2271"/>
      <c r="DV111" s="9"/>
      <c r="ED111" s="24"/>
      <c r="EE111" s="24"/>
      <c r="EF111" s="24"/>
      <c r="EG111" s="148" t="s">
        <v>241</v>
      </c>
      <c r="EH111" s="148"/>
      <c r="EM111" s="2264" t="s">
        <v>191</v>
      </c>
      <c r="EN111" s="118" t="s">
        <v>34</v>
      </c>
      <c r="EO111" s="141" t="s">
        <v>189</v>
      </c>
      <c r="EP111" s="117" t="s">
        <v>166</v>
      </c>
      <c r="EQ111" s="112" t="s">
        <v>166</v>
      </c>
      <c r="ER111" s="117" t="s">
        <v>148</v>
      </c>
      <c r="ES111" s="136" t="s">
        <v>127</v>
      </c>
      <c r="ET111" s="136" t="s">
        <v>128</v>
      </c>
      <c r="EU111" s="2263"/>
      <c r="EV111" s="2254"/>
      <c r="EW111" s="2255"/>
      <c r="EX111" s="2236"/>
      <c r="EY111" s="2260"/>
      <c r="EZ111" s="2260"/>
      <c r="FA111" s="2260"/>
    </row>
    <row r="112" spans="1:158" ht="15" customHeight="1">
      <c r="AM112" s="107"/>
      <c r="AN112" s="107"/>
      <c r="AO112" s="107"/>
      <c r="AP112" s="107"/>
      <c r="AQ112" s="107"/>
      <c r="AR112" s="107"/>
      <c r="AS112" s="107"/>
      <c r="AT112" s="107"/>
      <c r="AU112" s="107"/>
      <c r="AV112" s="107"/>
      <c r="AW112" s="107"/>
      <c r="AX112" s="107"/>
      <c r="AY112" s="107"/>
      <c r="AZ112" s="107"/>
      <c r="BA112" s="107"/>
      <c r="BB112" s="107"/>
      <c r="BC112" s="107"/>
      <c r="BD112" s="107"/>
      <c r="BE112" s="107"/>
      <c r="BF112" s="107"/>
      <c r="BG112" s="107"/>
      <c r="BH112" s="107"/>
      <c r="BI112" s="107"/>
      <c r="BJ112" s="107"/>
      <c r="BK112" s="107"/>
      <c r="BL112" s="107"/>
      <c r="BP112" s="2341" t="s">
        <v>1215</v>
      </c>
      <c r="BQ112" s="2342"/>
      <c r="BR112" s="2342"/>
      <c r="BS112" s="2342"/>
      <c r="BT112" s="2342"/>
      <c r="BU112" s="2342"/>
      <c r="BV112" s="2342"/>
      <c r="BW112" s="2342"/>
      <c r="BX112" s="2342"/>
      <c r="BY112" s="2342"/>
      <c r="BZ112" s="2342"/>
      <c r="CA112" s="2342"/>
      <c r="CB112" s="2342"/>
      <c r="CC112" s="2342"/>
      <c r="CD112" s="2342"/>
      <c r="CE112" s="2342"/>
      <c r="CF112" s="2342"/>
      <c r="CG112" s="2342"/>
      <c r="CH112" s="2342"/>
      <c r="CI112" s="2342"/>
      <c r="CJ112" s="2342"/>
      <c r="CK112" s="2342"/>
      <c r="CL112" s="2342"/>
      <c r="CM112" s="2342"/>
      <c r="CN112" s="2342"/>
      <c r="CO112" s="2342"/>
      <c r="CP112" s="2342"/>
      <c r="CQ112" s="2342"/>
      <c r="CR112" s="2342"/>
      <c r="CS112" s="2342"/>
      <c r="CT112" s="2343"/>
      <c r="DB112" s="8"/>
      <c r="DC112" s="2222"/>
      <c r="DD112" s="2223"/>
      <c r="DE112" s="2220"/>
      <c r="DF112" s="2221"/>
      <c r="DG112" s="2221"/>
      <c r="DH112" s="2221"/>
      <c r="DI112" s="2221"/>
      <c r="DJ112" s="2221"/>
      <c r="DK112" s="2221"/>
      <c r="DL112" s="2269"/>
      <c r="DM112" s="2270"/>
      <c r="DN112" s="2271"/>
      <c r="DO112" s="2271"/>
      <c r="DP112" s="2271"/>
      <c r="DV112" s="9"/>
      <c r="ED112" s="24"/>
      <c r="EE112" s="24"/>
      <c r="EF112" s="24"/>
      <c r="EG112" s="148" t="s">
        <v>58</v>
      </c>
      <c r="EH112" s="148"/>
      <c r="EM112" s="2264"/>
      <c r="EN112" s="117">
        <v>1</v>
      </c>
      <c r="EO112" s="140" t="str">
        <f>BL51</f>
        <v/>
      </c>
      <c r="EP112" s="120">
        <f>AN51</f>
        <v>0</v>
      </c>
      <c r="EQ112" s="124">
        <f>L51</f>
        <v>0</v>
      </c>
      <c r="ER112" s="113" t="str">
        <f>IF(OR(EQ112="REJECTED",EQ112="Not Placed"),"R","")</f>
        <v/>
      </c>
      <c r="ES112" s="130"/>
      <c r="ET112" s="132">
        <f>EP112</f>
        <v>0</v>
      </c>
      <c r="EU112" s="117">
        <v>1</v>
      </c>
      <c r="EV112" s="120">
        <f>IF(ER112="R",AF51,0)</f>
        <v>0</v>
      </c>
      <c r="EW112" s="2247">
        <f>SUM(EV112:EV121)</f>
        <v>0</v>
      </c>
      <c r="EX112" s="2247">
        <f>SUM(AF51:AI90)</f>
        <v>0</v>
      </c>
      <c r="EY112" s="158" t="str">
        <f>IF(H51="","",H51)</f>
        <v/>
      </c>
      <c r="EZ112" s="157" t="str">
        <f>IF(EO112=0,"",EY112)</f>
        <v/>
      </c>
      <c r="FA112" s="949"/>
      <c r="FB112" s="18"/>
    </row>
    <row r="113" spans="2:160" ht="15" customHeight="1">
      <c r="AM113" s="107"/>
      <c r="AN113" s="107"/>
      <c r="AO113" s="107"/>
      <c r="AP113" s="107"/>
      <c r="AQ113" s="107"/>
      <c r="AR113" s="107"/>
      <c r="AS113" s="107"/>
      <c r="AT113" s="107"/>
      <c r="AU113" s="107"/>
      <c r="AV113" s="107"/>
      <c r="AW113" s="107"/>
      <c r="AX113" s="107"/>
      <c r="AY113" s="107"/>
      <c r="AZ113" s="107"/>
      <c r="BA113" s="107"/>
      <c r="BB113" s="107"/>
      <c r="BC113" s="107"/>
      <c r="BD113" s="107"/>
      <c r="BE113" s="107"/>
      <c r="BF113" s="107"/>
      <c r="BG113" s="107"/>
      <c r="BH113" s="107"/>
      <c r="BI113" s="107"/>
      <c r="BJ113" s="107"/>
      <c r="BK113" s="107"/>
      <c r="BL113" s="107"/>
      <c r="BP113" s="2344"/>
      <c r="BQ113" s="2345"/>
      <c r="BR113" s="2345"/>
      <c r="BS113" s="2345"/>
      <c r="BT113" s="2345"/>
      <c r="BU113" s="2345"/>
      <c r="BV113" s="2345"/>
      <c r="BW113" s="2345"/>
      <c r="BX113" s="2345"/>
      <c r="BY113" s="2345"/>
      <c r="BZ113" s="2345"/>
      <c r="CA113" s="2345"/>
      <c r="CB113" s="2345"/>
      <c r="CC113" s="2345"/>
      <c r="CD113" s="2345"/>
      <c r="CE113" s="2345"/>
      <c r="CF113" s="2345"/>
      <c r="CG113" s="2345"/>
      <c r="CH113" s="2345"/>
      <c r="CI113" s="2345"/>
      <c r="CJ113" s="2345"/>
      <c r="CK113" s="2345"/>
      <c r="CL113" s="2345"/>
      <c r="CM113" s="2345"/>
      <c r="CN113" s="2345"/>
      <c r="CO113" s="2345"/>
      <c r="CP113" s="2345"/>
      <c r="CQ113" s="2345"/>
      <c r="CR113" s="2345"/>
      <c r="CS113" s="2345"/>
      <c r="CT113" s="2346"/>
      <c r="DB113" s="8"/>
      <c r="DC113" s="2222"/>
      <c r="DD113" s="2223"/>
      <c r="DE113" s="2220"/>
      <c r="DF113" s="2221"/>
      <c r="DG113" s="2221"/>
      <c r="DH113" s="2221"/>
      <c r="DI113" s="2221"/>
      <c r="DJ113" s="2221"/>
      <c r="DK113" s="2221"/>
      <c r="DL113" s="2269"/>
      <c r="DM113" s="2270"/>
      <c r="DN113" s="2271"/>
      <c r="DO113" s="2271"/>
      <c r="DP113" s="2271"/>
      <c r="DV113" s="9"/>
      <c r="ED113" s="24"/>
      <c r="EE113" s="24"/>
      <c r="EF113" s="24"/>
      <c r="EG113" s="2224" t="s">
        <v>55</v>
      </c>
      <c r="EH113" s="2226"/>
      <c r="EM113" s="2264"/>
      <c r="EN113" s="113">
        <v>2</v>
      </c>
      <c r="EO113" s="140" t="str">
        <f>BL55</f>
        <v/>
      </c>
      <c r="EP113" s="120">
        <f>AN55</f>
        <v>0</v>
      </c>
      <c r="EQ113" s="124">
        <f>L55</f>
        <v>0</v>
      </c>
      <c r="ER113" s="113" t="str">
        <f>IF(OR(EQ113="REJECTED",EQ113="Not Placed"),"R","")</f>
        <v/>
      </c>
      <c r="ES113" s="128" t="str">
        <f>IF(EX112=0,"",IF(ER113="R","",IF(NOT(ER112="R"),ET112,0)))</f>
        <v/>
      </c>
      <c r="ET113" s="133">
        <f t="shared" ref="ET113:ET114" si="38">EP113</f>
        <v>0</v>
      </c>
      <c r="EU113" s="113">
        <v>2</v>
      </c>
      <c r="EV113" s="120">
        <f>IF(ER113="R",AF55,0)</f>
        <v>0</v>
      </c>
      <c r="EW113" s="2248"/>
      <c r="EX113" s="2248"/>
      <c r="EY113" s="156" t="str">
        <f>IF(H55="","",H55)</f>
        <v/>
      </c>
      <c r="EZ113" s="157" t="str">
        <f t="shared" ref="EZ113" si="39">IF(EO113=0,"",IF(EO112&gt;0,EZ112,EY113))</f>
        <v/>
      </c>
      <c r="FA113" s="949"/>
      <c r="FB113" s="18"/>
    </row>
    <row r="114" spans="2:160" ht="15" customHeight="1">
      <c r="BP114" s="2344"/>
      <c r="BQ114" s="2345"/>
      <c r="BR114" s="2345"/>
      <c r="BS114" s="2345"/>
      <c r="BT114" s="2345"/>
      <c r="BU114" s="2345"/>
      <c r="BV114" s="2345"/>
      <c r="BW114" s="2345"/>
      <c r="BX114" s="2345"/>
      <c r="BY114" s="2345"/>
      <c r="BZ114" s="2345"/>
      <c r="CA114" s="2345"/>
      <c r="CB114" s="2345"/>
      <c r="CC114" s="2345"/>
      <c r="CD114" s="2345"/>
      <c r="CE114" s="2345"/>
      <c r="CF114" s="2345"/>
      <c r="CG114" s="2345"/>
      <c r="CH114" s="2345"/>
      <c r="CI114" s="2345"/>
      <c r="CJ114" s="2345"/>
      <c r="CK114" s="2345"/>
      <c r="CL114" s="2345"/>
      <c r="CM114" s="2345"/>
      <c r="CN114" s="2345"/>
      <c r="CO114" s="2345"/>
      <c r="CP114" s="2345"/>
      <c r="CQ114" s="2345"/>
      <c r="CR114" s="2345"/>
      <c r="CS114" s="2345"/>
      <c r="CT114" s="2346"/>
      <c r="DB114" s="8"/>
      <c r="DC114" s="2222"/>
      <c r="DD114" s="2223"/>
      <c r="DE114" s="2220"/>
      <c r="DF114" s="2221"/>
      <c r="DG114" s="2221"/>
      <c r="DH114" s="2221"/>
      <c r="DI114" s="2221"/>
      <c r="DJ114" s="2221"/>
      <c r="DK114" s="2221"/>
      <c r="DL114" s="2269"/>
      <c r="DM114" s="2270"/>
      <c r="DN114" s="2271"/>
      <c r="DO114" s="2271"/>
      <c r="DP114" s="2271"/>
      <c r="DV114" s="9"/>
      <c r="ED114" s="24"/>
      <c r="EE114" s="24"/>
      <c r="EF114" s="24"/>
      <c r="EG114" s="2230"/>
      <c r="EH114" s="2232"/>
      <c r="EM114" s="2264"/>
      <c r="EN114" s="113">
        <v>3</v>
      </c>
      <c r="EO114" s="140" t="str">
        <f>BL59</f>
        <v/>
      </c>
      <c r="EP114" s="120">
        <f>AN59</f>
        <v>0</v>
      </c>
      <c r="EQ114" s="124">
        <f>L59</f>
        <v>0</v>
      </c>
      <c r="ER114" s="113" t="str">
        <f t="shared" ref="ER114:ER151" si="40">IF(OR(EQ114="REJECTED",EQ114="Not Placed"),"R","")</f>
        <v/>
      </c>
      <c r="ES114" s="128" t="str">
        <f>IF(EX112=0,"",IF(ER114="R","",IF(NOT(ER113="R"),ET113,IF(NOT(ER112="R"),ET112,0))))</f>
        <v/>
      </c>
      <c r="ET114" s="133">
        <f t="shared" si="38"/>
        <v>0</v>
      </c>
      <c r="EU114" s="113">
        <v>3</v>
      </c>
      <c r="EV114" s="120">
        <f>IF(ER114="R",AF59,0)</f>
        <v>0</v>
      </c>
      <c r="EW114" s="2248"/>
      <c r="EX114" s="2248"/>
      <c r="EY114" s="156" t="str">
        <f>IF(H59="","",H59)</f>
        <v/>
      </c>
      <c r="EZ114" s="157" t="str">
        <f>IF(EO114=0,"",IF(EO113&gt;0,EZ113,EY114))</f>
        <v/>
      </c>
      <c r="FA114" s="949"/>
      <c r="FB114" s="18"/>
    </row>
    <row r="115" spans="2:160" ht="15" customHeight="1">
      <c r="BP115" s="2344"/>
      <c r="BQ115" s="2345"/>
      <c r="BR115" s="2345"/>
      <c r="BS115" s="2345"/>
      <c r="BT115" s="2345"/>
      <c r="BU115" s="2345"/>
      <c r="BV115" s="2345"/>
      <c r="BW115" s="2345"/>
      <c r="BX115" s="2345"/>
      <c r="BY115" s="2345"/>
      <c r="BZ115" s="2345"/>
      <c r="CA115" s="2345"/>
      <c r="CB115" s="2345"/>
      <c r="CC115" s="2345"/>
      <c r="CD115" s="2345"/>
      <c r="CE115" s="2345"/>
      <c r="CF115" s="2345"/>
      <c r="CG115" s="2345"/>
      <c r="CH115" s="2345"/>
      <c r="CI115" s="2345"/>
      <c r="CJ115" s="2345"/>
      <c r="CK115" s="2345"/>
      <c r="CL115" s="2345"/>
      <c r="CM115" s="2345"/>
      <c r="CN115" s="2345"/>
      <c r="CO115" s="2345"/>
      <c r="CP115" s="2345"/>
      <c r="CQ115" s="2345"/>
      <c r="CR115" s="2345"/>
      <c r="CS115" s="2345"/>
      <c r="CT115" s="2346"/>
      <c r="DB115" s="8"/>
      <c r="DC115" s="2222">
        <v>16</v>
      </c>
      <c r="DD115" s="2223"/>
      <c r="DE115" s="2220" t="str">
        <f>'Concr. Pg 2'!BP62</f>
        <v/>
      </c>
      <c r="DF115" s="2221"/>
      <c r="DG115" s="2221"/>
      <c r="DH115" s="2221"/>
      <c r="DI115" s="2221" t="str">
        <f>IF('Concr. Pg 2'!X62="","",DR$41-'Concr. Pg 2'!X62)</f>
        <v/>
      </c>
      <c r="DJ115" s="2221"/>
      <c r="DK115" s="2221"/>
      <c r="DL115" s="2269"/>
      <c r="DM115" s="2270" t="str">
        <f>IF(L$28="","",IF('Concr. Pg 2'!X62="","",L$28-'Concr. Pg 2'!X62))</f>
        <v/>
      </c>
      <c r="DN115" s="2271"/>
      <c r="DO115" s="2271"/>
      <c r="DP115" s="2271"/>
      <c r="DV115" s="9"/>
      <c r="ED115" s="24"/>
      <c r="EE115" s="24"/>
      <c r="EF115" s="24"/>
      <c r="EG115" s="186" t="s">
        <v>44</v>
      </c>
      <c r="EH115" s="187"/>
      <c r="EM115" s="2264"/>
      <c r="EN115" s="113">
        <v>4</v>
      </c>
      <c r="EO115" s="140" t="str">
        <f>BL63</f>
        <v/>
      </c>
      <c r="EP115" s="120">
        <f>AN63</f>
        <v>0</v>
      </c>
      <c r="EQ115" s="124">
        <f>L63</f>
        <v>0</v>
      </c>
      <c r="ER115" s="113" t="str">
        <f t="shared" si="40"/>
        <v/>
      </c>
      <c r="ES115" s="128" t="str">
        <f>IF(EX112=0,"",IF(ER115="R","",IF(NOT(ER114="R"),ET114,IF(NOT(ER113="R"),ET113,IF(NOT(ER112="R"),ET112,0)))))</f>
        <v/>
      </c>
      <c r="ET115" s="133">
        <f t="shared" ref="ET115:ET151" si="41">EP115</f>
        <v>0</v>
      </c>
      <c r="EU115" s="113">
        <v>4</v>
      </c>
      <c r="EV115" s="120">
        <f>IF(ER115="R",AF63,0)</f>
        <v>0</v>
      </c>
      <c r="EW115" s="2248"/>
      <c r="EX115" s="2248"/>
      <c r="EY115" s="156" t="str">
        <f>IF(H63="","",H63)</f>
        <v/>
      </c>
      <c r="EZ115" s="157" t="str">
        <f t="shared" ref="EZ115:EZ151" si="42">IF(EO115=0,"",IF(EO114&gt;0,EZ114,EY115))</f>
        <v/>
      </c>
      <c r="FA115" s="949"/>
      <c r="FB115" s="18"/>
    </row>
    <row r="116" spans="2:160" ht="15" customHeight="1">
      <c r="BP116" s="2344"/>
      <c r="BQ116" s="2345"/>
      <c r="BR116" s="2345"/>
      <c r="BS116" s="2345"/>
      <c r="BT116" s="2345"/>
      <c r="BU116" s="2345"/>
      <c r="BV116" s="2345"/>
      <c r="BW116" s="2345"/>
      <c r="BX116" s="2345"/>
      <c r="BY116" s="2345"/>
      <c r="BZ116" s="2345"/>
      <c r="CA116" s="2345"/>
      <c r="CB116" s="2345"/>
      <c r="CC116" s="2345"/>
      <c r="CD116" s="2345"/>
      <c r="CE116" s="2345"/>
      <c r="CF116" s="2345"/>
      <c r="CG116" s="2345"/>
      <c r="CH116" s="2345"/>
      <c r="CI116" s="2345"/>
      <c r="CJ116" s="2345"/>
      <c r="CK116" s="2345"/>
      <c r="CL116" s="2345"/>
      <c r="CM116" s="2345"/>
      <c r="CN116" s="2345"/>
      <c r="CO116" s="2345"/>
      <c r="CP116" s="2345"/>
      <c r="CQ116" s="2345"/>
      <c r="CR116" s="2345"/>
      <c r="CS116" s="2345"/>
      <c r="CT116" s="2346"/>
      <c r="DB116" s="8"/>
      <c r="DC116" s="2222"/>
      <c r="DD116" s="2223"/>
      <c r="DE116" s="2220"/>
      <c r="DF116" s="2221"/>
      <c r="DG116" s="2221"/>
      <c r="DH116" s="2221"/>
      <c r="DI116" s="2221"/>
      <c r="DJ116" s="2221"/>
      <c r="DK116" s="2221"/>
      <c r="DL116" s="2269"/>
      <c r="DM116" s="2270"/>
      <c r="DN116" s="2271"/>
      <c r="DO116" s="2271"/>
      <c r="DP116" s="2271"/>
      <c r="DV116" s="9"/>
      <c r="ED116" s="24"/>
      <c r="EE116" s="24"/>
      <c r="EF116" s="24"/>
      <c r="EG116" s="188"/>
      <c r="EH116" s="189"/>
      <c r="EM116" s="2264"/>
      <c r="EN116" s="113">
        <v>5</v>
      </c>
      <c r="EO116" s="140" t="str">
        <f>BL67</f>
        <v/>
      </c>
      <c r="EP116" s="120">
        <f>AN67</f>
        <v>0</v>
      </c>
      <c r="EQ116" s="124">
        <f>L67</f>
        <v>0</v>
      </c>
      <c r="ER116" s="113" t="str">
        <f t="shared" si="40"/>
        <v/>
      </c>
      <c r="ES116" s="128" t="str">
        <f>IF(EX112=0,"",IF(ER116="R","",IF(NOT(ER115="R"),ET115,IF(NOT(ER114="R"),ET114,IF(NOT(ER113="R"),ET113,IF(NOT(ER112="R"),ET112,0))))))</f>
        <v/>
      </c>
      <c r="ET116" s="133">
        <f t="shared" si="41"/>
        <v>0</v>
      </c>
      <c r="EU116" s="113">
        <v>5</v>
      </c>
      <c r="EV116" s="120">
        <f>IF(ER116="R",AF67,0)</f>
        <v>0</v>
      </c>
      <c r="EW116" s="2248"/>
      <c r="EX116" s="2248"/>
      <c r="EY116" s="156" t="str">
        <f>IF(H67="","",H67)</f>
        <v/>
      </c>
      <c r="EZ116" s="157" t="str">
        <f t="shared" si="42"/>
        <v/>
      </c>
      <c r="FA116" s="949"/>
      <c r="FB116" s="18"/>
    </row>
    <row r="117" spans="2:160" ht="15" customHeight="1">
      <c r="B117" s="27"/>
      <c r="C117" s="27"/>
      <c r="D117" s="27"/>
      <c r="E117" s="27"/>
      <c r="F117" s="27"/>
      <c r="G117" s="27"/>
      <c r="H117" s="27"/>
      <c r="I117" s="27"/>
      <c r="J117" s="27"/>
      <c r="K117" s="27"/>
      <c r="L117" s="27"/>
      <c r="M117" s="27"/>
      <c r="N117" s="27"/>
      <c r="O117" s="27"/>
      <c r="P117" s="27"/>
      <c r="Q117" s="27"/>
      <c r="R117" s="27"/>
      <c r="S117" s="27"/>
      <c r="T117" s="27"/>
      <c r="U117" s="27"/>
      <c r="V117" s="27"/>
      <c r="W117" s="27"/>
      <c r="X117" s="27"/>
      <c r="Y117" s="27"/>
      <c r="Z117" s="27"/>
      <c r="AA117" s="27"/>
      <c r="AB117" s="27"/>
      <c r="AC117" s="27"/>
      <c r="AD117" s="27"/>
      <c r="AE117" s="27"/>
      <c r="AF117" s="27"/>
      <c r="AG117" s="27"/>
      <c r="AH117" s="27"/>
      <c r="AI117" s="27"/>
      <c r="AJ117" s="27"/>
      <c r="AK117" s="27"/>
      <c r="AL117" s="27"/>
      <c r="AM117" s="27"/>
      <c r="AN117" s="27"/>
      <c r="AO117" s="27"/>
      <c r="AP117" s="27"/>
      <c r="AQ117" s="27"/>
      <c r="AR117" s="27"/>
      <c r="AS117" s="27"/>
      <c r="AT117" s="27"/>
      <c r="AU117" s="27"/>
      <c r="AV117" s="27"/>
      <c r="AW117" s="27"/>
      <c r="AX117" s="27"/>
      <c r="AY117" s="27"/>
      <c r="AZ117" s="27"/>
      <c r="BA117" s="27"/>
      <c r="BB117" s="27"/>
      <c r="BC117" s="27"/>
      <c r="BD117" s="27"/>
      <c r="BE117" s="27"/>
      <c r="BF117" s="27"/>
      <c r="BG117" s="27"/>
      <c r="BH117" s="27"/>
      <c r="BI117" s="27"/>
      <c r="BJ117" s="27"/>
      <c r="BK117" s="27"/>
      <c r="BL117" s="27"/>
      <c r="BP117" s="2347"/>
      <c r="BQ117" s="2348"/>
      <c r="BR117" s="2348"/>
      <c r="BS117" s="2348"/>
      <c r="BT117" s="2348"/>
      <c r="BU117" s="2348"/>
      <c r="BV117" s="2348"/>
      <c r="BW117" s="2348"/>
      <c r="BX117" s="2348"/>
      <c r="BY117" s="2348"/>
      <c r="BZ117" s="2348"/>
      <c r="CA117" s="2348"/>
      <c r="CB117" s="2348"/>
      <c r="CC117" s="2348"/>
      <c r="CD117" s="2348"/>
      <c r="CE117" s="2348"/>
      <c r="CF117" s="2348"/>
      <c r="CG117" s="2348"/>
      <c r="CH117" s="2348"/>
      <c r="CI117" s="2348"/>
      <c r="CJ117" s="2348"/>
      <c r="CK117" s="2348"/>
      <c r="CL117" s="2348"/>
      <c r="CM117" s="2348"/>
      <c r="CN117" s="2348"/>
      <c r="CO117" s="2348"/>
      <c r="CP117" s="2348"/>
      <c r="CQ117" s="2348"/>
      <c r="CR117" s="2348"/>
      <c r="CS117" s="2348"/>
      <c r="CT117" s="2349"/>
      <c r="DB117" s="8"/>
      <c r="DC117" s="2222"/>
      <c r="DD117" s="2223"/>
      <c r="DE117" s="2220"/>
      <c r="DF117" s="2221"/>
      <c r="DG117" s="2221"/>
      <c r="DH117" s="2221"/>
      <c r="DI117" s="2221"/>
      <c r="DJ117" s="2221"/>
      <c r="DK117" s="2221"/>
      <c r="DL117" s="2269"/>
      <c r="DM117" s="2270"/>
      <c r="DN117" s="2271"/>
      <c r="DO117" s="2271"/>
      <c r="DP117" s="2271"/>
      <c r="DV117" s="9"/>
      <c r="ED117" s="24"/>
      <c r="EE117" s="24"/>
      <c r="EF117" s="24"/>
      <c r="EM117" s="2264"/>
      <c r="EN117" s="113">
        <v>6</v>
      </c>
      <c r="EO117" s="140" t="str">
        <f>BL71</f>
        <v/>
      </c>
      <c r="EP117" s="120">
        <f>AN71</f>
        <v>0</v>
      </c>
      <c r="EQ117" s="124">
        <f>L71</f>
        <v>0</v>
      </c>
      <c r="ER117" s="113" t="str">
        <f t="shared" si="40"/>
        <v/>
      </c>
      <c r="ES117" s="128" t="str">
        <f>IF(EX112=0,"",IF(ER117="R","",IF(NOT(ER116="R"),ET116,IF(NOT(ER115="R"),ET115,IF(NOT(ER114="R"),ET114,IF(NOT(ER113="R"),ET113,IF(NOT(ER112="R"),ET112,0)))))))</f>
        <v/>
      </c>
      <c r="ET117" s="133">
        <f t="shared" si="41"/>
        <v>0</v>
      </c>
      <c r="EU117" s="113">
        <v>6</v>
      </c>
      <c r="EV117" s="120">
        <f>IF(ER117="R",AF71,0)</f>
        <v>0</v>
      </c>
      <c r="EW117" s="2248"/>
      <c r="EX117" s="2248"/>
      <c r="EY117" s="156" t="str">
        <f>IF(H71="","",H71)</f>
        <v/>
      </c>
      <c r="EZ117" s="157" t="str">
        <f t="shared" si="42"/>
        <v/>
      </c>
      <c r="FA117" s="949"/>
      <c r="FB117" s="18"/>
    </row>
    <row r="118" spans="2:160" ht="15" customHeight="1">
      <c r="B118" s="27"/>
      <c r="C118" s="27"/>
      <c r="D118" s="27"/>
      <c r="E118" s="27"/>
      <c r="F118" s="27"/>
      <c r="G118" s="27"/>
      <c r="H118" s="27"/>
      <c r="I118" s="27"/>
      <c r="J118" s="27"/>
      <c r="K118" s="27"/>
      <c r="L118" s="27"/>
      <c r="M118" s="27"/>
      <c r="N118" s="27"/>
      <c r="O118" s="27"/>
      <c r="P118" s="27"/>
      <c r="Q118" s="27"/>
      <c r="R118" s="27"/>
      <c r="S118" s="27"/>
      <c r="T118" s="27"/>
      <c r="U118" s="27"/>
      <c r="V118" s="27"/>
      <c r="W118" s="27"/>
      <c r="X118" s="27"/>
      <c r="Y118" s="27"/>
      <c r="Z118" s="27"/>
      <c r="AA118" s="27"/>
      <c r="AB118" s="27"/>
      <c r="AC118" s="27"/>
      <c r="AD118" s="27"/>
      <c r="AE118" s="27"/>
      <c r="AF118" s="27"/>
      <c r="AG118" s="27"/>
      <c r="AH118" s="27"/>
      <c r="AI118" s="27"/>
      <c r="AJ118" s="27"/>
      <c r="AK118" s="27"/>
      <c r="AL118" s="27"/>
      <c r="AM118" s="27"/>
      <c r="AN118" s="27"/>
      <c r="AO118" s="27"/>
      <c r="AP118" s="27"/>
      <c r="AQ118" s="27"/>
      <c r="AR118" s="27"/>
      <c r="AS118" s="27"/>
      <c r="AT118" s="27"/>
      <c r="AU118" s="27"/>
      <c r="AV118" s="27"/>
      <c r="AW118" s="27"/>
      <c r="AX118" s="27"/>
      <c r="AY118" s="27"/>
      <c r="AZ118" s="27"/>
      <c r="BA118" s="27"/>
      <c r="BB118" s="27"/>
      <c r="BC118" s="27"/>
      <c r="BD118" s="27"/>
      <c r="BE118" s="27"/>
      <c r="BF118" s="27"/>
      <c r="BG118" s="27"/>
      <c r="BH118" s="27"/>
      <c r="BI118" s="27"/>
      <c r="BJ118" s="27"/>
      <c r="BK118" s="27"/>
      <c r="BL118" s="27"/>
      <c r="DB118" s="8"/>
      <c r="DC118" s="2222"/>
      <c r="DD118" s="2223"/>
      <c r="DE118" s="2220"/>
      <c r="DF118" s="2221"/>
      <c r="DG118" s="2221"/>
      <c r="DH118" s="2221"/>
      <c r="DI118" s="2221"/>
      <c r="DJ118" s="2221"/>
      <c r="DK118" s="2221"/>
      <c r="DL118" s="2269"/>
      <c r="DM118" s="2270"/>
      <c r="DN118" s="2271"/>
      <c r="DO118" s="2271"/>
      <c r="DP118" s="2271"/>
      <c r="DV118" s="9"/>
      <c r="ED118" s="24"/>
      <c r="EE118" s="24"/>
      <c r="EF118" s="24"/>
      <c r="EM118" s="2264"/>
      <c r="EN118" s="113">
        <v>7</v>
      </c>
      <c r="EO118" s="140" t="str">
        <f>BL75</f>
        <v/>
      </c>
      <c r="EP118" s="120">
        <f>AN75</f>
        <v>0</v>
      </c>
      <c r="EQ118" s="124">
        <f>L75</f>
        <v>0</v>
      </c>
      <c r="ER118" s="113" t="str">
        <f t="shared" si="40"/>
        <v/>
      </c>
      <c r="ES118" s="128" t="str">
        <f>IF(EX112=0,"",IF(ER118="R","",IF(NOT(ER117="R"),ET117,IF(NOT(ER116="R"),ET116,IF(NOT(ER115="R"),ET115,IF(NOT(ER114="R"),ET114,IF(NOT(ER113="R"),ET113,IF(NOT(ER112="R"),ET112,0))))))))</f>
        <v/>
      </c>
      <c r="ET118" s="133">
        <f t="shared" si="41"/>
        <v>0</v>
      </c>
      <c r="EU118" s="113">
        <v>7</v>
      </c>
      <c r="EV118" s="120">
        <f>IF(ER118="R",AF75,0)</f>
        <v>0</v>
      </c>
      <c r="EW118" s="2248"/>
      <c r="EX118" s="2248"/>
      <c r="EY118" s="156" t="str">
        <f>IF(H75="","",H75)</f>
        <v/>
      </c>
      <c r="EZ118" s="157" t="str">
        <f t="shared" si="42"/>
        <v/>
      </c>
      <c r="FA118" s="949"/>
      <c r="FB118" s="18"/>
      <c r="FD118" s="18"/>
    </row>
    <row r="119" spans="2:160" ht="15" customHeight="1">
      <c r="B119" s="26"/>
      <c r="C119" s="26"/>
      <c r="D119" s="26"/>
      <c r="E119" s="26"/>
      <c r="F119" s="26"/>
      <c r="G119" s="26"/>
      <c r="H119" s="26"/>
      <c r="I119" s="26"/>
      <c r="J119" s="26"/>
      <c r="K119" s="26"/>
      <c r="L119" s="26"/>
      <c r="M119" s="26"/>
      <c r="N119" s="26"/>
      <c r="O119" s="26"/>
      <c r="P119" s="26"/>
      <c r="Q119" s="26"/>
      <c r="R119" s="26"/>
      <c r="S119" s="26"/>
      <c r="T119" s="26"/>
      <c r="U119" s="26"/>
      <c r="V119" s="26"/>
      <c r="W119" s="26"/>
      <c r="X119" s="26"/>
      <c r="Y119" s="26"/>
      <c r="Z119" s="26"/>
      <c r="AA119" s="26"/>
      <c r="AB119" s="26"/>
      <c r="AC119" s="26"/>
      <c r="AD119" s="26"/>
      <c r="AE119" s="26"/>
      <c r="AF119" s="26"/>
      <c r="AG119" s="26"/>
      <c r="AH119" s="26"/>
      <c r="AI119" s="26"/>
      <c r="AJ119" s="26"/>
      <c r="AK119" s="26"/>
      <c r="AL119" s="26"/>
      <c r="AM119" s="26"/>
      <c r="AN119" s="26"/>
      <c r="AO119" s="26"/>
      <c r="AP119" s="26"/>
      <c r="AQ119" s="26"/>
      <c r="AR119" s="26"/>
      <c r="AS119" s="26"/>
      <c r="AT119" s="26"/>
      <c r="AU119" s="26"/>
      <c r="AV119" s="26"/>
      <c r="AW119" s="26"/>
      <c r="AX119" s="26"/>
      <c r="AY119" s="26"/>
      <c r="AZ119" s="26"/>
      <c r="BA119" s="26"/>
      <c r="BB119" s="26"/>
      <c r="BC119" s="26"/>
      <c r="BD119" s="26"/>
      <c r="BE119" s="26"/>
      <c r="BP119" s="2325" t="s">
        <v>1212</v>
      </c>
      <c r="BQ119" s="2326"/>
      <c r="BR119" s="2326"/>
      <c r="BS119" s="2326"/>
      <c r="BT119" s="2326"/>
      <c r="BU119" s="2326"/>
      <c r="BV119" s="2326"/>
      <c r="BW119" s="2326"/>
      <c r="BX119" s="2326"/>
      <c r="BY119" s="2326"/>
      <c r="BZ119" s="2326"/>
      <c r="CA119" s="2326"/>
      <c r="CB119" s="2326"/>
      <c r="CC119" s="2326"/>
      <c r="CD119" s="2327"/>
      <c r="CF119" s="2325"/>
      <c r="CG119" s="2326"/>
      <c r="CH119" s="2326"/>
      <c r="CI119" s="2326"/>
      <c r="CJ119" s="2326"/>
      <c r="CK119" s="2326"/>
      <c r="CL119" s="2326"/>
      <c r="CM119" s="2326"/>
      <c r="CN119" s="2326"/>
      <c r="CO119" s="2326"/>
      <c r="CP119" s="2326"/>
      <c r="CQ119" s="2326"/>
      <c r="CR119" s="2326"/>
      <c r="CS119" s="2326"/>
      <c r="CT119" s="2327"/>
      <c r="DB119" s="8"/>
      <c r="DC119" s="2222">
        <v>17</v>
      </c>
      <c r="DD119" s="2223"/>
      <c r="DE119" s="2220" t="str">
        <f>'Concr. Pg 2'!BP66</f>
        <v/>
      </c>
      <c r="DF119" s="2221"/>
      <c r="DG119" s="2221"/>
      <c r="DH119" s="2221"/>
      <c r="DI119" s="2221" t="str">
        <f>IF('Concr. Pg 2'!X66="","",DR$41-'Concr. Pg 2'!X66)</f>
        <v/>
      </c>
      <c r="DJ119" s="2221"/>
      <c r="DK119" s="2221"/>
      <c r="DL119" s="2269"/>
      <c r="DM119" s="2270" t="str">
        <f>IF(L$28="","",IF('Concr. Pg 2'!X66="","",L$28-'Concr. Pg 2'!X66))</f>
        <v/>
      </c>
      <c r="DN119" s="2271"/>
      <c r="DO119" s="2271"/>
      <c r="DP119" s="2271"/>
      <c r="DV119" s="9"/>
      <c r="DX119" s="2712" t="s">
        <v>222</v>
      </c>
      <c r="DY119" s="2712"/>
      <c r="DZ119" s="2712"/>
      <c r="EA119" s="2712"/>
      <c r="EB119" s="2712"/>
      <c r="EC119" s="2712"/>
      <c r="ED119" s="2712"/>
      <c r="EG119" s="148" t="s">
        <v>219</v>
      </c>
      <c r="EM119" s="2264"/>
      <c r="EN119" s="113">
        <v>8</v>
      </c>
      <c r="EO119" s="140" t="str">
        <f>BL79</f>
        <v/>
      </c>
      <c r="EP119" s="120">
        <f>AN79</f>
        <v>0</v>
      </c>
      <c r="EQ119" s="124">
        <f>L79</f>
        <v>0</v>
      </c>
      <c r="ER119" s="113" t="str">
        <f t="shared" si="40"/>
        <v/>
      </c>
      <c r="ES119" s="128" t="str">
        <f>IF(EX112=0,"",IF(ER119="R","",IF(NOT(ER118="R"),ET118,IF(NOT(ER117="R"),ET117,IF(NOT(ER116="R"),ET116,IF(NOT(ER115="R"),ET115,IF(NOT(ER114="R"),ET114,IF(NOT(ER113="R"),ET113,IF(NOT(ER112="R"),ET112,0)))))))))</f>
        <v/>
      </c>
      <c r="ET119" s="133">
        <f t="shared" si="41"/>
        <v>0</v>
      </c>
      <c r="EU119" s="113">
        <v>8</v>
      </c>
      <c r="EV119" s="120">
        <f>IF(ER119="R",AF79,0)</f>
        <v>0</v>
      </c>
      <c r="EW119" s="2248"/>
      <c r="EX119" s="2248"/>
      <c r="EY119" s="156" t="str">
        <f>IF(H79="","",H79)</f>
        <v/>
      </c>
      <c r="EZ119" s="157" t="str">
        <f t="shared" si="42"/>
        <v/>
      </c>
      <c r="FA119" s="949"/>
      <c r="FB119" s="18"/>
    </row>
    <row r="120" spans="2:160" ht="15" customHeight="1">
      <c r="B120" s="28"/>
      <c r="C120" s="28"/>
      <c r="D120" s="28"/>
      <c r="E120" s="28"/>
      <c r="F120" s="28"/>
      <c r="G120" s="28"/>
      <c r="H120" s="28"/>
      <c r="I120" s="28"/>
      <c r="J120" s="28"/>
      <c r="K120" s="28"/>
      <c r="L120" s="28"/>
      <c r="M120" s="28"/>
      <c r="N120" s="28"/>
      <c r="O120" s="28"/>
      <c r="P120" s="28"/>
      <c r="Q120" s="28"/>
      <c r="R120" s="28"/>
      <c r="S120" s="28"/>
      <c r="T120" s="28"/>
      <c r="U120" s="28"/>
      <c r="V120" s="28"/>
      <c r="W120" s="28"/>
      <c r="X120" s="28"/>
      <c r="Y120" s="28"/>
      <c r="Z120" s="28"/>
      <c r="AA120" s="28"/>
      <c r="AB120" s="28"/>
      <c r="AC120" s="28"/>
      <c r="AD120" s="28"/>
      <c r="AE120" s="28"/>
      <c r="AF120" s="28"/>
      <c r="AG120" s="28"/>
      <c r="AH120" s="28"/>
      <c r="AI120" s="28"/>
      <c r="AJ120" s="28"/>
      <c r="AK120" s="28"/>
      <c r="AL120" s="28"/>
      <c r="AM120" s="28"/>
      <c r="AN120" s="28"/>
      <c r="AO120" s="28"/>
      <c r="AP120" s="28"/>
      <c r="AQ120" s="28"/>
      <c r="AR120" s="28"/>
      <c r="AS120" s="28"/>
      <c r="AT120" s="28"/>
      <c r="AU120" s="28"/>
      <c r="AV120" s="28"/>
      <c r="AW120" s="28"/>
      <c r="AX120" s="28"/>
      <c r="AY120" s="28"/>
      <c r="AZ120" s="28"/>
      <c r="BA120" s="28"/>
      <c r="BB120" s="28"/>
      <c r="BC120" s="28"/>
      <c r="BD120" s="28"/>
      <c r="BE120" s="28"/>
      <c r="BF120" s="28"/>
      <c r="BG120" s="28"/>
      <c r="BH120" s="28"/>
      <c r="BI120" s="28"/>
      <c r="BJ120" s="28"/>
      <c r="BK120" s="2"/>
      <c r="BL120" s="108"/>
      <c r="BP120" s="2328"/>
      <c r="BQ120" s="2329"/>
      <c r="BR120" s="2329"/>
      <c r="BS120" s="2329"/>
      <c r="BT120" s="2329"/>
      <c r="BU120" s="2329"/>
      <c r="BV120" s="2329"/>
      <c r="BW120" s="2329"/>
      <c r="BX120" s="2329"/>
      <c r="BY120" s="2329"/>
      <c r="BZ120" s="2329"/>
      <c r="CA120" s="2329"/>
      <c r="CB120" s="2329"/>
      <c r="CC120" s="2329"/>
      <c r="CD120" s="2330"/>
      <c r="CF120" s="2328"/>
      <c r="CG120" s="2329"/>
      <c r="CH120" s="2329"/>
      <c r="CI120" s="2329"/>
      <c r="CJ120" s="2329"/>
      <c r="CK120" s="2329"/>
      <c r="CL120" s="2329"/>
      <c r="CM120" s="2329"/>
      <c r="CN120" s="2329"/>
      <c r="CO120" s="2329"/>
      <c r="CP120" s="2329"/>
      <c r="CQ120" s="2329"/>
      <c r="CR120" s="2329"/>
      <c r="CS120" s="2329"/>
      <c r="CT120" s="2330"/>
      <c r="DB120" s="8"/>
      <c r="DC120" s="2222"/>
      <c r="DD120" s="2223"/>
      <c r="DE120" s="2220"/>
      <c r="DF120" s="2221"/>
      <c r="DG120" s="2221"/>
      <c r="DH120" s="2221"/>
      <c r="DI120" s="2221"/>
      <c r="DJ120" s="2221"/>
      <c r="DK120" s="2221"/>
      <c r="DL120" s="2269"/>
      <c r="DM120" s="2270"/>
      <c r="DN120" s="2271"/>
      <c r="DO120" s="2271"/>
      <c r="DP120" s="2271"/>
      <c r="DV120" s="9"/>
      <c r="DX120" s="2274">
        <f>J14</f>
        <v>0</v>
      </c>
      <c r="DY120" s="2275"/>
      <c r="DZ120" s="2275"/>
      <c r="EA120" s="2275"/>
      <c r="EB120" s="2275"/>
      <c r="EC120" s="2275"/>
      <c r="ED120" s="2276"/>
      <c r="EG120" s="148" t="s">
        <v>220</v>
      </c>
      <c r="EM120" s="2264"/>
      <c r="EN120" s="113">
        <v>9</v>
      </c>
      <c r="EO120" s="140" t="str">
        <f>BL83</f>
        <v/>
      </c>
      <c r="EP120" s="120">
        <f>AN83</f>
        <v>0</v>
      </c>
      <c r="EQ120" s="124">
        <f>L83</f>
        <v>0</v>
      </c>
      <c r="ER120" s="113" t="str">
        <f t="shared" si="40"/>
        <v/>
      </c>
      <c r="ES120" s="128" t="str">
        <f>IF(EX112=0,"",IF(ER120="R","",IF(NOT(ER119="R"),ET119,IF(NOT(ER118="R"),ET118,IF(NOT(ER117="R"),ET117,IF(NOT(ER116="R"),ET116,IF(NOT(ER115="R"),ET115,IF(NOT(ER114="R"),ET114,IF(NOT(ER113="R"),ET113,IF(NOT(ER112="R"),ET112,0))))))))))</f>
        <v/>
      </c>
      <c r="ET120" s="133">
        <f t="shared" si="41"/>
        <v>0</v>
      </c>
      <c r="EU120" s="113">
        <v>9</v>
      </c>
      <c r="EV120" s="120">
        <f>IF(ER120="R",AF83,0)</f>
        <v>0</v>
      </c>
      <c r="EW120" s="2248"/>
      <c r="EX120" s="2248"/>
      <c r="EY120" s="156" t="str">
        <f>IF(H83="","",H83)</f>
        <v/>
      </c>
      <c r="EZ120" s="157" t="str">
        <f t="shared" si="42"/>
        <v/>
      </c>
      <c r="FA120" s="949"/>
      <c r="FB120" s="18"/>
    </row>
    <row r="121" spans="2:160" ht="15" customHeight="1" thickBot="1">
      <c r="B121" s="28"/>
      <c r="C121" s="28"/>
      <c r="D121" s="28"/>
      <c r="E121" s="28"/>
      <c r="F121" s="28"/>
      <c r="G121" s="28"/>
      <c r="H121" s="28"/>
      <c r="I121" s="28"/>
      <c r="J121" s="28"/>
      <c r="K121" s="28"/>
      <c r="L121" s="28"/>
      <c r="M121" s="28"/>
      <c r="N121" s="28"/>
      <c r="O121" s="28"/>
      <c r="P121" s="28"/>
      <c r="Q121" s="28"/>
      <c r="R121" s="28"/>
      <c r="S121" s="28"/>
      <c r="T121" s="28"/>
      <c r="U121" s="28"/>
      <c r="V121" s="28"/>
      <c r="W121" s="28"/>
      <c r="X121" s="28"/>
      <c r="Y121" s="28"/>
      <c r="Z121" s="28"/>
      <c r="AA121" s="28"/>
      <c r="AB121" s="28"/>
      <c r="AC121" s="28"/>
      <c r="AD121" s="28"/>
      <c r="AE121" s="28"/>
      <c r="AF121" s="28"/>
      <c r="AG121" s="28"/>
      <c r="AH121" s="28"/>
      <c r="AI121" s="28"/>
      <c r="AJ121" s="28"/>
      <c r="AK121" s="28"/>
      <c r="AL121" s="28"/>
      <c r="AM121" s="28"/>
      <c r="AN121" s="28"/>
      <c r="AO121" s="28"/>
      <c r="AP121" s="28"/>
      <c r="AQ121" s="28"/>
      <c r="AR121" s="28"/>
      <c r="AS121" s="28"/>
      <c r="AT121" s="28"/>
      <c r="AU121" s="28"/>
      <c r="AV121" s="28"/>
      <c r="AW121" s="28"/>
      <c r="AX121" s="28"/>
      <c r="AY121" s="28"/>
      <c r="AZ121" s="28"/>
      <c r="BA121" s="28"/>
      <c r="BB121" s="28"/>
      <c r="BC121" s="28"/>
      <c r="BD121" s="28"/>
      <c r="BE121" s="28"/>
      <c r="BF121" s="28"/>
      <c r="BG121" s="28"/>
      <c r="BH121" s="28"/>
      <c r="BI121" s="28"/>
      <c r="BJ121" s="28"/>
      <c r="BK121" s="2"/>
      <c r="BL121" s="108"/>
      <c r="BP121" s="2328"/>
      <c r="BQ121" s="2329"/>
      <c r="BR121" s="2329"/>
      <c r="BS121" s="2329"/>
      <c r="BT121" s="2329"/>
      <c r="BU121" s="2329"/>
      <c r="BV121" s="2329"/>
      <c r="BW121" s="2329"/>
      <c r="BX121" s="2329"/>
      <c r="BY121" s="2329"/>
      <c r="BZ121" s="2329"/>
      <c r="CA121" s="2329"/>
      <c r="CB121" s="2329"/>
      <c r="CC121" s="2329"/>
      <c r="CD121" s="2330"/>
      <c r="CF121" s="2328"/>
      <c r="CG121" s="2329"/>
      <c r="CH121" s="2329"/>
      <c r="CI121" s="2329"/>
      <c r="CJ121" s="2329"/>
      <c r="CK121" s="2329"/>
      <c r="CL121" s="2329"/>
      <c r="CM121" s="2329"/>
      <c r="CN121" s="2329"/>
      <c r="CO121" s="2329"/>
      <c r="CP121" s="2329"/>
      <c r="CQ121" s="2329"/>
      <c r="CR121" s="2329"/>
      <c r="CS121" s="2329"/>
      <c r="CT121" s="2330"/>
      <c r="DB121" s="8"/>
      <c r="DC121" s="2222"/>
      <c r="DD121" s="2223"/>
      <c r="DE121" s="2220"/>
      <c r="DF121" s="2221"/>
      <c r="DG121" s="2221"/>
      <c r="DH121" s="2221"/>
      <c r="DI121" s="2221"/>
      <c r="DJ121" s="2221"/>
      <c r="DK121" s="2221"/>
      <c r="DL121" s="2269"/>
      <c r="DM121" s="2270"/>
      <c r="DN121" s="2271"/>
      <c r="DO121" s="2271"/>
      <c r="DP121" s="2271"/>
      <c r="DR121" s="2228" t="s">
        <v>239</v>
      </c>
      <c r="DS121" s="2228"/>
      <c r="DT121" s="2228"/>
      <c r="DU121" s="2228"/>
      <c r="DV121" s="9"/>
      <c r="DX121" s="2274">
        <f>AC14</f>
        <v>0</v>
      </c>
      <c r="DY121" s="2275"/>
      <c r="DZ121" s="2275"/>
      <c r="EA121" s="2275"/>
      <c r="EB121" s="2275"/>
      <c r="EC121" s="2275"/>
      <c r="ED121" s="2276"/>
      <c r="EG121" s="113"/>
      <c r="EM121" s="2264"/>
      <c r="EN121" s="119">
        <v>10</v>
      </c>
      <c r="EO121" s="143" t="str">
        <f>BL87</f>
        <v/>
      </c>
      <c r="EP121" s="121">
        <f>AN87</f>
        <v>0</v>
      </c>
      <c r="EQ121" s="126">
        <f>L87</f>
        <v>0</v>
      </c>
      <c r="ER121" s="119" t="str">
        <f t="shared" si="40"/>
        <v/>
      </c>
      <c r="ES121" s="129" t="str">
        <f>IF(EX112=0,"",IF(ER121="R","",IF(NOT(ER120="R"),ET120,IF(NOT(ER119="R"),ET119,IF(NOT(ER118="R"),ET118,IF(NOT(ER117="R"),ET117,IF(NOT(ER116="R"),ET116,IF(NOT(ER115="R"),ET115,IF(NOT(ER114="R"),ET114,IF(NOT(ER113="R"),ET113,IF(NOT(ER112="R"),ET112,0)))))))))))</f>
        <v/>
      </c>
      <c r="ET121" s="131">
        <f t="shared" si="41"/>
        <v>0</v>
      </c>
      <c r="EU121" s="119">
        <v>10</v>
      </c>
      <c r="EV121" s="121">
        <f>IF(ER121="R",AF87,0)</f>
        <v>0</v>
      </c>
      <c r="EW121" s="2249"/>
      <c r="EX121" s="2249"/>
      <c r="EY121" s="156" t="str">
        <f>IF(H87="","",H87)</f>
        <v/>
      </c>
      <c r="EZ121" s="157" t="str">
        <f t="shared" si="42"/>
        <v/>
      </c>
      <c r="FA121" s="949"/>
      <c r="FB121" s="18"/>
    </row>
    <row r="122" spans="2:160" ht="15" customHeight="1">
      <c r="B122" s="28"/>
      <c r="C122" s="28"/>
      <c r="D122" s="28"/>
      <c r="E122" s="28"/>
      <c r="F122" s="28"/>
      <c r="G122" s="28"/>
      <c r="H122" s="28"/>
      <c r="I122" s="28"/>
      <c r="J122" s="28"/>
      <c r="K122" s="28"/>
      <c r="L122" s="28"/>
      <c r="M122" s="28"/>
      <c r="N122" s="28"/>
      <c r="O122" s="28"/>
      <c r="P122" s="28"/>
      <c r="Q122" s="28"/>
      <c r="R122" s="28"/>
      <c r="S122" s="28"/>
      <c r="T122" s="28"/>
      <c r="U122" s="28"/>
      <c r="V122" s="28"/>
      <c r="W122" s="28"/>
      <c r="X122" s="28"/>
      <c r="Y122" s="28"/>
      <c r="Z122" s="28"/>
      <c r="AA122" s="28"/>
      <c r="AB122" s="28"/>
      <c r="AC122" s="28"/>
      <c r="AD122" s="28"/>
      <c r="AE122" s="28"/>
      <c r="AF122" s="28"/>
      <c r="AG122" s="28"/>
      <c r="AH122" s="28"/>
      <c r="AI122" s="28"/>
      <c r="AJ122" s="28"/>
      <c r="AK122" s="28"/>
      <c r="AL122" s="28"/>
      <c r="AM122" s="28"/>
      <c r="AN122" s="28"/>
      <c r="AO122" s="28"/>
      <c r="AP122" s="28"/>
      <c r="AQ122" s="28"/>
      <c r="AR122" s="28"/>
      <c r="AS122" s="28"/>
      <c r="AT122" s="28"/>
      <c r="AU122" s="28"/>
      <c r="AV122" s="28"/>
      <c r="AW122" s="28"/>
      <c r="AX122" s="28"/>
      <c r="AY122" s="28"/>
      <c r="AZ122" s="28"/>
      <c r="BA122" s="28"/>
      <c r="BB122" s="28"/>
      <c r="BC122" s="28"/>
      <c r="BD122" s="28"/>
      <c r="BE122" s="28"/>
      <c r="BF122" s="28"/>
      <c r="BG122" s="28"/>
      <c r="BH122" s="28"/>
      <c r="BI122" s="28"/>
      <c r="BJ122" s="28"/>
      <c r="BK122" s="2"/>
      <c r="BL122" s="108"/>
      <c r="BP122" s="2331"/>
      <c r="BQ122" s="2332"/>
      <c r="BR122" s="2332"/>
      <c r="BS122" s="2332"/>
      <c r="BT122" s="2332"/>
      <c r="BU122" s="2332"/>
      <c r="BV122" s="2332"/>
      <c r="BW122" s="2332"/>
      <c r="BX122" s="2332"/>
      <c r="BY122" s="2332"/>
      <c r="BZ122" s="2332"/>
      <c r="CA122" s="2332"/>
      <c r="CB122" s="2332"/>
      <c r="CC122" s="2332"/>
      <c r="CD122" s="2333"/>
      <c r="CF122" s="2331"/>
      <c r="CG122" s="2332"/>
      <c r="CH122" s="2332"/>
      <c r="CI122" s="2332"/>
      <c r="CJ122" s="2332"/>
      <c r="CK122" s="2332"/>
      <c r="CL122" s="2332"/>
      <c r="CM122" s="2332"/>
      <c r="CN122" s="2332"/>
      <c r="CO122" s="2332"/>
      <c r="CP122" s="2332"/>
      <c r="CQ122" s="2332"/>
      <c r="CR122" s="2332"/>
      <c r="CS122" s="2332"/>
      <c r="CT122" s="2333"/>
      <c r="DB122" s="8"/>
      <c r="DC122" s="2222"/>
      <c r="DD122" s="2223"/>
      <c r="DE122" s="2220"/>
      <c r="DF122" s="2221"/>
      <c r="DG122" s="2221"/>
      <c r="DH122" s="2221"/>
      <c r="DI122" s="2221"/>
      <c r="DJ122" s="2221"/>
      <c r="DK122" s="2221"/>
      <c r="DL122" s="2269"/>
      <c r="DM122" s="2270"/>
      <c r="DN122" s="2271"/>
      <c r="DO122" s="2271"/>
      <c r="DP122" s="2271"/>
      <c r="DR122" s="2228"/>
      <c r="DS122" s="2228"/>
      <c r="DT122" s="2228"/>
      <c r="DU122" s="2228"/>
      <c r="DV122" s="9"/>
      <c r="DX122" s="2277">
        <f>AR14</f>
        <v>0</v>
      </c>
      <c r="DY122" s="2278"/>
      <c r="DZ122" s="2278"/>
      <c r="EA122" s="2278"/>
      <c r="EB122" s="2278"/>
      <c r="EC122" s="2278"/>
      <c r="ED122" s="2279"/>
      <c r="EG122" s="113">
        <v>1</v>
      </c>
      <c r="EJ122" s="112" t="s">
        <v>112</v>
      </c>
      <c r="EM122" s="2264" t="s">
        <v>192</v>
      </c>
      <c r="EN122" s="117">
        <v>11</v>
      </c>
      <c r="EO122" s="142" t="str">
        <f>'Concr. Pg 2'!BL42</f>
        <v/>
      </c>
      <c r="EP122" s="120">
        <f>'Concr. Pg 2'!AN42</f>
        <v>0</v>
      </c>
      <c r="EQ122" s="125">
        <f>'Concr. Pg 2'!L42</f>
        <v>0</v>
      </c>
      <c r="ER122" s="117" t="str">
        <f t="shared" si="40"/>
        <v/>
      </c>
      <c r="ES122" s="128" t="str">
        <f>IF(EX122=0,"",IF(ER122="R","",IF(NOT(ER121="R"),ET121,IF(NOT(ER120="R"),ET120,IF(NOT(ER119="R"),ET119,IF(NOT(ER118="R"),ET118,IF(NOT(ER117="R"),ET117,IF(NOT(ER116="R"),ET116,IF(NOT(ER115="R"),ET115,IF(NOT(ER114="R"),ET114,IF(NOT(ER113="R"),ET113,IF(NOT(ER112="R"),ET112,0))))))))))))</f>
        <v/>
      </c>
      <c r="ET122" s="134">
        <f t="shared" si="41"/>
        <v>0</v>
      </c>
      <c r="EU122" s="117">
        <v>11</v>
      </c>
      <c r="EV122" s="144">
        <f>IF(ER122="R",'Concr. Pg 2'!AF42,0)</f>
        <v>0</v>
      </c>
      <c r="EW122" s="2256">
        <f>SUM(EV122:EV136)</f>
        <v>0</v>
      </c>
      <c r="EX122" s="2256">
        <f>SUM('Concr. Pg 2'!AF42:AI101)</f>
        <v>0</v>
      </c>
      <c r="EY122" s="156" t="str">
        <f>IF('Concr. Pg 2'!H42="","",'Concr. Pg 2'!H42)</f>
        <v/>
      </c>
      <c r="EZ122" s="157" t="str">
        <f t="shared" si="42"/>
        <v/>
      </c>
      <c r="FA122" s="949"/>
      <c r="FB122" s="18"/>
      <c r="FC122" s="112"/>
    </row>
    <row r="123" spans="2:160" ht="15" customHeight="1">
      <c r="B123" s="28"/>
      <c r="C123" s="28"/>
      <c r="D123" s="28"/>
      <c r="E123" s="28"/>
      <c r="F123" s="28"/>
      <c r="G123" s="28"/>
      <c r="H123" s="28"/>
      <c r="I123" s="28"/>
      <c r="J123" s="28"/>
      <c r="K123" s="28"/>
      <c r="L123" s="28"/>
      <c r="M123" s="28"/>
      <c r="N123" s="28"/>
      <c r="O123" s="28"/>
      <c r="P123" s="28"/>
      <c r="Q123" s="28"/>
      <c r="R123" s="28"/>
      <c r="S123" s="28"/>
      <c r="T123" s="28"/>
      <c r="U123" s="28"/>
      <c r="V123" s="28"/>
      <c r="W123" s="28"/>
      <c r="X123" s="28"/>
      <c r="Y123" s="28"/>
      <c r="Z123" s="28"/>
      <c r="AA123" s="28"/>
      <c r="AB123" s="28"/>
      <c r="AC123" s="28"/>
      <c r="AD123" s="28"/>
      <c r="AE123" s="28"/>
      <c r="AF123" s="28"/>
      <c r="AG123" s="28"/>
      <c r="AH123" s="28"/>
      <c r="AI123" s="28"/>
      <c r="AJ123" s="28"/>
      <c r="AK123" s="28"/>
      <c r="AL123" s="28"/>
      <c r="AM123" s="28"/>
      <c r="AN123" s="28"/>
      <c r="AO123" s="28"/>
      <c r="AP123" s="28"/>
      <c r="AQ123" s="28"/>
      <c r="AR123" s="28"/>
      <c r="AS123" s="28"/>
      <c r="AT123" s="28"/>
      <c r="AU123" s="28"/>
      <c r="AV123" s="28"/>
      <c r="AW123" s="28"/>
      <c r="AX123" s="28"/>
      <c r="AY123" s="28"/>
      <c r="AZ123" s="28"/>
      <c r="BA123" s="28"/>
      <c r="BB123" s="28"/>
      <c r="BC123" s="28"/>
      <c r="BD123" s="28"/>
      <c r="BE123" s="28"/>
      <c r="BF123" s="28"/>
      <c r="BG123" s="28"/>
      <c r="BH123" s="28"/>
      <c r="BI123" s="28"/>
      <c r="BJ123" s="28"/>
      <c r="BK123" s="2"/>
      <c r="BL123" s="108"/>
      <c r="DB123" s="8"/>
      <c r="DC123" s="2222">
        <v>18</v>
      </c>
      <c r="DD123" s="2223"/>
      <c r="DE123" s="2220" t="str">
        <f>'Concr. Pg 2'!BP70</f>
        <v/>
      </c>
      <c r="DF123" s="2221"/>
      <c r="DG123" s="2221"/>
      <c r="DH123" s="2221"/>
      <c r="DI123" s="2221" t="str">
        <f>IF('Concr. Pg 2'!X70="","",DR$41-'Concr. Pg 2'!X70)</f>
        <v/>
      </c>
      <c r="DJ123" s="2221"/>
      <c r="DK123" s="2221"/>
      <c r="DL123" s="2269"/>
      <c r="DM123" s="2270" t="str">
        <f>IF(L$28="","",IF('Concr. Pg 2'!X70="","",L$28-'Concr. Pg 2'!X70))</f>
        <v/>
      </c>
      <c r="DN123" s="2271"/>
      <c r="DO123" s="2271"/>
      <c r="DP123" s="2271"/>
      <c r="DR123" s="2228"/>
      <c r="DS123" s="2228"/>
      <c r="DT123" s="2228"/>
      <c r="DU123" s="2228"/>
      <c r="DV123" s="9"/>
      <c r="DX123" s="2274">
        <f>BH14</f>
        <v>0</v>
      </c>
      <c r="DY123" s="2275"/>
      <c r="DZ123" s="2275"/>
      <c r="EA123" s="2275"/>
      <c r="EB123" s="2275"/>
      <c r="EC123" s="2275"/>
      <c r="ED123" s="2276"/>
      <c r="EG123" s="113">
        <v>2</v>
      </c>
      <c r="EJ123" s="112" t="s">
        <v>172</v>
      </c>
      <c r="EM123" s="2264"/>
      <c r="EN123" s="113">
        <v>12</v>
      </c>
      <c r="EO123" s="140" t="str">
        <f>'Concr. Pg 2'!BL46</f>
        <v/>
      </c>
      <c r="EP123" s="120">
        <f>'Concr. Pg 2'!AN46</f>
        <v>0</v>
      </c>
      <c r="EQ123" s="124">
        <f>'Concr. Pg 2'!L46</f>
        <v>0</v>
      </c>
      <c r="ER123" s="113" t="str">
        <f t="shared" si="40"/>
        <v/>
      </c>
      <c r="ES123" s="128" t="str">
        <f>IF(EX122=0,"",IF(ER123="R","",IF(NOT(ER122="R"),ET122,IF(NOT(ER121="R"),ET121,IF(NOT(ER120="R"),ET120,IF(NOT(ER119="R"),ET119,IF(NOT(ER118="R"),ET118,IF(NOT(ER117="R"),ET117,IF(NOT(ER116="R"),ET116,IF(NOT(ER115="R"),ET115,IF(NOT(ER114="R"),ET114,IF(NOT(ER113="R"),ET113,IF(NOT(ER112="R"),ET112,0)))))))))))))</f>
        <v/>
      </c>
      <c r="ET123" s="133">
        <f t="shared" si="41"/>
        <v>0</v>
      </c>
      <c r="EU123" s="113">
        <v>12</v>
      </c>
      <c r="EV123" s="144">
        <f>IF(ER123="R",'Concr. Pg 2'!AF46,0)</f>
        <v>0</v>
      </c>
      <c r="EW123" s="2256"/>
      <c r="EX123" s="2256"/>
      <c r="EY123" s="156" t="str">
        <f>IF('Concr. Pg 2'!H46="","",'Concr. Pg 2'!H46)</f>
        <v/>
      </c>
      <c r="EZ123" s="157" t="str">
        <f t="shared" si="42"/>
        <v/>
      </c>
      <c r="FA123" s="949"/>
      <c r="FB123" s="18"/>
      <c r="FC123" s="112"/>
    </row>
    <row r="124" spans="2:160" ht="15" customHeight="1">
      <c r="B124" s="28"/>
      <c r="C124" s="28"/>
      <c r="D124" s="28"/>
      <c r="E124" s="28"/>
      <c r="F124" s="28"/>
      <c r="G124" s="28"/>
      <c r="H124" s="28"/>
      <c r="I124" s="28"/>
      <c r="J124" s="28"/>
      <c r="K124" s="28"/>
      <c r="L124" s="28"/>
      <c r="M124" s="28"/>
      <c r="N124" s="28"/>
      <c r="O124" s="28"/>
      <c r="P124" s="28"/>
      <c r="Q124" s="28"/>
      <c r="R124" s="28"/>
      <c r="S124" s="28"/>
      <c r="T124" s="28"/>
      <c r="U124" s="28"/>
      <c r="V124" s="28"/>
      <c r="W124" s="28"/>
      <c r="X124" s="28"/>
      <c r="Y124" s="28"/>
      <c r="Z124" s="28"/>
      <c r="AA124" s="28"/>
      <c r="AB124" s="28"/>
      <c r="AC124" s="28"/>
      <c r="AD124" s="28"/>
      <c r="AE124" s="28"/>
      <c r="AF124" s="28"/>
      <c r="AG124" s="28"/>
      <c r="AH124" s="28"/>
      <c r="AI124" s="28"/>
      <c r="AJ124" s="28"/>
      <c r="AK124" s="28"/>
      <c r="AL124" s="28"/>
      <c r="AM124" s="28"/>
      <c r="AN124" s="28"/>
      <c r="AO124" s="28"/>
      <c r="AP124" s="28"/>
      <c r="AQ124" s="28"/>
      <c r="AR124" s="28"/>
      <c r="AS124" s="28"/>
      <c r="AT124" s="28"/>
      <c r="AU124" s="28"/>
      <c r="AV124" s="28"/>
      <c r="AW124" s="28"/>
      <c r="AX124" s="28"/>
      <c r="AY124" s="28"/>
      <c r="AZ124" s="28"/>
      <c r="BA124" s="28"/>
      <c r="BB124" s="28"/>
      <c r="BC124" s="28"/>
      <c r="BD124" s="28"/>
      <c r="BE124" s="28"/>
      <c r="BF124" s="28"/>
      <c r="BG124" s="28"/>
      <c r="BH124" s="28"/>
      <c r="BI124" s="28"/>
      <c r="BJ124" s="28"/>
      <c r="BK124" s="2"/>
      <c r="BL124" s="108"/>
      <c r="BP124" s="2325" t="s">
        <v>1213</v>
      </c>
      <c r="BQ124" s="2326"/>
      <c r="BR124" s="2326"/>
      <c r="BS124" s="2326"/>
      <c r="BT124" s="2326"/>
      <c r="BU124" s="2326"/>
      <c r="BV124" s="2326"/>
      <c r="BW124" s="2326"/>
      <c r="BX124" s="2326"/>
      <c r="BY124" s="2326"/>
      <c r="BZ124" s="2326"/>
      <c r="CA124" s="2326"/>
      <c r="CB124" s="2326"/>
      <c r="CC124" s="2326"/>
      <c r="CD124" s="2327"/>
      <c r="CF124" s="2325"/>
      <c r="CG124" s="2326"/>
      <c r="CH124" s="2326"/>
      <c r="CI124" s="2326"/>
      <c r="CJ124" s="2326"/>
      <c r="CK124" s="2326"/>
      <c r="CL124" s="2326"/>
      <c r="CM124" s="2326"/>
      <c r="CN124" s="2326"/>
      <c r="CO124" s="2326"/>
      <c r="CP124" s="2326"/>
      <c r="CQ124" s="2326"/>
      <c r="CR124" s="2326"/>
      <c r="CS124" s="2326"/>
      <c r="CT124" s="2327"/>
      <c r="DB124" s="8"/>
      <c r="DC124" s="2222"/>
      <c r="DD124" s="2223"/>
      <c r="DE124" s="2220"/>
      <c r="DF124" s="2221"/>
      <c r="DG124" s="2221"/>
      <c r="DH124" s="2221"/>
      <c r="DI124" s="2221"/>
      <c r="DJ124" s="2221"/>
      <c r="DK124" s="2221"/>
      <c r="DL124" s="2269"/>
      <c r="DM124" s="2270"/>
      <c r="DN124" s="2271"/>
      <c r="DO124" s="2271"/>
      <c r="DP124" s="2271"/>
      <c r="DR124" s="2228"/>
      <c r="DS124" s="2228"/>
      <c r="DT124" s="2228"/>
      <c r="DU124" s="2228"/>
      <c r="DV124" s="9"/>
      <c r="DX124" s="2277">
        <f>BZ14</f>
        <v>0</v>
      </c>
      <c r="DY124" s="2275"/>
      <c r="DZ124" s="2275"/>
      <c r="EA124" s="2275"/>
      <c r="EB124" s="2275"/>
      <c r="EC124" s="2275"/>
      <c r="ED124" s="2276"/>
      <c r="EG124" s="113">
        <v>3</v>
      </c>
      <c r="EH124" s="1873" t="s">
        <v>126</v>
      </c>
      <c r="EI124" s="1873"/>
      <c r="EJ124" s="140">
        <f>I102</f>
        <v>0</v>
      </c>
      <c r="EM124" s="2264"/>
      <c r="EN124" s="113">
        <v>13</v>
      </c>
      <c r="EO124" s="140" t="str">
        <f>'Concr. Pg 2'!BL50</f>
        <v/>
      </c>
      <c r="EP124" s="120">
        <f>'Concr. Pg 2'!AN50</f>
        <v>0</v>
      </c>
      <c r="EQ124" s="124">
        <f>'Concr. Pg 2'!L50</f>
        <v>0</v>
      </c>
      <c r="ER124" s="113" t="str">
        <f t="shared" si="40"/>
        <v/>
      </c>
      <c r="ES124" s="128" t="str">
        <f>IF(EX122=0,"",IF(ER124="R","",IF(NOT(ER123="R"),ET123,IF(NOT(ER122="R"),ET122,IF(NOT(ER121="R"),ET121,IF(NOT(ER120="R"),ET120,IF(NOT(ER119="R"),ET119,IF(NOT(ER118="R"),ET118,IF(NOT(ER117="R"),ET117,IF(NOT(ER116="R"),ET116,IF(NOT(ER115="R"),ET115,IF(NOT(ER114="R"),ET114,IF(NOT(ER113="R"),ET113,IF(NOT(ER112="R"),ET112,0))))))))))))))</f>
        <v/>
      </c>
      <c r="ET124" s="133">
        <f t="shared" si="41"/>
        <v>0</v>
      </c>
      <c r="EU124" s="113">
        <v>13</v>
      </c>
      <c r="EV124" s="144">
        <f>IF(ER124="R",'Concr. Pg 2'!AF50,0)</f>
        <v>0</v>
      </c>
      <c r="EW124" s="2256"/>
      <c r="EX124" s="2256"/>
      <c r="EY124" s="156" t="str">
        <f>IF('Concr. Pg 2'!H50="","",'Concr. Pg 2'!H50)</f>
        <v/>
      </c>
      <c r="EZ124" s="157" t="str">
        <f t="shared" si="42"/>
        <v/>
      </c>
      <c r="FA124" s="949"/>
      <c r="FB124" s="18"/>
      <c r="FC124" s="112"/>
    </row>
    <row r="125" spans="2:160" ht="15" customHeight="1">
      <c r="B125" s="29"/>
      <c r="C125" s="28"/>
      <c r="D125" s="28"/>
      <c r="E125" s="28"/>
      <c r="F125" s="28"/>
      <c r="G125" s="28"/>
      <c r="H125" s="28"/>
      <c r="I125" s="28"/>
      <c r="J125" s="28"/>
      <c r="K125" s="28"/>
      <c r="L125" s="28"/>
      <c r="M125" s="28"/>
      <c r="N125" s="28"/>
      <c r="O125" s="28"/>
      <c r="P125" s="28"/>
      <c r="Q125" s="28"/>
      <c r="R125" s="28"/>
      <c r="S125" s="28"/>
      <c r="T125" s="28"/>
      <c r="U125" s="28"/>
      <c r="V125" s="28"/>
      <c r="W125" s="28"/>
      <c r="X125" s="28"/>
      <c r="Y125" s="28"/>
      <c r="Z125" s="28"/>
      <c r="AA125" s="28"/>
      <c r="AB125" s="28"/>
      <c r="AC125" s="28"/>
      <c r="AD125" s="28"/>
      <c r="AE125" s="28"/>
      <c r="AF125" s="28"/>
      <c r="AG125" s="28"/>
      <c r="AH125" s="28"/>
      <c r="AI125" s="28"/>
      <c r="AJ125" s="28"/>
      <c r="AK125" s="28"/>
      <c r="AL125" s="28"/>
      <c r="AM125" s="28"/>
      <c r="AN125" s="28"/>
      <c r="AO125" s="28"/>
      <c r="AP125" s="28"/>
      <c r="AQ125" s="28"/>
      <c r="AR125" s="28"/>
      <c r="AS125" s="28"/>
      <c r="AT125" s="28"/>
      <c r="AU125" s="28"/>
      <c r="AV125" s="28"/>
      <c r="AW125" s="28"/>
      <c r="AX125" s="28"/>
      <c r="AY125" s="28"/>
      <c r="AZ125" s="28"/>
      <c r="BA125" s="28"/>
      <c r="BB125" s="28"/>
      <c r="BC125" s="28"/>
      <c r="BD125" s="28"/>
      <c r="BE125" s="28"/>
      <c r="BF125" s="28"/>
      <c r="BG125" s="28"/>
      <c r="BH125" s="28"/>
      <c r="BI125" s="28"/>
      <c r="BJ125" s="28"/>
      <c r="BK125" s="2"/>
      <c r="BL125" s="108"/>
      <c r="BP125" s="2328"/>
      <c r="BQ125" s="2329"/>
      <c r="BR125" s="2329"/>
      <c r="BS125" s="2329"/>
      <c r="BT125" s="2329"/>
      <c r="BU125" s="2329"/>
      <c r="BV125" s="2329"/>
      <c r="BW125" s="2329"/>
      <c r="BX125" s="2329"/>
      <c r="BY125" s="2329"/>
      <c r="BZ125" s="2329"/>
      <c r="CA125" s="2329"/>
      <c r="CB125" s="2329"/>
      <c r="CC125" s="2329"/>
      <c r="CD125" s="2330"/>
      <c r="CF125" s="2328"/>
      <c r="CG125" s="2329"/>
      <c r="CH125" s="2329"/>
      <c r="CI125" s="2329"/>
      <c r="CJ125" s="2329"/>
      <c r="CK125" s="2329"/>
      <c r="CL125" s="2329"/>
      <c r="CM125" s="2329"/>
      <c r="CN125" s="2329"/>
      <c r="CO125" s="2329"/>
      <c r="CP125" s="2329"/>
      <c r="CQ125" s="2329"/>
      <c r="CR125" s="2329"/>
      <c r="CS125" s="2329"/>
      <c r="CT125" s="2330"/>
      <c r="DB125" s="8"/>
      <c r="DC125" s="2222"/>
      <c r="DD125" s="2223"/>
      <c r="DE125" s="2220"/>
      <c r="DF125" s="2221"/>
      <c r="DG125" s="2221"/>
      <c r="DH125" s="2221"/>
      <c r="DI125" s="2221"/>
      <c r="DJ125" s="2221"/>
      <c r="DK125" s="2221"/>
      <c r="DL125" s="2269"/>
      <c r="DM125" s="2270"/>
      <c r="DN125" s="2271"/>
      <c r="DO125" s="2271"/>
      <c r="DP125" s="2271"/>
      <c r="DV125" s="9"/>
      <c r="DX125" s="12" t="s">
        <v>148</v>
      </c>
      <c r="DY125" s="13"/>
      <c r="DZ125" s="13"/>
      <c r="EA125" s="13"/>
      <c r="EB125" s="13"/>
      <c r="EC125" s="13"/>
      <c r="ED125" s="14"/>
      <c r="EG125" s="113">
        <v>4</v>
      </c>
      <c r="EH125" s="1873" t="s">
        <v>169</v>
      </c>
      <c r="EI125" s="1873"/>
      <c r="EJ125" s="140">
        <f>O102</f>
        <v>0</v>
      </c>
      <c r="EM125" s="2264"/>
      <c r="EN125" s="113">
        <v>14</v>
      </c>
      <c r="EO125" s="140" t="str">
        <f>'Concr. Pg 2'!BL54</f>
        <v/>
      </c>
      <c r="EP125" s="120">
        <f>'Concr. Pg 2'!AN54</f>
        <v>0</v>
      </c>
      <c r="EQ125" s="124">
        <f>'Concr. Pg 2'!L54</f>
        <v>0</v>
      </c>
      <c r="ER125" s="113" t="str">
        <f t="shared" si="40"/>
        <v/>
      </c>
      <c r="ES125" s="128" t="str">
        <f>IF(EX122=0,"",IF(ER125="R","",IF(NOT(ER124="R"),ET124,IF(NOT(ER123="R"),ET123,IF(NOT(ER122="R"),ET122,IF(NOT(ER121="R"),ET121,IF(NOT(ER120="R"),ET120,IF(NOT(ER119="R"),ET119,IF(NOT(ER118="R"),ET118,IF(NOT(ER117="R"),ET117,IF(NOT(ER116="R"),ET116,IF(NOT(ER115="R"),ET115,IF(NOT(ER114="R"),ET114,IF(NOT(ER113="R"),ET113,IF(NOT(ER112="R"),ET112,0)))))))))))))))</f>
        <v/>
      </c>
      <c r="ET125" s="133">
        <f t="shared" si="41"/>
        <v>0</v>
      </c>
      <c r="EU125" s="113">
        <v>14</v>
      </c>
      <c r="EV125" s="144">
        <f>IF(ER125="R",'Concr. Pg 2'!AF54,0)</f>
        <v>0</v>
      </c>
      <c r="EW125" s="2256"/>
      <c r="EX125" s="2256"/>
      <c r="EY125" s="156" t="str">
        <f>IF('Concr. Pg 2'!H54="","",'Concr. Pg 2'!H54)</f>
        <v/>
      </c>
      <c r="EZ125" s="157" t="str">
        <f t="shared" si="42"/>
        <v/>
      </c>
      <c r="FA125" s="949"/>
      <c r="FB125" s="18"/>
      <c r="FC125" s="112"/>
    </row>
    <row r="126" spans="2:160" ht="15" customHeight="1">
      <c r="B126" s="29"/>
      <c r="C126" s="26"/>
      <c r="D126" s="26"/>
      <c r="E126" s="26"/>
      <c r="F126" s="26"/>
      <c r="G126" s="26"/>
      <c r="H126" s="26"/>
      <c r="I126" s="26"/>
      <c r="J126" s="26"/>
      <c r="K126" s="26"/>
      <c r="L126" s="26"/>
      <c r="M126" s="26"/>
      <c r="N126" s="26"/>
      <c r="O126" s="26"/>
      <c r="P126" s="26"/>
      <c r="Q126" s="26"/>
      <c r="R126" s="26"/>
      <c r="S126" s="26"/>
      <c r="T126" s="26"/>
      <c r="U126" s="26"/>
      <c r="V126" s="26"/>
      <c r="W126" s="26"/>
      <c r="X126" s="26"/>
      <c r="Y126" s="26"/>
      <c r="Z126" s="26"/>
      <c r="AA126" s="26"/>
      <c r="AB126" s="26"/>
      <c r="AC126" s="26"/>
      <c r="AD126" s="26"/>
      <c r="AE126" s="26"/>
      <c r="AF126" s="26"/>
      <c r="AG126" s="26"/>
      <c r="AH126" s="26"/>
      <c r="AI126" s="26"/>
      <c r="AJ126" s="26"/>
      <c r="AK126" s="26"/>
      <c r="AL126" s="26"/>
      <c r="AM126" s="26"/>
      <c r="AN126" s="26"/>
      <c r="AO126" s="26"/>
      <c r="AP126" s="26"/>
      <c r="AQ126" s="26"/>
      <c r="AR126" s="26"/>
      <c r="AS126" s="26"/>
      <c r="AT126" s="26"/>
      <c r="AU126" s="26"/>
      <c r="AV126" s="26"/>
      <c r="AW126" s="26"/>
      <c r="AX126" s="26"/>
      <c r="AY126" s="26"/>
      <c r="AZ126" s="26"/>
      <c r="BA126" s="26"/>
      <c r="BB126" s="26"/>
      <c r="BC126" s="26"/>
      <c r="BD126" s="26"/>
      <c r="BE126" s="26"/>
      <c r="BL126" s="108"/>
      <c r="BP126" s="2328"/>
      <c r="BQ126" s="2329"/>
      <c r="BR126" s="2329"/>
      <c r="BS126" s="2329"/>
      <c r="BT126" s="2329"/>
      <c r="BU126" s="2329"/>
      <c r="BV126" s="2329"/>
      <c r="BW126" s="2329"/>
      <c r="BX126" s="2329"/>
      <c r="BY126" s="2329"/>
      <c r="BZ126" s="2329"/>
      <c r="CA126" s="2329"/>
      <c r="CB126" s="2329"/>
      <c r="CC126" s="2329"/>
      <c r="CD126" s="2330"/>
      <c r="CF126" s="2328"/>
      <c r="CG126" s="2329"/>
      <c r="CH126" s="2329"/>
      <c r="CI126" s="2329"/>
      <c r="CJ126" s="2329"/>
      <c r="CK126" s="2329"/>
      <c r="CL126" s="2329"/>
      <c r="CM126" s="2329"/>
      <c r="CN126" s="2329"/>
      <c r="CO126" s="2329"/>
      <c r="CP126" s="2329"/>
      <c r="CQ126" s="2329"/>
      <c r="CR126" s="2329"/>
      <c r="CS126" s="2329"/>
      <c r="CT126" s="2330"/>
      <c r="DB126" s="8"/>
      <c r="DC126" s="2222"/>
      <c r="DD126" s="2223"/>
      <c r="DE126" s="2220"/>
      <c r="DF126" s="2221"/>
      <c r="DG126" s="2221"/>
      <c r="DH126" s="2221"/>
      <c r="DI126" s="2221"/>
      <c r="DJ126" s="2221"/>
      <c r="DK126" s="2221"/>
      <c r="DL126" s="2269"/>
      <c r="DM126" s="2270"/>
      <c r="DN126" s="2271"/>
      <c r="DO126" s="2271"/>
      <c r="DP126" s="2271"/>
      <c r="DV126" s="9"/>
      <c r="DX126" s="12" t="s">
        <v>190</v>
      </c>
      <c r="DY126" s="13"/>
      <c r="DZ126" s="13"/>
      <c r="EA126" s="13"/>
      <c r="EB126" s="13"/>
      <c r="EC126" s="13"/>
      <c r="ED126" s="14"/>
      <c r="EG126" s="113">
        <v>5</v>
      </c>
      <c r="EH126" s="1873" t="s">
        <v>170</v>
      </c>
      <c r="EI126" s="1873"/>
      <c r="EJ126" s="140">
        <f>V102</f>
        <v>0</v>
      </c>
      <c r="EM126" s="2264"/>
      <c r="EN126" s="113">
        <v>15</v>
      </c>
      <c r="EO126" s="140" t="str">
        <f>'Concr. Pg 2'!BL58</f>
        <v/>
      </c>
      <c r="EP126" s="120">
        <f>'Concr. Pg 2'!AN58</f>
        <v>0</v>
      </c>
      <c r="EQ126" s="124">
        <f>'Concr. Pg 2'!L58</f>
        <v>0</v>
      </c>
      <c r="ER126" s="113" t="str">
        <f t="shared" si="40"/>
        <v/>
      </c>
      <c r="ES126" s="128" t="str">
        <f>IF(EX122=0,"",IF(ER126="R","",IF(NOT(ER125="R"),ET125,IF(NOT(ER124="R"),ET124,IF(NOT(ER123="R"),ET123,IF(NOT(ER122="R"),ET122,IF(NOT(ER121="R"),ET121,IF(NOT(ER120="R"),ET120,IF(NOT(ER119="R"),ET119,IF(NOT(ER118="R"),ET118,IF(NOT(ER117="R"),ET117,IF(NOT(ER116="R"),ET116,IF(NOT(ER115="R"),ET115,IF(NOT(ER114="R"),ET114,IF(NOT(ER113="R"),ET113,IF(NOT(ER112="R"),ET112,0))))))))))))))))</f>
        <v/>
      </c>
      <c r="ET126" s="133">
        <f t="shared" si="41"/>
        <v>0</v>
      </c>
      <c r="EU126" s="113">
        <v>15</v>
      </c>
      <c r="EV126" s="144">
        <f>IF(ER126="R",'Concr. Pg 2'!AF58,0)</f>
        <v>0</v>
      </c>
      <c r="EW126" s="2256"/>
      <c r="EX126" s="2256"/>
      <c r="EY126" s="156" t="str">
        <f>IF('Concr. Pg 2'!H58="","",'Concr. Pg 2'!H58)</f>
        <v/>
      </c>
      <c r="EZ126" s="157" t="str">
        <f t="shared" si="42"/>
        <v/>
      </c>
      <c r="FA126" s="949"/>
      <c r="FB126" s="18"/>
      <c r="FC126" s="112"/>
    </row>
    <row r="127" spans="2:160" ht="15" customHeight="1">
      <c r="BL127" s="108"/>
      <c r="BP127" s="2331"/>
      <c r="BQ127" s="2332"/>
      <c r="BR127" s="2332"/>
      <c r="BS127" s="2332"/>
      <c r="BT127" s="2332"/>
      <c r="BU127" s="2332"/>
      <c r="BV127" s="2332"/>
      <c r="BW127" s="2332"/>
      <c r="BX127" s="2332"/>
      <c r="BY127" s="2332"/>
      <c r="BZ127" s="2332"/>
      <c r="CA127" s="2332"/>
      <c r="CB127" s="2332"/>
      <c r="CC127" s="2332"/>
      <c r="CD127" s="2333"/>
      <c r="CF127" s="2331"/>
      <c r="CG127" s="2332"/>
      <c r="CH127" s="2332"/>
      <c r="CI127" s="2332"/>
      <c r="CJ127" s="2332"/>
      <c r="CK127" s="2332"/>
      <c r="CL127" s="2332"/>
      <c r="CM127" s="2332"/>
      <c r="CN127" s="2332"/>
      <c r="CO127" s="2332"/>
      <c r="CP127" s="2332"/>
      <c r="CQ127" s="2332"/>
      <c r="CR127" s="2332"/>
      <c r="CS127" s="2332"/>
      <c r="CT127" s="2333"/>
      <c r="DB127" s="8"/>
      <c r="DC127" s="2222">
        <v>19</v>
      </c>
      <c r="DD127" s="2223"/>
      <c r="DE127" s="2220" t="str">
        <f>'Concr. Pg 2'!BP74</f>
        <v/>
      </c>
      <c r="DF127" s="2221"/>
      <c r="DG127" s="2221"/>
      <c r="DH127" s="2221"/>
      <c r="DI127" s="2221" t="str">
        <f>IF('Concr. Pg 2'!X74="","",DR$41-'Concr. Pg 2'!X74)</f>
        <v/>
      </c>
      <c r="DJ127" s="2221"/>
      <c r="DK127" s="2221"/>
      <c r="DL127" s="2269"/>
      <c r="DM127" s="2270" t="str">
        <f>IF(L$28="","",IF('Concr. Pg 2'!X74="","",L$28-'Concr. Pg 2'!X74))</f>
        <v/>
      </c>
      <c r="DN127" s="2271"/>
      <c r="DO127" s="2271"/>
      <c r="DP127" s="2271"/>
      <c r="DV127" s="9"/>
      <c r="DX127" s="12"/>
      <c r="DY127" s="13"/>
      <c r="DZ127" s="13"/>
      <c r="EA127" s="13"/>
      <c r="EB127" s="13"/>
      <c r="EC127" s="13"/>
      <c r="ED127" s="14"/>
      <c r="EG127" s="113">
        <v>6</v>
      </c>
      <c r="EH127" s="1873" t="s">
        <v>171</v>
      </c>
      <c r="EI127" s="1873"/>
      <c r="EJ127" s="140">
        <f>EJ125-EJ126</f>
        <v>0</v>
      </c>
      <c r="EM127" s="2264"/>
      <c r="EN127" s="113">
        <v>16</v>
      </c>
      <c r="EO127" s="140" t="str">
        <f>'Concr. Pg 2'!BL62</f>
        <v/>
      </c>
      <c r="EP127" s="120">
        <f>'Concr. Pg 2'!AN62</f>
        <v>0</v>
      </c>
      <c r="EQ127" s="124">
        <f>'Concr. Pg 2'!L62</f>
        <v>0</v>
      </c>
      <c r="ER127" s="113" t="str">
        <f t="shared" si="40"/>
        <v/>
      </c>
      <c r="ES127" s="128" t="str">
        <f>IF(EX122=0,"",IF(ER127="R","",IF(NOT(ER126="R"),ET126,IF(NOT(ER125="R"),ET125,IF(NOT(ER124="R"),ET124,IF(NOT(ER123="R"),ET123,IF(NOT(ER122="R"),ET122,IF(NOT(ER121="R"),ET121,IF(NOT(ER120="R"),ET120,IF(NOT(ER119="R"),ET119,IF(NOT(ER118="R"),ET118,IF(NOT(ER117="R"),ET117,IF(NOT(ER116="R"),ET116,IF(NOT(ER115="R"),ET115,IF(NOT(ER114="R"),ET114,IF(NOT(ER113="R"),ET113,IF(NOT(ER112="R"),ET112,0)))))))))))))))))</f>
        <v/>
      </c>
      <c r="ET127" s="133">
        <f t="shared" si="41"/>
        <v>0</v>
      </c>
      <c r="EU127" s="113">
        <v>16</v>
      </c>
      <c r="EV127" s="144">
        <f>IF(ER127="R",'Concr. Pg 2'!AF62,0)</f>
        <v>0</v>
      </c>
      <c r="EW127" s="2256"/>
      <c r="EX127" s="2256"/>
      <c r="EY127" s="156" t="str">
        <f>IF('Concr. Pg 2'!H62="","",'Concr. Pg 2'!H62)</f>
        <v/>
      </c>
      <c r="EZ127" s="157" t="str">
        <f t="shared" si="42"/>
        <v/>
      </c>
      <c r="FA127" s="949"/>
      <c r="FB127" s="18"/>
      <c r="FC127" s="112"/>
    </row>
    <row r="128" spans="2:160" ht="15" customHeight="1">
      <c r="BL128" s="108"/>
      <c r="DB128" s="8"/>
      <c r="DC128" s="2222"/>
      <c r="DD128" s="2223"/>
      <c r="DE128" s="2220"/>
      <c r="DF128" s="2221"/>
      <c r="DG128" s="2221"/>
      <c r="DH128" s="2221"/>
      <c r="DI128" s="2221"/>
      <c r="DJ128" s="2221"/>
      <c r="DK128" s="2221"/>
      <c r="DL128" s="2269"/>
      <c r="DM128" s="2270"/>
      <c r="DN128" s="2271"/>
      <c r="DO128" s="2271"/>
      <c r="DP128" s="2271"/>
      <c r="DV128" s="9"/>
      <c r="ED128" s="24"/>
      <c r="EE128" s="24"/>
      <c r="EF128" s="24"/>
      <c r="EG128" s="113">
        <v>7</v>
      </c>
      <c r="EM128" s="2264"/>
      <c r="EN128" s="113">
        <v>17</v>
      </c>
      <c r="EO128" s="140" t="str">
        <f>'Concr. Pg 2'!BL66</f>
        <v/>
      </c>
      <c r="EP128" s="120">
        <f>'Concr. Pg 2'!AN66</f>
        <v>0</v>
      </c>
      <c r="EQ128" s="124">
        <f>'Concr. Pg 2'!L66</f>
        <v>0</v>
      </c>
      <c r="ER128" s="113" t="str">
        <f t="shared" si="40"/>
        <v/>
      </c>
      <c r="ES128" s="128" t="str">
        <f>IF(EX122=0,"",IF(ER128="R","",IF(NOT(ER127="R"),ET127,IF(NOT(ER126="R"),ET126,IF(NOT(ER125="R"),ET125,IF(NOT(ER124="R"),ET124,IF(NOT(ER123="R"),ET123,IF(NOT(ER122="R"),ET122,IF(NOT(ER121="R"),ET121,IF(NOT(ER120="R"),ET120,IF(NOT(ER119="R"),ET119,IF(NOT(ER118="R"),ET118,IF(NOT(ER117="R"),ET117,IF(NOT(ER116="R"),ET116,IF(NOT(ER115="R"),ET115,IF(NOT(ER114="R"),ET114,IF(NOT(ER113="R"),ET113,IF(NOT(ER112="R"),ET112,0))))))))))))))))))</f>
        <v/>
      </c>
      <c r="ET128" s="133">
        <f t="shared" si="41"/>
        <v>0</v>
      </c>
      <c r="EU128" s="113">
        <v>17</v>
      </c>
      <c r="EV128" s="144">
        <f>IF(ER128="R",'Concr. Pg 2'!AF66,0)</f>
        <v>0</v>
      </c>
      <c r="EW128" s="2256"/>
      <c r="EX128" s="2256"/>
      <c r="EY128" s="156" t="str">
        <f>IF('Concr. Pg 2'!H66="","",'Concr. Pg 2'!H66)</f>
        <v/>
      </c>
      <c r="EZ128" s="157" t="str">
        <f t="shared" si="42"/>
        <v/>
      </c>
      <c r="FA128" s="949"/>
      <c r="FB128" s="18"/>
      <c r="FC128" s="112"/>
    </row>
    <row r="129" spans="64:159" ht="15" customHeight="1">
      <c r="BL129" s="108"/>
      <c r="BP129" s="2325" t="s">
        <v>1214</v>
      </c>
      <c r="BQ129" s="2326"/>
      <c r="BR129" s="2326"/>
      <c r="BS129" s="2326"/>
      <c r="BT129" s="2326"/>
      <c r="BU129" s="2326"/>
      <c r="BV129" s="2326"/>
      <c r="BW129" s="2326"/>
      <c r="BX129" s="2326"/>
      <c r="BY129" s="2326"/>
      <c r="BZ129" s="2326"/>
      <c r="CA129" s="2326"/>
      <c r="CB129" s="2326"/>
      <c r="CC129" s="2326"/>
      <c r="CD129" s="2327"/>
      <c r="CF129" s="2325"/>
      <c r="CG129" s="2326"/>
      <c r="CH129" s="2326"/>
      <c r="CI129" s="2326"/>
      <c r="CJ129" s="2326"/>
      <c r="CK129" s="2326"/>
      <c r="CL129" s="2326"/>
      <c r="CM129" s="2326"/>
      <c r="CN129" s="2326"/>
      <c r="CO129" s="2326"/>
      <c r="CP129" s="2326"/>
      <c r="CQ129" s="2326"/>
      <c r="CR129" s="2326"/>
      <c r="CS129" s="2326"/>
      <c r="CT129" s="2327"/>
      <c r="DB129" s="8"/>
      <c r="DC129" s="2222"/>
      <c r="DD129" s="2223"/>
      <c r="DE129" s="2220"/>
      <c r="DF129" s="2221"/>
      <c r="DG129" s="2221"/>
      <c r="DH129" s="2221"/>
      <c r="DI129" s="2221"/>
      <c r="DJ129" s="2221"/>
      <c r="DK129" s="2221"/>
      <c r="DL129" s="2269"/>
      <c r="DM129" s="2270"/>
      <c r="DN129" s="2271"/>
      <c r="DO129" s="2271"/>
      <c r="DP129" s="2271"/>
      <c r="DV129" s="9"/>
      <c r="DX129" s="2718" t="s">
        <v>221</v>
      </c>
      <c r="DY129" s="2718"/>
      <c r="DZ129" s="2718"/>
      <c r="EA129" s="2718"/>
      <c r="EB129" s="2718"/>
      <c r="EC129" s="2718"/>
      <c r="ED129" s="2718"/>
      <c r="EE129" s="24"/>
      <c r="EF129" s="24"/>
      <c r="EG129" s="113">
        <v>8</v>
      </c>
      <c r="EJ129" s="112" t="s">
        <v>113</v>
      </c>
      <c r="EM129" s="2264"/>
      <c r="EN129" s="113">
        <v>18</v>
      </c>
      <c r="EO129" s="140" t="str">
        <f>'Concr. Pg 2'!BL70</f>
        <v/>
      </c>
      <c r="EP129" s="120">
        <f>'Concr. Pg 2'!AN70</f>
        <v>0</v>
      </c>
      <c r="EQ129" s="124">
        <f>'Concr. Pg 2'!L70</f>
        <v>0</v>
      </c>
      <c r="ER129" s="113" t="str">
        <f t="shared" si="40"/>
        <v/>
      </c>
      <c r="ES129" s="128" t="str">
        <f>IF(EX122=0,"",IF(ER129="R","",IF(NOT(ER128="R"),ET128,IF(NOT(ER127="R"),ET127,IF(NOT(ER126="R"),ET126,IF(NOT(ER125="R"),ET125,IF(NOT(ER124="R"),ET124,IF(NOT(ER123="R"),ET123,IF(NOT(ER122="R"),ET122,IF(NOT(ER121="R"),ET121,IF(NOT(ER120="R"),ET120,IF(NOT(ER119="R"),ET119,IF(NOT(ER118="R"),ET118,IF(NOT(ER117="R"),ET117,IF(NOT(ER116="R"),ET116,IF(NOT(ER115="R"),ET115,IF(NOT(ER114="R"),ET114,IF(NOT(ER113="R"),ET113,IF(NOT(ER112="R"),ET112,0)))))))))))))))))))</f>
        <v/>
      </c>
      <c r="ET129" s="133">
        <f t="shared" si="41"/>
        <v>0</v>
      </c>
      <c r="EU129" s="113">
        <v>18</v>
      </c>
      <c r="EV129" s="144">
        <f>IF(ER129="R",'Concr. Pg 2'!AF70,0)</f>
        <v>0</v>
      </c>
      <c r="EW129" s="2256"/>
      <c r="EX129" s="2256"/>
      <c r="EY129" s="156" t="str">
        <f>IF('Concr. Pg 2'!H70="","",'Concr. Pg 2'!H70)</f>
        <v/>
      </c>
      <c r="EZ129" s="157" t="str">
        <f t="shared" si="42"/>
        <v/>
      </c>
      <c r="FA129" s="949"/>
      <c r="FB129" s="18"/>
      <c r="FC129" s="112"/>
    </row>
    <row r="130" spans="64:159" ht="15" customHeight="1">
      <c r="BL130" s="108"/>
      <c r="BP130" s="2328"/>
      <c r="BQ130" s="2329"/>
      <c r="BR130" s="2329"/>
      <c r="BS130" s="2329"/>
      <c r="BT130" s="2329"/>
      <c r="BU130" s="2329"/>
      <c r="BV130" s="2329"/>
      <c r="BW130" s="2329"/>
      <c r="BX130" s="2329"/>
      <c r="BY130" s="2329"/>
      <c r="BZ130" s="2329"/>
      <c r="CA130" s="2329"/>
      <c r="CB130" s="2329"/>
      <c r="CC130" s="2329"/>
      <c r="CD130" s="2330"/>
      <c r="CF130" s="2328"/>
      <c r="CG130" s="2329"/>
      <c r="CH130" s="2329"/>
      <c r="CI130" s="2329"/>
      <c r="CJ130" s="2329"/>
      <c r="CK130" s="2329"/>
      <c r="CL130" s="2329"/>
      <c r="CM130" s="2329"/>
      <c r="CN130" s="2329"/>
      <c r="CO130" s="2329"/>
      <c r="CP130" s="2329"/>
      <c r="CQ130" s="2329"/>
      <c r="CR130" s="2329"/>
      <c r="CS130" s="2329"/>
      <c r="CT130" s="2330"/>
      <c r="DB130" s="8"/>
      <c r="DC130" s="2222"/>
      <c r="DD130" s="2223"/>
      <c r="DE130" s="2220"/>
      <c r="DF130" s="2221"/>
      <c r="DG130" s="2221"/>
      <c r="DH130" s="2221"/>
      <c r="DI130" s="2221"/>
      <c r="DJ130" s="2221"/>
      <c r="DK130" s="2221"/>
      <c r="DL130" s="2269"/>
      <c r="DM130" s="2270"/>
      <c r="DN130" s="2271"/>
      <c r="DO130" s="2271"/>
      <c r="DP130" s="2271"/>
      <c r="DV130" s="9"/>
      <c r="DX130" s="2224" t="s">
        <v>132</v>
      </c>
      <c r="DY130" s="2225"/>
      <c r="DZ130" s="2225"/>
      <c r="EA130" s="2225"/>
      <c r="EB130" s="2225"/>
      <c r="EC130" s="2226"/>
      <c r="ED130" s="24"/>
      <c r="EE130" s="24"/>
      <c r="EF130" s="24"/>
      <c r="EG130" s="113">
        <v>9</v>
      </c>
      <c r="EJ130" s="112" t="s">
        <v>173</v>
      </c>
      <c r="EM130" s="2264"/>
      <c r="EN130" s="113">
        <v>19</v>
      </c>
      <c r="EO130" s="140" t="str">
        <f>'Concr. Pg 2'!BL74</f>
        <v/>
      </c>
      <c r="EP130" s="120">
        <f>'Concr. Pg 2'!AN74</f>
        <v>0</v>
      </c>
      <c r="EQ130" s="124">
        <f>'Concr. Pg 2'!L74</f>
        <v>0</v>
      </c>
      <c r="ER130" s="113" t="str">
        <f t="shared" si="40"/>
        <v/>
      </c>
      <c r="ES130" s="128" t="str">
        <f>IF(EX122=0,"",IF(ER130="R","",IF(NOT(ER129="R"),ET129,IF(NOT(ER128="R"),ET128,IF(NOT(ER127="R"),ET127,IF(NOT(ER126="R"),ET126,IF(NOT(ER125="R"),ET125,IF(NOT(ER124="R"),ET124,IF(NOT(ER123="R"),ET123,IF(NOT(ER122="R"),ET122,IF(NOT(ER121="R"),ET121,IF(NOT(ER120="R"),ET120,IF(NOT(ER119="R"),ET119,IF(NOT(ER118="R"),ET118,IF(NOT(ER117="R"),ET117,IF(NOT(ER116="R"),ET116,IF(NOT(ER115="R"),ET115,IF(NOT(ER114="R"),ET114,IF(NOT(ER113="R"),ET113,IF(NOT(ER112="R"),ET112,0))))))))))))))))))))</f>
        <v/>
      </c>
      <c r="ET130" s="133">
        <f t="shared" si="41"/>
        <v>0</v>
      </c>
      <c r="EU130" s="113">
        <v>19</v>
      </c>
      <c r="EV130" s="144">
        <f>IF(ER130="R",'Concr. Pg 2'!AF74,0)</f>
        <v>0</v>
      </c>
      <c r="EW130" s="2256"/>
      <c r="EX130" s="2256"/>
      <c r="EY130" s="156" t="str">
        <f>IF('Concr. Pg 2'!H74="","",'Concr. Pg 2'!H74)</f>
        <v/>
      </c>
      <c r="EZ130" s="157" t="str">
        <f t="shared" si="42"/>
        <v/>
      </c>
      <c r="FA130" s="949"/>
      <c r="FB130" s="18"/>
      <c r="FC130" s="112"/>
    </row>
    <row r="131" spans="64:159" ht="15" customHeight="1">
      <c r="BP131" s="2328"/>
      <c r="BQ131" s="2329"/>
      <c r="BR131" s="2329"/>
      <c r="BS131" s="2329"/>
      <c r="BT131" s="2329"/>
      <c r="BU131" s="2329"/>
      <c r="BV131" s="2329"/>
      <c r="BW131" s="2329"/>
      <c r="BX131" s="2329"/>
      <c r="BY131" s="2329"/>
      <c r="BZ131" s="2329"/>
      <c r="CA131" s="2329"/>
      <c r="CB131" s="2329"/>
      <c r="CC131" s="2329"/>
      <c r="CD131" s="2330"/>
      <c r="CF131" s="2328"/>
      <c r="CG131" s="2329"/>
      <c r="CH131" s="2329"/>
      <c r="CI131" s="2329"/>
      <c r="CJ131" s="2329"/>
      <c r="CK131" s="2329"/>
      <c r="CL131" s="2329"/>
      <c r="CM131" s="2329"/>
      <c r="CN131" s="2329"/>
      <c r="CO131" s="2329"/>
      <c r="CP131" s="2329"/>
      <c r="CQ131" s="2329"/>
      <c r="CR131" s="2329"/>
      <c r="CS131" s="2329"/>
      <c r="CT131" s="2330"/>
      <c r="DB131" s="8"/>
      <c r="DC131" s="2222">
        <v>20</v>
      </c>
      <c r="DD131" s="2223"/>
      <c r="DE131" s="2220" t="str">
        <f>'Concr. Pg 2'!BP78</f>
        <v/>
      </c>
      <c r="DF131" s="2221"/>
      <c r="DG131" s="2221"/>
      <c r="DH131" s="2221"/>
      <c r="DI131" s="2221" t="str">
        <f>IF('Concr. Pg 2'!X78="","",DR$41-'Concr. Pg 2'!X78)</f>
        <v/>
      </c>
      <c r="DJ131" s="2221"/>
      <c r="DK131" s="2221"/>
      <c r="DL131" s="2269"/>
      <c r="DM131" s="2270" t="str">
        <f>IF(L$28="","",IF('Concr. Pg 2'!X78="","",L$28-'Concr. Pg 2'!X78))</f>
        <v/>
      </c>
      <c r="DN131" s="2271"/>
      <c r="DO131" s="2271"/>
      <c r="DP131" s="2271"/>
      <c r="DV131" s="9"/>
      <c r="DX131" s="2230"/>
      <c r="DY131" s="2231"/>
      <c r="DZ131" s="2231"/>
      <c r="EA131" s="2231"/>
      <c r="EB131" s="2231"/>
      <c r="EC131" s="2232"/>
      <c r="ED131" s="24"/>
      <c r="EE131" s="24"/>
      <c r="EF131" s="24"/>
      <c r="EG131" s="113">
        <v>10</v>
      </c>
      <c r="EH131" s="1873" t="s">
        <v>126</v>
      </c>
      <c r="EI131" s="1873"/>
      <c r="EJ131" s="140">
        <f>I106</f>
        <v>0</v>
      </c>
      <c r="EM131" s="2264"/>
      <c r="EN131" s="113">
        <v>20</v>
      </c>
      <c r="EO131" s="140" t="str">
        <f>'Concr. Pg 2'!BL78</f>
        <v/>
      </c>
      <c r="EP131" s="120">
        <f>'Concr. Pg 2'!AN78</f>
        <v>0</v>
      </c>
      <c r="EQ131" s="124">
        <f>'Concr. Pg 2'!L78</f>
        <v>0</v>
      </c>
      <c r="ER131" s="113" t="str">
        <f t="shared" si="40"/>
        <v/>
      </c>
      <c r="ES131" s="128" t="str">
        <f>IF(EX122=0,"",IF(ER131="R","",IF(NOT(ER130="R"),ET130,IF(NOT(ER129="R"),ET129,IF(NOT(ER128="R"),ET128,IF(NOT(ER127="R"),ET127,IF(NOT(ER126="R"),ET126,IF(NOT(ER125="R"),ET125,IF(NOT(ER124="R"),ET124,IF(NOT(ER123="R"),ET123,IF(NOT(ER122="R"),ET122,IF(NOT(ER121="R"),ET121,IF(NOT(ER120="R"),ET120,IF(NOT(ER119="R"),ET119,IF(NOT(ER118="R"),ET118,IF(NOT(ER117="R"),ET117,IF(NOT(ER116="R"),ET116,IF(NOT(ER115="R"),ET115,IF(NOT(ER114="R"),ET114,IF(NOT(ER113="R"),ET113,IF(NOT(ER112="R"),ET112,0)))))))))))))))))))))</f>
        <v/>
      </c>
      <c r="ET131" s="133">
        <f t="shared" si="41"/>
        <v>0</v>
      </c>
      <c r="EU131" s="113">
        <v>20</v>
      </c>
      <c r="EV131" s="144">
        <f>IF(ER131="R",'Concr. Pg 2'!AF78,0)</f>
        <v>0</v>
      </c>
      <c r="EW131" s="2256"/>
      <c r="EX131" s="2256"/>
      <c r="EY131" s="156" t="str">
        <f>IF('Concr. Pg 2'!H78="","",'Concr. Pg 2'!H78)</f>
        <v/>
      </c>
      <c r="EZ131" s="157" t="str">
        <f t="shared" si="42"/>
        <v/>
      </c>
      <c r="FA131" s="949"/>
      <c r="FB131" s="18"/>
      <c r="FC131" s="112"/>
    </row>
    <row r="132" spans="64:159" ht="15" customHeight="1">
      <c r="BP132" s="2331"/>
      <c r="BQ132" s="2332"/>
      <c r="BR132" s="2332"/>
      <c r="BS132" s="2332"/>
      <c r="BT132" s="2332"/>
      <c r="BU132" s="2332"/>
      <c r="BV132" s="2332"/>
      <c r="BW132" s="2332"/>
      <c r="BX132" s="2332"/>
      <c r="BY132" s="2332"/>
      <c r="BZ132" s="2332"/>
      <c r="CA132" s="2332"/>
      <c r="CB132" s="2332"/>
      <c r="CC132" s="2332"/>
      <c r="CD132" s="2333"/>
      <c r="CF132" s="2331"/>
      <c r="CG132" s="2332"/>
      <c r="CH132" s="2332"/>
      <c r="CI132" s="2332"/>
      <c r="CJ132" s="2332"/>
      <c r="CK132" s="2332"/>
      <c r="CL132" s="2332"/>
      <c r="CM132" s="2332"/>
      <c r="CN132" s="2332"/>
      <c r="CO132" s="2332"/>
      <c r="CP132" s="2332"/>
      <c r="CQ132" s="2332"/>
      <c r="CR132" s="2332"/>
      <c r="CS132" s="2332"/>
      <c r="CT132" s="2333"/>
      <c r="DB132" s="8"/>
      <c r="DC132" s="2222"/>
      <c r="DD132" s="2223"/>
      <c r="DE132" s="2220"/>
      <c r="DF132" s="2221"/>
      <c r="DG132" s="2221"/>
      <c r="DH132" s="2221"/>
      <c r="DI132" s="2221"/>
      <c r="DJ132" s="2221"/>
      <c r="DK132" s="2221"/>
      <c r="DL132" s="2269"/>
      <c r="DM132" s="2270"/>
      <c r="DN132" s="2271"/>
      <c r="DO132" s="2271"/>
      <c r="DP132" s="2271"/>
      <c r="DV132" s="9"/>
      <c r="DX132" s="2709" t="s">
        <v>131</v>
      </c>
      <c r="DY132" s="2710"/>
      <c r="DZ132" s="2710"/>
      <c r="EA132" s="2710"/>
      <c r="EB132" s="2710"/>
      <c r="EC132" s="2711"/>
      <c r="ED132" s="24"/>
      <c r="EE132" s="24"/>
      <c r="EF132" s="24"/>
      <c r="EH132" s="1873" t="s">
        <v>169</v>
      </c>
      <c r="EI132" s="1873"/>
      <c r="EJ132" s="140">
        <f>O106</f>
        <v>0</v>
      </c>
      <c r="EM132" s="2264"/>
      <c r="EN132" s="113">
        <v>21</v>
      </c>
      <c r="EO132" s="140" t="str">
        <f>'Concr. Pg 2'!BL82</f>
        <v/>
      </c>
      <c r="EP132" s="120">
        <f>'Concr. Pg 2'!AN82</f>
        <v>0</v>
      </c>
      <c r="EQ132" s="124">
        <f>'Concr. Pg 2'!L82</f>
        <v>0</v>
      </c>
      <c r="ER132" s="113" t="str">
        <f t="shared" si="40"/>
        <v/>
      </c>
      <c r="ES132" s="128" t="str">
        <f>IF(EX122=0,"",IF(ER132="R","",IF(NOT(ER131="R"),ET131,IF(NOT(ER130="R"),ET130,IF(NOT(ER129="R"),ET129,IF(NOT(ER128="R"),ET128,IF(NOT(ER127="R"),ET127,IF(NOT(ER126="R"),ET126,IF(NOT(ER125="R"),ET125,IF(NOT(ER124="R"),ET124,IF(NOT(ER123="R"),ET123,IF(NOT(ER122="R"),ET122,IF(NOT(ER121="R"),ET121,IF(NOT(ER120="R"),ET120,IF(NOT(ER119="R"),ET119,IF(NOT(ER118="R"),ET118,IF(NOT(ER117="R"),ET117,IF(NOT(ER116="R"),ET116,IF(NOT(ER115="R"),ET115,IF(NOT(ER114="R"),ET114,IF(NOT(ER113="R"),ET113,IF(NOT(ER112="R"),ET112,0))))))))))))))))))))))</f>
        <v/>
      </c>
      <c r="ET132" s="133">
        <f t="shared" si="41"/>
        <v>0</v>
      </c>
      <c r="EU132" s="113">
        <v>21</v>
      </c>
      <c r="EV132" s="144">
        <f>IF(ER132="R",'Concr. Pg 2'!AF82,0)</f>
        <v>0</v>
      </c>
      <c r="EW132" s="2256"/>
      <c r="EX132" s="2256"/>
      <c r="EY132" s="156" t="str">
        <f>IF('Concr. Pg 2'!H82="","",'Concr. Pg 2'!H82)</f>
        <v/>
      </c>
      <c r="EZ132" s="157" t="str">
        <f t="shared" si="42"/>
        <v/>
      </c>
      <c r="FA132" s="949"/>
      <c r="FB132" s="18"/>
      <c r="FC132" s="112"/>
    </row>
    <row r="133" spans="64:159" ht="15" customHeight="1">
      <c r="DB133" s="8"/>
      <c r="DC133" s="2222"/>
      <c r="DD133" s="2223"/>
      <c r="DE133" s="2220"/>
      <c r="DF133" s="2221"/>
      <c r="DG133" s="2221"/>
      <c r="DH133" s="2221"/>
      <c r="DI133" s="2221"/>
      <c r="DJ133" s="2221"/>
      <c r="DK133" s="2221"/>
      <c r="DL133" s="2269"/>
      <c r="DM133" s="2270"/>
      <c r="DN133" s="2271"/>
      <c r="DO133" s="2271"/>
      <c r="DP133" s="2271"/>
      <c r="DV133" s="9"/>
      <c r="DX133" s="2709" t="s">
        <v>130</v>
      </c>
      <c r="DY133" s="2710"/>
      <c r="DZ133" s="2710"/>
      <c r="EA133" s="2710"/>
      <c r="EB133" s="2710"/>
      <c r="EC133" s="2711"/>
      <c r="ED133" s="24"/>
      <c r="EE133" s="24"/>
      <c r="EF133" s="24"/>
      <c r="EH133" s="1873" t="s">
        <v>170</v>
      </c>
      <c r="EI133" s="1873"/>
      <c r="EJ133" s="140">
        <f>V106</f>
        <v>0</v>
      </c>
      <c r="EM133" s="2264"/>
      <c r="EN133" s="113">
        <v>22</v>
      </c>
      <c r="EO133" s="140" t="str">
        <f>'Concr. Pg 2'!BL86</f>
        <v/>
      </c>
      <c r="EP133" s="120">
        <f>'Concr. Pg 2'!AN86</f>
        <v>0</v>
      </c>
      <c r="EQ133" s="124">
        <f>'Concr. Pg 2'!L86</f>
        <v>0</v>
      </c>
      <c r="ER133" s="113" t="str">
        <f t="shared" si="40"/>
        <v/>
      </c>
      <c r="ES133" s="128" t="str">
        <f>IF(EX122=0,"",IF(ER133="R","",IF(NOT(ER132="R"),ET132,IF(NOT(ER131="R"),ET131,IF(NOT(ER130="R"),ET130,IF(NOT(ER129="R"),ET129,IF(NOT(ER128="R"),ET128,IF(NOT(ER127="R"),ET127,IF(NOT(ER126="R"),ET126,IF(NOT(ER125="R"),ET125,IF(NOT(ER124="R"),ET124,IF(NOT(ER123="R"),ET123,IF(NOT(ER122="R"),ET122,IF(NOT(ER121="R"),ET121,IF(NOT(ER120="R"),ET120,IF(NOT(ER119="R"),ET119,IF(NOT(ER118="R"),ET118,IF(NOT(ER117="R"),ET117,IF(NOT(ER116="R"),ET116,IF(NOT(ER115="R"),ET115,IF(NOT(ER114="R"),ET114,IF(NOT(ER113="R"),ET113,IF(NOT(ER112="R"),ET112,0)))))))))))))))))))))))</f>
        <v/>
      </c>
      <c r="ET133" s="133">
        <f t="shared" si="41"/>
        <v>0</v>
      </c>
      <c r="EU133" s="113">
        <v>22</v>
      </c>
      <c r="EV133" s="144">
        <f>IF(ER133="R",'Concr. Pg 2'!AF86,0)</f>
        <v>0</v>
      </c>
      <c r="EW133" s="2256"/>
      <c r="EX133" s="2256"/>
      <c r="EY133" s="156" t="str">
        <f>IF('Concr. Pg 2'!H86="","",'Concr. Pg 2'!H86)</f>
        <v/>
      </c>
      <c r="EZ133" s="157" t="str">
        <f t="shared" si="42"/>
        <v/>
      </c>
      <c r="FA133" s="949"/>
      <c r="FB133" s="18"/>
      <c r="FC133" s="112"/>
    </row>
    <row r="134" spans="64:159" ht="15" customHeight="1">
      <c r="DB134" s="8"/>
      <c r="DC134" s="2222"/>
      <c r="DD134" s="2223"/>
      <c r="DE134" s="2220"/>
      <c r="DF134" s="2221"/>
      <c r="DG134" s="2221"/>
      <c r="DH134" s="2221"/>
      <c r="DI134" s="2221"/>
      <c r="DJ134" s="2221"/>
      <c r="DK134" s="2221"/>
      <c r="DL134" s="2269"/>
      <c r="DM134" s="2270"/>
      <c r="DN134" s="2271"/>
      <c r="DO134" s="2271"/>
      <c r="DP134" s="2271"/>
      <c r="DV134" s="9"/>
      <c r="ED134" s="24"/>
      <c r="EE134" s="24"/>
      <c r="EF134" s="24"/>
      <c r="EH134" s="1873" t="s">
        <v>171</v>
      </c>
      <c r="EI134" s="1873"/>
      <c r="EJ134" s="140">
        <f>EJ132-EJ133</f>
        <v>0</v>
      </c>
      <c r="EM134" s="2264"/>
      <c r="EN134" s="113">
        <v>23</v>
      </c>
      <c r="EO134" s="140" t="str">
        <f>'Concr. Pg 2'!BL90</f>
        <v/>
      </c>
      <c r="EP134" s="120">
        <f>'Concr. Pg 2'!AN90</f>
        <v>0</v>
      </c>
      <c r="EQ134" s="124">
        <f>'Concr. Pg 2'!L90</f>
        <v>0</v>
      </c>
      <c r="ER134" s="113" t="str">
        <f t="shared" si="40"/>
        <v/>
      </c>
      <c r="ES134" s="128" t="str">
        <f>IF(EX122=0,"",IF(ER134="R","",IF(NOT(ER133="R"),ET133,IF(NOT(ER132="R"),ET132,IF(NOT(ER131="R"),ET131,IF(NOT(ER130="R"),ET130,IF(NOT(ER129="R"),ET129,IF(NOT(ER128="R"),ET128,IF(NOT(ER127="R"),ET127,IF(NOT(ER126="R"),ET126,IF(NOT(ER125="R"),ET125,IF(NOT(ER124="R"),ET124,IF(NOT(ER123="R"),ET123,IF(NOT(ER122="R"),ET122,IF(NOT(ER121="R"),ET121,IF(NOT(ER120="R"),ET120,IF(NOT(ER119="R"),ET119,IF(NOT(ER118="R"),ET118,IF(NOT(ER117="R"),ET117,IF(NOT(ER116="R"),ET116,IF(NOT(ER115="R"),ET115,IF(NOT(ER114="R"),ET114,IF(NOT(ER113="R"),ET113,IF(NOT(ER112="R"),ET112,0))))))))))))))))))))))))</f>
        <v/>
      </c>
      <c r="ET134" s="133">
        <f t="shared" si="41"/>
        <v>0</v>
      </c>
      <c r="EU134" s="113">
        <v>23</v>
      </c>
      <c r="EV134" s="144">
        <f>IF(ER134="R",'Concr. Pg 2'!AF90,0)</f>
        <v>0</v>
      </c>
      <c r="EW134" s="2256"/>
      <c r="EX134" s="2256"/>
      <c r="EY134" s="156" t="str">
        <f>IF('Concr. Pg 2'!H90="","",'Concr. Pg 2'!H90)</f>
        <v/>
      </c>
      <c r="EZ134" s="157" t="str">
        <f t="shared" si="42"/>
        <v/>
      </c>
      <c r="FA134" s="949"/>
      <c r="FB134" s="18"/>
      <c r="FC134" s="112"/>
    </row>
    <row r="135" spans="64:159" ht="15" customHeight="1">
      <c r="DB135" s="8"/>
      <c r="DC135" s="2222">
        <v>21</v>
      </c>
      <c r="DD135" s="2223"/>
      <c r="DE135" s="2220" t="str">
        <f>'Concr. Pg 2'!BP82</f>
        <v/>
      </c>
      <c r="DF135" s="2221"/>
      <c r="DG135" s="2221"/>
      <c r="DH135" s="2221"/>
      <c r="DI135" s="2221" t="str">
        <f>IF('Concr. Pg 2'!X82="","",DR$41-'Concr. Pg 2'!X82)</f>
        <v/>
      </c>
      <c r="DJ135" s="2221"/>
      <c r="DK135" s="2221"/>
      <c r="DL135" s="2269"/>
      <c r="DM135" s="2270" t="str">
        <f>IF(L$28="","",IF('Concr. Pg 2'!X82="","",L$28-'Concr. Pg 2'!X82))</f>
        <v/>
      </c>
      <c r="DN135" s="2271"/>
      <c r="DO135" s="2271"/>
      <c r="DP135" s="2271"/>
      <c r="DV135" s="9"/>
      <c r="EF135" s="24"/>
      <c r="EM135" s="2264"/>
      <c r="EN135" s="113">
        <v>24</v>
      </c>
      <c r="EO135" s="140" t="str">
        <f>'Concr. Pg 2'!BL94</f>
        <v/>
      </c>
      <c r="EP135" s="120">
        <f>'Concr. Pg 2'!AN94</f>
        <v>0</v>
      </c>
      <c r="EQ135" s="124">
        <f>'Concr. Pg 2'!L94</f>
        <v>0</v>
      </c>
      <c r="ER135" s="113" t="str">
        <f t="shared" si="40"/>
        <v/>
      </c>
      <c r="ES135" s="128" t="str">
        <f>IF(EX122=0,"",IF(ER135="R","",IF(NOT(ER134="R"),ET134,IF(NOT(ER133="R"),ET133,IF(NOT(ER132="R"),ET132,IF(NOT(ER131="R"),ET131,IF(NOT(ER130="R"),ET130,IF(NOT(ER129="R"),ET129,IF(NOT(ER128="R"),ET128,IF(NOT(ER127="R"),ET127,IF(NOT(ER126="R"),ET126,IF(NOT(ER125="R"),ET125,IF(NOT(ER124="R"),ET124,IF(NOT(ER123="R"),ET123,IF(NOT(ER122="R"),ET122,IF(NOT(ER121="R"),ET121,IF(NOT(ER120="R"),ET120,IF(NOT(ER119="R"),ET119,IF(NOT(ER118="R"),ET118,IF(NOT(ER117="R"),ET117,IF(NOT(ER116="R"),ET116,IF(NOT(ER115="R"),ET115,IF(NOT(ER114="R"),ET114,IF(NOT(ER113="R"),ET113,IF(NOT(ER112="R"),ET112,0)))))))))))))))))))))))))</f>
        <v/>
      </c>
      <c r="ET135" s="133">
        <f t="shared" si="41"/>
        <v>0</v>
      </c>
      <c r="EU135" s="113">
        <v>24</v>
      </c>
      <c r="EV135" s="144">
        <f>IF(ER135="R",'Concr. Pg 2'!AF94,0)</f>
        <v>0</v>
      </c>
      <c r="EW135" s="2256"/>
      <c r="EX135" s="2256"/>
      <c r="EY135" s="156" t="str">
        <f>IF('Concr. Pg 2'!H94="","",'Concr. Pg 2'!H94)</f>
        <v/>
      </c>
      <c r="EZ135" s="157" t="str">
        <f t="shared" si="42"/>
        <v/>
      </c>
      <c r="FA135" s="949"/>
      <c r="FB135" s="18"/>
      <c r="FC135" s="112"/>
    </row>
    <row r="136" spans="64:159" ht="15" customHeight="1" thickBot="1">
      <c r="DB136" s="8"/>
      <c r="DC136" s="2222"/>
      <c r="DD136" s="2223"/>
      <c r="DE136" s="2220"/>
      <c r="DF136" s="2221"/>
      <c r="DG136" s="2221"/>
      <c r="DH136" s="2221"/>
      <c r="DI136" s="2221"/>
      <c r="DJ136" s="2221"/>
      <c r="DK136" s="2221"/>
      <c r="DL136" s="2269"/>
      <c r="DM136" s="2270"/>
      <c r="DN136" s="2271"/>
      <c r="DO136" s="2271"/>
      <c r="DP136" s="2271"/>
      <c r="DV136" s="9"/>
      <c r="DX136" s="2238" t="s">
        <v>1203</v>
      </c>
      <c r="DY136" s="2239"/>
      <c r="DZ136" s="2239"/>
      <c r="EA136" s="2239"/>
      <c r="EB136" s="2239"/>
      <c r="EC136" s="2239"/>
      <c r="ED136" s="2717"/>
      <c r="EE136" s="24"/>
      <c r="EF136" s="24"/>
      <c r="EJ136" s="112" t="s">
        <v>69</v>
      </c>
      <c r="EM136" s="2264"/>
      <c r="EN136" s="119">
        <v>25</v>
      </c>
      <c r="EO136" s="143" t="str">
        <f>'Concr. Pg 2'!BL98</f>
        <v/>
      </c>
      <c r="EP136" s="121">
        <f>'Concr. Pg 2'!AN98</f>
        <v>0</v>
      </c>
      <c r="EQ136" s="126">
        <f>'Concr. Pg 2'!L98</f>
        <v>0</v>
      </c>
      <c r="ER136" s="119" t="str">
        <f t="shared" si="40"/>
        <v/>
      </c>
      <c r="ES136" s="129" t="str">
        <f>IF(EX122=0,"",IF(ER136="R","",IF(NOT(ER135="R"),ET135,IF(NOT(ER134="R"),ET134,IF(NOT(ER133="R"),ET133,IF(NOT(ER132="R"),ET132,IF(NOT(ER131="R"),ET131,IF(NOT(ER130="R"),ET130,IF(NOT(ER129="R"),ET129,IF(NOT(ER128="R"),ET128,IF(NOT(ER127="R"),ET127,IF(NOT(ER126="R"),ET126,IF(NOT(ER125="R"),ET125,IF(NOT(ER124="R"),ET124,IF(NOT(ER123="R"),ET123,IF(NOT(ER122="R"),ET122,IF(NOT(ER121="R"),ET121,IF(NOT(ER120="R"),ET120,IF(NOT(ER119="R"),ET119,IF(NOT(ER118="R"),ET118,IF(NOT(ER117="R"),ET117,IF(NOT(ER116="R"),ET116,IF(NOT(ER115="R"),ET115,IF(NOT(ER114="R"),ET114,IF(NOT(ER113="R"),ET113,IF(NOT(ER112="R"),ET112,0))))))))))))))))))))))))))</f>
        <v/>
      </c>
      <c r="ET136" s="131">
        <f t="shared" si="41"/>
        <v>0</v>
      </c>
      <c r="EU136" s="119">
        <v>25</v>
      </c>
      <c r="EV136" s="121">
        <f>IF(ER136="R",'Concr. Pg 2'!AF98,0)</f>
        <v>0</v>
      </c>
      <c r="EW136" s="2256"/>
      <c r="EX136" s="2256"/>
      <c r="EY136" s="156" t="str">
        <f>IF('Concr. Pg 2'!H98="","",'Concr. Pg 2'!H98)</f>
        <v/>
      </c>
      <c r="EZ136" s="157" t="str">
        <f t="shared" si="42"/>
        <v/>
      </c>
      <c r="FA136" s="949"/>
      <c r="FB136" s="18"/>
      <c r="FC136" s="112"/>
    </row>
    <row r="137" spans="64:159" ht="15" customHeight="1">
      <c r="DB137" s="8"/>
      <c r="DC137" s="2222"/>
      <c r="DD137" s="2223"/>
      <c r="DE137" s="2220"/>
      <c r="DF137" s="2221"/>
      <c r="DG137" s="2221"/>
      <c r="DH137" s="2221"/>
      <c r="DI137" s="2221"/>
      <c r="DJ137" s="2221"/>
      <c r="DK137" s="2221"/>
      <c r="DL137" s="2269"/>
      <c r="DM137" s="2270"/>
      <c r="DN137" s="2271"/>
      <c r="DO137" s="2271"/>
      <c r="DP137" s="2271"/>
      <c r="DV137" s="9"/>
      <c r="DX137" s="2241" t="s">
        <v>1204</v>
      </c>
      <c r="DY137" s="2242"/>
      <c r="DZ137" s="2242"/>
      <c r="EA137" s="2242"/>
      <c r="EB137" s="2242"/>
      <c r="EC137" s="2242"/>
      <c r="ED137" s="2243"/>
      <c r="EE137" s="24"/>
      <c r="EF137" s="24"/>
      <c r="EH137" s="1873" t="s">
        <v>174</v>
      </c>
      <c r="EI137" s="1873"/>
      <c r="EJ137" s="140">
        <f>L25</f>
        <v>0</v>
      </c>
      <c r="EM137" s="2264" t="s">
        <v>193</v>
      </c>
      <c r="EN137" s="117">
        <v>26</v>
      </c>
      <c r="EO137" s="142" t="str">
        <f>'Concr. Pg 3'!BL42</f>
        <v/>
      </c>
      <c r="EP137" s="123">
        <f>'Concr. Pg 3'!AN42</f>
        <v>0</v>
      </c>
      <c r="EQ137" s="125">
        <f>'Concr. Pg 3'!L42</f>
        <v>0</v>
      </c>
      <c r="ER137" s="117" t="str">
        <f t="shared" si="40"/>
        <v/>
      </c>
      <c r="ES137" s="128" t="str">
        <f>IF(EX137=0,"",IF(ER137="R","",IF(NOT(ER136="R"),ET136,IF(NOT(ER135="R"),ET135,IF(NOT(ER134="R"),ET134,IF(NOT(ER133="R"),ET133,IF(NOT(ER132="R"),ET132,IF(NOT(ER131="R"),ET131,IF(NOT(ER130="R"),ET130,IF(NOT(ER129="R"),ET129,IF(NOT(ER128="R"),ET128,IF(NOT(ER127="R"),ET127,IF(NOT(ER126="R"),ET126,IF(NOT(ER125="R"),ET125,IF(NOT(ER124="R"),ET124,IF(NOT(ER123="R"),ET123,IF(NOT(ER122="R"),ET122,IF(NOT(ER121="R"),ET121,IF(NOT(ER120="R"),ET120,IF(NOT(ER119="R"),ET119,IF(NOT(ER118="R"),ET118,IF(NOT(ER117="R"),ET117,IF(NOT(ER116="R"),ET116,IF(NOT(ER115="R"),ET115,IF(NOT(ER114="R"),ET114,IF(NOT(ER113="R"),ET113,IF(NOT(ER112="R"),ET112,0)))))))))))))))))))))))))))</f>
        <v/>
      </c>
      <c r="ET137" s="134">
        <f t="shared" si="41"/>
        <v>0</v>
      </c>
      <c r="EU137" s="117">
        <v>26</v>
      </c>
      <c r="EV137" s="145">
        <f>IF(ER137="R",'Concr. Pg 3'!AF42,0)</f>
        <v>0</v>
      </c>
      <c r="EW137" s="2256">
        <f>SUM(EV137:EV151)</f>
        <v>0</v>
      </c>
      <c r="EX137" s="2256">
        <f>SUM('Concr. Pg 3'!AF42:AI101)</f>
        <v>0</v>
      </c>
      <c r="EY137" s="156">
        <f>IF('Concr. Pg 3'!H42="","",'Concr. Pg 3'!H42)</f>
        <v>0.625</v>
      </c>
      <c r="EZ137" s="157" t="str">
        <f t="shared" si="42"/>
        <v/>
      </c>
      <c r="FA137" s="949"/>
      <c r="FB137" s="18"/>
      <c r="FC137" s="182"/>
    </row>
    <row r="138" spans="64:159" ht="15" customHeight="1">
      <c r="DB138" s="8"/>
      <c r="DC138" s="2222"/>
      <c r="DD138" s="2223"/>
      <c r="DE138" s="2220"/>
      <c r="DF138" s="2221"/>
      <c r="DG138" s="2221"/>
      <c r="DH138" s="2221"/>
      <c r="DI138" s="2221"/>
      <c r="DJ138" s="2221"/>
      <c r="DK138" s="2221"/>
      <c r="DL138" s="2269"/>
      <c r="DM138" s="2270"/>
      <c r="DN138" s="2271"/>
      <c r="DO138" s="2271"/>
      <c r="DP138" s="2271"/>
      <c r="DV138" s="9"/>
      <c r="DX138" s="2241" t="s">
        <v>1205</v>
      </c>
      <c r="DY138" s="2242"/>
      <c r="DZ138" s="2242"/>
      <c r="EA138" s="2242"/>
      <c r="EB138" s="2242"/>
      <c r="EC138" s="2242"/>
      <c r="ED138" s="2243"/>
      <c r="EE138" s="24"/>
      <c r="EF138" s="24"/>
      <c r="EH138" s="1873" t="s">
        <v>169</v>
      </c>
      <c r="EI138" s="1873"/>
      <c r="EJ138" s="140">
        <f>L31</f>
        <v>0</v>
      </c>
      <c r="EM138" s="2264"/>
      <c r="EN138" s="113">
        <v>27</v>
      </c>
      <c r="EO138" s="140" t="str">
        <f>'Concr. Pg 3'!BL46</f>
        <v/>
      </c>
      <c r="EP138" s="122">
        <f>'Concr. Pg 3'!AN46</f>
        <v>0</v>
      </c>
      <c r="EQ138" s="124">
        <f>'Concr. Pg 3'!L46</f>
        <v>0</v>
      </c>
      <c r="ER138" s="113" t="str">
        <f t="shared" si="40"/>
        <v/>
      </c>
      <c r="ES138" s="128" t="str">
        <f>IF(EX137=0,"",IF(ER138="R","",IF(NOT(ER137="R"),ET137,IF(NOT(ER136="R"),ET136,IF(NOT(ER135="R"),ET135,IF(NOT(ER134="R"),ET134,IF(NOT(ER133="R"),ET133,IF(NOT(ER132="R"),ET132,IF(NOT(ER131="R"),ET131,IF(NOT(ER130="R"),ET130,IF(NOT(ER129="R"),ET129,IF(NOT(ER128="R"),ET128,IF(NOT(ER127="R"),ET127,IF(NOT(ER126="R"),ET126,IF(NOT(ER125="R"),ET125,IF(NOT(ER124="R"),ET124,IF(NOT(ER123="R"),ET123,IF(NOT(ER122="R"),ET122,IF(NOT(ER121="R"),ET121,IF(NOT(ER120="R"),ET120,IF(NOT(ER119="R"),ET119,IF(NOT(ER118="R"),ET118,IF(NOT(ER117="R"),ET117,IF(NOT(ER116="R"),ET116,IF(NOT(ER115="R"),ET115,IF(NOT(ER114="R"),ET114,IF(NOT(ER113="R"),ET113,IF(NOT(ER112="R"),ET112,0))))))))))))))))))))))))))))</f>
        <v/>
      </c>
      <c r="ET138" s="133">
        <f t="shared" si="41"/>
        <v>0</v>
      </c>
      <c r="EU138" s="113">
        <v>27</v>
      </c>
      <c r="EV138" s="120">
        <f>IF(ER138="R",'Concr. Pg 3'!AF46,0)</f>
        <v>0</v>
      </c>
      <c r="EW138" s="2256"/>
      <c r="EX138" s="2256"/>
      <c r="EY138" s="156">
        <f>IF('Concr. Pg 3'!H46="","",'Concr. Pg 3'!H46)</f>
        <v>0.66666666666666663</v>
      </c>
      <c r="EZ138" s="157" t="str">
        <f t="shared" si="42"/>
        <v/>
      </c>
      <c r="FA138" s="949"/>
      <c r="FB138" s="18"/>
      <c r="FC138" s="182"/>
    </row>
    <row r="139" spans="64:159" ht="15" customHeight="1">
      <c r="DB139" s="8"/>
      <c r="DC139" s="2222">
        <v>22</v>
      </c>
      <c r="DD139" s="2223"/>
      <c r="DE139" s="2220" t="str">
        <f>'Concr. Pg 2'!BP86</f>
        <v/>
      </c>
      <c r="DF139" s="2221"/>
      <c r="DG139" s="2221"/>
      <c r="DH139" s="2221"/>
      <c r="DI139" s="2221" t="str">
        <f>IF('Concr. Pg 2'!X86="","",DR$41-'Concr. Pg 2'!X86)</f>
        <v/>
      </c>
      <c r="DJ139" s="2221"/>
      <c r="DK139" s="2221"/>
      <c r="DL139" s="2269"/>
      <c r="DM139" s="2270" t="str">
        <f>IF(L$28="","",IF('Concr. Pg 2'!X86="","",L$28-'Concr. Pg 2'!X86))</f>
        <v/>
      </c>
      <c r="DN139" s="2271"/>
      <c r="DO139" s="2271"/>
      <c r="DP139" s="2271"/>
      <c r="DV139" s="9"/>
      <c r="DX139" s="2244" t="s">
        <v>1207</v>
      </c>
      <c r="DY139" s="2245"/>
      <c r="DZ139" s="2245"/>
      <c r="EA139" s="2245"/>
      <c r="EB139" s="2245"/>
      <c r="EC139" s="2245"/>
      <c r="ED139" s="2246"/>
      <c r="EE139" s="2714" t="s">
        <v>408</v>
      </c>
      <c r="EF139" s="2715"/>
      <c r="EH139" s="1873" t="s">
        <v>88</v>
      </c>
      <c r="EI139" s="1873"/>
      <c r="EJ139" s="140">
        <f>L34</f>
        <v>0</v>
      </c>
      <c r="EM139" s="2264"/>
      <c r="EN139" s="113">
        <v>28</v>
      </c>
      <c r="EO139" s="140" t="str">
        <f>'Concr. Pg 3'!BL50</f>
        <v/>
      </c>
      <c r="EP139" s="122">
        <f>'Concr. Pg 3'!AN50</f>
        <v>0</v>
      </c>
      <c r="EQ139" s="124">
        <f>'Concr. Pg 3'!L50</f>
        <v>0</v>
      </c>
      <c r="ER139" s="113" t="str">
        <f t="shared" si="40"/>
        <v/>
      </c>
      <c r="ES139" s="128" t="str">
        <f>IF(EX137=0,"",IF(ER139="R","",IF(NOT(ER138="R"),ET138,IF(NOT(ER137="R"),ET137,IF(NOT(ER136="R"),ET136,IF(NOT(ER135="R"),ET135,IF(NOT(ER134="R"),ET134,IF(NOT(ER133="R"),ET133,IF(NOT(ER132="R"),ET132,IF(NOT(ER131="R"),ET131,IF(NOT(ER130="R"),ET130,IF(NOT(ER129="R"),ET129,IF(NOT(ER128="R"),ET128,IF(NOT(ER127="R"),ET127,IF(NOT(ER126="R"),ET126,IF(NOT(ER125="R"),ET125,IF(NOT(ER124="R"),ET124,IF(NOT(ER123="R"),ET123,IF(NOT(ER122="R"),ET122,IF(NOT(ER121="R"),ET121,IF(NOT(ER120="R"),ET120,IF(NOT(ER119="R"),ET119,IF(NOT(ER118="R"),ET118,IF(NOT(ER117="R"),ET117,IF(NOT(ER116="R"),ET116,IF(NOT(ER115="R"),ET115,IF(NOT(ER114="R"),ET114,IF(NOT(ER113="R"),ET113,IF(NOT(ER112="R"),ET112,0)))))))))))))))))))))))))))))</f>
        <v/>
      </c>
      <c r="ET139" s="133">
        <f t="shared" si="41"/>
        <v>0</v>
      </c>
      <c r="EU139" s="113">
        <v>28</v>
      </c>
      <c r="EV139" s="120">
        <f>IF(ER139="R",'Concr. Pg 3'!AF50,0)</f>
        <v>0</v>
      </c>
      <c r="EW139" s="2256"/>
      <c r="EX139" s="2256"/>
      <c r="EY139" s="156">
        <f>IF('Concr. Pg 3'!H50="","",'Concr. Pg 3'!H50)</f>
        <v>0.72916666666666663</v>
      </c>
      <c r="EZ139" s="157" t="str">
        <f t="shared" si="42"/>
        <v/>
      </c>
      <c r="FA139" s="949"/>
      <c r="FB139" s="18"/>
      <c r="FC139" s="182"/>
    </row>
    <row r="140" spans="64:159" ht="15" customHeight="1">
      <c r="DB140" s="8"/>
      <c r="DC140" s="2222"/>
      <c r="DD140" s="2223"/>
      <c r="DE140" s="2220"/>
      <c r="DF140" s="2221"/>
      <c r="DG140" s="2221"/>
      <c r="DH140" s="2221"/>
      <c r="DI140" s="2221"/>
      <c r="DJ140" s="2221"/>
      <c r="DK140" s="2221"/>
      <c r="DL140" s="2269"/>
      <c r="DM140" s="2270"/>
      <c r="DN140" s="2271"/>
      <c r="DO140" s="2271"/>
      <c r="DP140" s="2271"/>
      <c r="DV140" s="9"/>
      <c r="DX140" s="2272" t="s">
        <v>1206</v>
      </c>
      <c r="DY140" s="2272"/>
      <c r="DZ140" s="2272"/>
      <c r="EA140" s="2273">
        <v>3.72</v>
      </c>
      <c r="EB140" s="2273"/>
      <c r="EC140" s="2273"/>
      <c r="ED140" s="2273"/>
      <c r="EE140" s="2713">
        <v>0.31</v>
      </c>
      <c r="EF140" s="2713"/>
      <c r="EM140" s="2264"/>
      <c r="EN140" s="113">
        <v>29</v>
      </c>
      <c r="EO140" s="140" t="str">
        <f>'Concr. Pg 3'!BL54</f>
        <v/>
      </c>
      <c r="EP140" s="122">
        <f>'Concr. Pg 3'!AN54</f>
        <v>0</v>
      </c>
      <c r="EQ140" s="124">
        <f>'Concr. Pg 3'!L54</f>
        <v>0</v>
      </c>
      <c r="ER140" s="113" t="str">
        <f t="shared" si="40"/>
        <v/>
      </c>
      <c r="ES140" s="128" t="str">
        <f>IF(EX137=0,"",IF(ER140="R","",IF(NOT(ER139="R"),ET139,IF(NOT(ER138="R"),ET138,IF(NOT(ER137="R"),ET137,IF(NOT(ER136="R"),ET136,IF(NOT(ER135="R"),ET135,IF(NOT(ER134="R"),ET134,IF(NOT(ER133="R"),ET133,IF(NOT(ER132="R"),ET132,IF(NOT(ER131="R"),ET131,IF(NOT(ER130="R"),ET130,IF(NOT(ER129="R"),ET129,IF(NOT(ER128="R"),ET128,IF(NOT(ER127="R"),ET127,IF(NOT(ER126="R"),ET126,IF(NOT(ER125="R"),ET125,IF(NOT(ER124="R"),ET124,IF(NOT(ER123="R"),ET123,IF(NOT(ER122="R"),ET122,IF(NOT(ER121="R"),ET121,IF(NOT(ER120="R"),ET120,IF(NOT(ER119="R"),ET119,IF(NOT(ER118="R"),ET118,IF(NOT(ER117="R"),ET117,IF(NOT(ER116="R"),ET116,IF(NOT(ER115="R"),ET115,IF(NOT(ER114="R"),ET114,IF(NOT(ER113="R"),ET113,IF(NOT(ER112="R"),ET112,0))))))))))))))))))))))))))))))</f>
        <v/>
      </c>
      <c r="ET140" s="133">
        <f t="shared" si="41"/>
        <v>0</v>
      </c>
      <c r="EU140" s="113">
        <v>29</v>
      </c>
      <c r="EV140" s="120">
        <f>IF(ER140="R",'Concr. Pg 3'!AF54,0)</f>
        <v>0</v>
      </c>
      <c r="EW140" s="2256"/>
      <c r="EX140" s="2256"/>
      <c r="EY140" s="156">
        <f>IF('Concr. Pg 3'!H54="","",'Concr. Pg 3'!H54)</f>
        <v>0.83333333333333337</v>
      </c>
      <c r="EZ140" s="157" t="str">
        <f t="shared" si="42"/>
        <v/>
      </c>
      <c r="FA140" s="949"/>
      <c r="FB140" s="18"/>
      <c r="FC140" s="182"/>
    </row>
    <row r="141" spans="64:159" ht="15" customHeight="1">
      <c r="DB141" s="8"/>
      <c r="DC141" s="2222"/>
      <c r="DD141" s="2223"/>
      <c r="DE141" s="2220"/>
      <c r="DF141" s="2221"/>
      <c r="DG141" s="2221"/>
      <c r="DH141" s="2221"/>
      <c r="DI141" s="2221"/>
      <c r="DJ141" s="2221"/>
      <c r="DK141" s="2221"/>
      <c r="DL141" s="2269"/>
      <c r="DM141" s="2270"/>
      <c r="DN141" s="2271"/>
      <c r="DO141" s="2271"/>
      <c r="DP141" s="2271"/>
      <c r="DV141" s="9"/>
      <c r="DX141" s="2272" t="s">
        <v>457</v>
      </c>
      <c r="DY141" s="2272"/>
      <c r="DZ141" s="2272"/>
      <c r="EA141" s="2273">
        <v>4.5599999999999996</v>
      </c>
      <c r="EB141" s="2273"/>
      <c r="EC141" s="2273"/>
      <c r="ED141" s="2273"/>
      <c r="EE141" s="2713">
        <v>0.38</v>
      </c>
      <c r="EF141" s="2713"/>
      <c r="EI141" s="182" t="s">
        <v>237</v>
      </c>
      <c r="EJ141" s="140">
        <f>L28</f>
        <v>0</v>
      </c>
      <c r="EM141" s="2264"/>
      <c r="EN141" s="113">
        <v>30</v>
      </c>
      <c r="EO141" s="140" t="str">
        <f>'Concr. Pg 3'!BL58</f>
        <v/>
      </c>
      <c r="EP141" s="122">
        <f>'Concr. Pg 3'!AN58</f>
        <v>0</v>
      </c>
      <c r="EQ141" s="124">
        <f>'Concr. Pg 3'!L58</f>
        <v>0</v>
      </c>
      <c r="ER141" s="113" t="str">
        <f t="shared" si="40"/>
        <v/>
      </c>
      <c r="ES141" s="128" t="str">
        <f>IF(EX137=0,"",IF(ER141="R","",IF(NOT(ER140="R"),ET140,IF(NOT(ER139="R"),ET139,IF(NOT(ER138="R"),ET138,IF(NOT(ER137="R"),ET137,IF(NOT(ER136="R"),ET136,IF(NOT(ER135="R"),ET135,IF(NOT(ER134="R"),ET134,IF(NOT(ER133="R"),ET133,IF(NOT(ER132="R"),ET132,IF(NOT(ER131="R"),ET131,IF(NOT(ER130="R"),ET130,IF(NOT(ER129="R"),ET129,IF(NOT(ER128="R"),ET128,IF(NOT(ER127="R"),ET127,IF(NOT(ER126="R"),ET126,IF(NOT(ER125="R"),ET125,IF(NOT(ER124="R"),ET124,IF(NOT(ER123="R"),ET123,IF(NOT(ER122="R"),ET122,IF(NOT(ER121="R"),ET121,IF(NOT(ER120="R"),ET120,IF(NOT(ER119="R"),ET119,IF(NOT(ER118="R"),ET118,IF(NOT(ER117="R"),ET117,IF(NOT(ER116="R"),ET116,IF(NOT(ER115="R"),ET115,IF(NOT(ER114="R"),ET114,IF(NOT(ER113="R"),ET113,IF(NOT(ER112="R"),ET112,0)))))))))))))))))))))))))))))))</f>
        <v/>
      </c>
      <c r="ET141" s="133">
        <f t="shared" si="41"/>
        <v>0</v>
      </c>
      <c r="EU141" s="113">
        <v>30</v>
      </c>
      <c r="EV141" s="120">
        <f>IF(ER141="R",'Concr. Pg 3'!AF58,0)</f>
        <v>0</v>
      </c>
      <c r="EW141" s="2256"/>
      <c r="EX141" s="2256"/>
      <c r="EY141" s="156">
        <f>IF('Concr. Pg 3'!H58="","",'Concr. Pg 3'!H58)</f>
        <v>0.95833333333333337</v>
      </c>
      <c r="EZ141" s="157" t="str">
        <f t="shared" si="42"/>
        <v/>
      </c>
      <c r="FA141" s="949"/>
      <c r="FB141" s="18"/>
      <c r="FC141" s="182"/>
    </row>
    <row r="142" spans="64:159" ht="15" customHeight="1">
      <c r="DB142" s="8"/>
      <c r="DC142" s="2222"/>
      <c r="DD142" s="2223"/>
      <c r="DE142" s="2220"/>
      <c r="DF142" s="2221"/>
      <c r="DG142" s="2221"/>
      <c r="DH142" s="2221"/>
      <c r="DI142" s="2221"/>
      <c r="DJ142" s="2221"/>
      <c r="DK142" s="2221"/>
      <c r="DL142" s="2269"/>
      <c r="DM142" s="2270"/>
      <c r="DN142" s="2271"/>
      <c r="DO142" s="2271"/>
      <c r="DP142" s="2271"/>
      <c r="DV142" s="9"/>
      <c r="ED142" s="24"/>
      <c r="EE142" s="24"/>
      <c r="EF142" s="24"/>
      <c r="EM142" s="2264"/>
      <c r="EN142" s="113">
        <v>31</v>
      </c>
      <c r="EO142" s="140" t="str">
        <f>'Concr. Pg 3'!BL62</f>
        <v/>
      </c>
      <c r="EP142" s="122">
        <f>'Concr. Pg 3'!AN62</f>
        <v>0</v>
      </c>
      <c r="EQ142" s="124">
        <f>'Concr. Pg 3'!L62</f>
        <v>0</v>
      </c>
      <c r="ER142" s="113" t="str">
        <f t="shared" si="40"/>
        <v/>
      </c>
      <c r="ES142" s="128" t="str">
        <f>IF(EX137=0,"",IF(ER142="R","",IF(NOT(ER141="R"),ET141,IF(NOT(ER140="R"),ET140,IF(NOT(ER139="R"),ET139,IF(NOT(ER138="R"),ET138,IF(NOT(ER137="R"),ET137,IF(NOT(ER136="R"),ET136,IF(NOT(ER135="R"),ET135,IF(NOT(ER134="R"),ET134,IF(NOT(ER133="R"),ET133,IF(NOT(ER132="R"),ET132,IF(NOT(ER131="R"),ET131,IF(NOT(ER130="R"),ET130,IF(NOT(ER129="R"),ET129,IF(NOT(ER128="R"),ET128,IF(NOT(ER127="R"),ET127,IF(NOT(ER126="R"),ET126,IF(NOT(ER125="R"),ET125,IF(NOT(ER124="R"),ET124,IF(NOT(ER123="R"),ET123,IF(NOT(ER122="R"),ET122,IF(NOT(ER121="R"),ET121,IF(NOT(ER120="R"),ET120,IF(NOT(ER119="R"),ET119,IF(NOT(ER118="R"),ET118,IF(NOT(ER117="R"),ET117,IF(NOT(ER116="R"),ET116,IF(NOT(ER115="R"),ET115,IF(NOT(ER114="R"),ET114,IF(NOT(ER113="R"),ET113,IF(NOT(ER112="R"),ET112,0))))))))))))))))))))))))))))))))</f>
        <v/>
      </c>
      <c r="ET142" s="133">
        <f t="shared" si="41"/>
        <v>0</v>
      </c>
      <c r="EU142" s="113">
        <v>31</v>
      </c>
      <c r="EV142" s="120">
        <f>IF(ER142="R",'Concr. Pg 3'!AF62,0)</f>
        <v>0</v>
      </c>
      <c r="EW142" s="2256"/>
      <c r="EX142" s="2256"/>
      <c r="EY142" s="156">
        <f>IF('Concr. Pg 3'!H62="","",'Concr. Pg 3'!H62)</f>
        <v>0.45833333333333331</v>
      </c>
      <c r="EZ142" s="157" t="str">
        <f t="shared" si="42"/>
        <v/>
      </c>
      <c r="FA142" s="949"/>
      <c r="FB142" s="18"/>
      <c r="FC142" s="182"/>
    </row>
    <row r="143" spans="64:159" ht="15" customHeight="1">
      <c r="DB143" s="8"/>
      <c r="DC143" s="2222">
        <v>23</v>
      </c>
      <c r="DD143" s="2223"/>
      <c r="DE143" s="2220" t="str">
        <f>'Concr. Pg 2'!BP90</f>
        <v/>
      </c>
      <c r="DF143" s="2221"/>
      <c r="DG143" s="2221"/>
      <c r="DH143" s="2221"/>
      <c r="DI143" s="2221" t="str">
        <f>IF('Concr. Pg 2'!X90="","",DR$41-'Concr. Pg 2'!X90)</f>
        <v/>
      </c>
      <c r="DJ143" s="2221"/>
      <c r="DK143" s="2221"/>
      <c r="DL143" s="2269"/>
      <c r="DM143" s="2270" t="str">
        <f>IF(L$28="","",IF('Concr. Pg 2'!X90="","",L$28-'Concr. Pg 2'!X90))</f>
        <v/>
      </c>
      <c r="DN143" s="2271"/>
      <c r="DO143" s="2271"/>
      <c r="DP143" s="2271"/>
      <c r="DV143" s="9"/>
      <c r="DX143" s="2260" t="s">
        <v>1208</v>
      </c>
      <c r="DY143" s="2260"/>
      <c r="DZ143" s="2260"/>
      <c r="EA143" s="2260"/>
      <c r="EB143" s="2260"/>
      <c r="EC143" s="26"/>
      <c r="ED143" s="26"/>
      <c r="EE143" s="24"/>
      <c r="EF143" s="24"/>
      <c r="EM143" s="2264"/>
      <c r="EN143" s="113">
        <v>32</v>
      </c>
      <c r="EO143" s="140" t="str">
        <f>'Concr. Pg 3'!BL66</f>
        <v/>
      </c>
      <c r="EP143" s="122">
        <f>'Concr. Pg 3'!AN66</f>
        <v>0</v>
      </c>
      <c r="EQ143" s="124">
        <f>'Concr. Pg 3'!L66</f>
        <v>0</v>
      </c>
      <c r="ER143" s="113" t="str">
        <f t="shared" si="40"/>
        <v/>
      </c>
      <c r="ES143" s="128" t="str">
        <f>IF(EX137=0,"",IF(ER143="R","",IF(NOT(ER142="R"),ET142,IF(NOT(ER141="R"),ET141,IF(NOT(ER140="R"),ET140,IF(NOT(ER139="R"),ET139,IF(NOT(ER138="R"),ET138,IF(NOT(ER137="R"),ET137,IF(NOT(ER136="R"),ET136,IF(NOT(ER135="R"),ET135,IF(NOT(ER134="R"),ET134,IF(NOT(ER133="R"),ET133,IF(NOT(ER132="R"),ET132,IF(NOT(ER131="R"),ET131,IF(NOT(ER130="R"),ET130,IF(NOT(ER129="R"),ET129,IF(NOT(ER128="R"),ET128,IF(NOT(ER127="R"),ET127,IF(NOT(ER126="R"),ET126,IF(NOT(ER125="R"),ET125,IF(NOT(ER124="R"),ET124,IF(NOT(ER123="R"),ET123,IF(NOT(ER122="R"),ET122,IF(NOT(ER121="R"),ET121,IF(NOT(ER120="R"),ET120,IF(NOT(ER119="R"),ET119,IF(NOT(ER118="R"),ET118,IF(NOT(ER117="R"),ET117,IF(NOT(ER116="R"),ET116,IF(NOT(ER115="R"),ET115,IF(NOT(ER114="R"),ET114,IF(NOT(ER113="R"),ET113,IF(NOT(ER112="R"),ET112,0)))))))))))))))))))))))))))))))))</f>
        <v/>
      </c>
      <c r="ET143" s="133">
        <f t="shared" si="41"/>
        <v>0</v>
      </c>
      <c r="EU143" s="113">
        <v>32</v>
      </c>
      <c r="EV143" s="120">
        <f>IF(ER143="R",'Concr. Pg 3'!AF66,0)</f>
        <v>0</v>
      </c>
      <c r="EW143" s="2256"/>
      <c r="EX143" s="2256"/>
      <c r="EY143" s="156">
        <f>IF('Concr. Pg 3'!H66="","",'Concr. Pg 3'!H66)</f>
        <v>0.45833333333333331</v>
      </c>
      <c r="EZ143" s="157" t="str">
        <f t="shared" si="42"/>
        <v/>
      </c>
      <c r="FA143" s="949"/>
      <c r="FB143" s="18"/>
      <c r="FC143" s="182"/>
    </row>
    <row r="144" spans="64:159" ht="15" customHeight="1">
      <c r="DB144" s="8"/>
      <c r="DC144" s="2222"/>
      <c r="DD144" s="2223"/>
      <c r="DE144" s="2220"/>
      <c r="DF144" s="2221"/>
      <c r="DG144" s="2221"/>
      <c r="DH144" s="2221"/>
      <c r="DI144" s="2221"/>
      <c r="DJ144" s="2221"/>
      <c r="DK144" s="2221"/>
      <c r="DL144" s="2269"/>
      <c r="DM144" s="2270"/>
      <c r="DN144" s="2271"/>
      <c r="DO144" s="2271"/>
      <c r="DP144" s="2271"/>
      <c r="DV144" s="9"/>
      <c r="DX144" s="2260"/>
      <c r="DY144" s="2260"/>
      <c r="DZ144" s="2260"/>
      <c r="EA144" s="2260"/>
      <c r="EB144" s="2260"/>
      <c r="EC144" s="26"/>
      <c r="ED144" s="26"/>
      <c r="EE144" s="24"/>
      <c r="EF144" s="24"/>
      <c r="EG144" s="2242" t="s">
        <v>265</v>
      </c>
      <c r="EH144" s="2242"/>
      <c r="EI144" s="2242"/>
      <c r="EM144" s="2264"/>
      <c r="EN144" s="113">
        <v>33</v>
      </c>
      <c r="EO144" s="140" t="str">
        <f>'Concr. Pg 3'!BL70</f>
        <v/>
      </c>
      <c r="EP144" s="122">
        <f>'Concr. Pg 3'!AN70</f>
        <v>0</v>
      </c>
      <c r="EQ144" s="124">
        <f>'Concr. Pg 3'!L70</f>
        <v>0</v>
      </c>
      <c r="ER144" s="113" t="str">
        <f t="shared" si="40"/>
        <v/>
      </c>
      <c r="ES144" s="128" t="str">
        <f>IF(EX137=0,"",IF(ER144="R","",IF(NOT(ER143="R"),ET143,IF(NOT(ER142="R"),ET142,IF(NOT(ER141="R"),ET141,IF(NOT(ER140="R"),ET140,IF(NOT(ER139="R"),ET139,IF(NOT(ER138="R"),ET138,IF(NOT(ER137="R"),ET137,IF(NOT(ER136="R"),ET136,IF(NOT(ER135="R"),ET135,IF(NOT(ER134="R"),ET134,IF(NOT(ER133="R"),ET133,IF(NOT(ER132="R"),ET132,IF(NOT(ER131="R"),ET131,IF(NOT(ER130="R"),ET130,IF(NOT(ER129="R"),ET129,IF(NOT(ER128="R"),ET128,IF(NOT(ER127="R"),ET127,IF(NOT(ER126="R"),ET126,IF(NOT(ER125="R"),ET125,IF(NOT(ER124="R"),ET124,IF(NOT(ER123="R"),ET123,IF(NOT(ER122="R"),ET122,IF(NOT(ER121="R"),ET121,IF(NOT(ER120="R"),ET120,IF(NOT(ER119="R"),ET119,IF(NOT(ER118="R"),ET118,IF(NOT(ER117="R"),ET117,IF(NOT(ER116="R"),ET116,IF(NOT(ER115="R"),ET115,IF(NOT(ER114="R"),ET114,IF(NOT(ER113="R"),ET113,IF(NOT(ER112="R"),ET112,0))))))))))))))))))))))))))))))))))</f>
        <v/>
      </c>
      <c r="ET144" s="133">
        <f t="shared" si="41"/>
        <v>0</v>
      </c>
      <c r="EU144" s="113">
        <v>33</v>
      </c>
      <c r="EV144" s="120">
        <f>IF(ER144="R",'Concr. Pg 3'!AF70,0)</f>
        <v>0</v>
      </c>
      <c r="EW144" s="2256"/>
      <c r="EX144" s="2256"/>
      <c r="EY144" s="156">
        <f>IF('Concr. Pg 3'!H70="","",'Concr. Pg 3'!H70)</f>
        <v>0.95833333333333337</v>
      </c>
      <c r="EZ144" s="157" t="str">
        <f t="shared" si="42"/>
        <v/>
      </c>
      <c r="FA144" s="949"/>
      <c r="FB144" s="18"/>
      <c r="FC144" s="182"/>
    </row>
    <row r="145" spans="2:159" ht="15" customHeight="1">
      <c r="DB145" s="8"/>
      <c r="DC145" s="2222"/>
      <c r="DD145" s="2223"/>
      <c r="DE145" s="2220"/>
      <c r="DF145" s="2221"/>
      <c r="DG145" s="2221"/>
      <c r="DH145" s="2221"/>
      <c r="DI145" s="2221"/>
      <c r="DJ145" s="2221"/>
      <c r="DK145" s="2221"/>
      <c r="DL145" s="2269"/>
      <c r="DM145" s="2270"/>
      <c r="DN145" s="2271"/>
      <c r="DO145" s="2271"/>
      <c r="DP145" s="2271"/>
      <c r="DV145" s="9"/>
      <c r="DX145" s="2260"/>
      <c r="DY145" s="2260"/>
      <c r="DZ145" s="2260"/>
      <c r="EA145" s="2260"/>
      <c r="EB145" s="2260"/>
      <c r="EC145" s="26"/>
      <c r="ED145" s="26"/>
      <c r="EE145" s="24"/>
      <c r="EF145" s="24"/>
      <c r="EG145" s="2242" t="s">
        <v>266</v>
      </c>
      <c r="EH145" s="2242"/>
      <c r="EI145" s="2243"/>
      <c r="EJ145" s="331" t="e">
        <f>'Concr. Curve'!CU69</f>
        <v>#DIV/0!</v>
      </c>
      <c r="EK145" t="s">
        <v>267</v>
      </c>
      <c r="EM145" s="2264"/>
      <c r="EN145" s="113">
        <v>34</v>
      </c>
      <c r="EO145" s="140" t="str">
        <f>'Concr. Pg 3'!BL74</f>
        <v/>
      </c>
      <c r="EP145" s="122">
        <f>'Concr. Pg 3'!AN74</f>
        <v>0</v>
      </c>
      <c r="EQ145" s="124">
        <f>'Concr. Pg 3'!L74</f>
        <v>0</v>
      </c>
      <c r="ER145" s="113" t="str">
        <f t="shared" si="40"/>
        <v/>
      </c>
      <c r="ES145" s="128" t="str">
        <f>IF(EX137=0,"",IF(ER145="R","",IF(NOT(ER144="R"),ET144,IF(NOT(ER143="R"),ET143,IF(NOT(ER142="R"),ET142,IF(NOT(ER141="R"),ET141,IF(NOT(ER140="R"),ET140,IF(NOT(ER139="R"),ET139,IF(NOT(ER138="R"),ET138,IF(NOT(ER137="R"),ET137,IF(NOT(ER136="R"),ET136,IF(NOT(ER135="R"),ET135,IF(NOT(ER134="R"),ET134,IF(NOT(ER133="R"),ET133,IF(NOT(ER132="R"),ET132,IF(NOT(ER131="R"),ET131,IF(NOT(ER130="R"),ET130,IF(NOT(ER129="R"),ET129,IF(NOT(ER128="R"),ET128,IF(NOT(ER127="R"),ET127,IF(NOT(ER126="R"),ET126,IF(NOT(ER125="R"),ET125,IF(NOT(ER124="R"),ET124,IF(NOT(ER123="R"),ET123,IF(NOT(ER122="R"),ET122,IF(NOT(ER121="R"),ET121,IF(NOT(ER120="R"),ET120,IF(NOT(ER119="R"),ET119,IF(NOT(ER118="R"),ET118,IF(NOT(ER117="R"),ET117,IF(NOT(ER116="R"),ET116,IF(NOT(ER115="R"),ET115,IF(NOT(ER114="R"),ET114,IF(NOT(ER113="R"),ET113,IF(NOT(ER112="R"),ET112,0)))))))))))))))))))))))))))))))))))</f>
        <v/>
      </c>
      <c r="ET145" s="133">
        <f t="shared" si="41"/>
        <v>0</v>
      </c>
      <c r="EU145" s="113">
        <v>34</v>
      </c>
      <c r="EV145" s="120">
        <f>IF(ER145="R",'Concr. Pg 3'!AF74,0)</f>
        <v>0</v>
      </c>
      <c r="EW145" s="2256"/>
      <c r="EX145" s="2256"/>
      <c r="EY145" s="156">
        <f>IF('Concr. Pg 3'!H74="","",'Concr. Pg 3'!H74)</f>
        <v>0</v>
      </c>
      <c r="EZ145" s="157" t="str">
        <f t="shared" si="42"/>
        <v/>
      </c>
      <c r="FA145" s="949"/>
      <c r="FB145" s="18"/>
      <c r="FC145" s="182"/>
    </row>
    <row r="146" spans="2:159" ht="15" customHeight="1">
      <c r="DB146" s="8"/>
      <c r="DC146" s="2222"/>
      <c r="DD146" s="2223"/>
      <c r="DE146" s="2220"/>
      <c r="DF146" s="2221"/>
      <c r="DG146" s="2221"/>
      <c r="DH146" s="2221"/>
      <c r="DI146" s="2221"/>
      <c r="DJ146" s="2221"/>
      <c r="DK146" s="2221"/>
      <c r="DL146" s="2269"/>
      <c r="DM146" s="2270"/>
      <c r="DN146" s="2271"/>
      <c r="DO146" s="2271"/>
      <c r="DP146" s="2271"/>
      <c r="DV146" s="9"/>
      <c r="DX146" s="2260"/>
      <c r="DY146" s="2260"/>
      <c r="DZ146" s="2260"/>
      <c r="EA146" s="2260"/>
      <c r="EB146" s="2260"/>
      <c r="EC146" s="26"/>
      <c r="ED146" s="26"/>
      <c r="EE146" s="24"/>
      <c r="EF146" s="24"/>
      <c r="EM146" s="2264"/>
      <c r="EN146" s="113">
        <v>35</v>
      </c>
      <c r="EO146" s="140" t="str">
        <f>'Concr. Pg 3'!BL78</f>
        <v/>
      </c>
      <c r="EP146" s="122">
        <f>'Concr. Pg 3'!AN78</f>
        <v>0</v>
      </c>
      <c r="EQ146" s="124">
        <f>'Concr. Pg 3'!L78</f>
        <v>0</v>
      </c>
      <c r="ER146" s="113" t="str">
        <f t="shared" si="40"/>
        <v/>
      </c>
      <c r="ES146" s="128" t="str">
        <f>IF(EX137=0,"",IF(ER146="R","",IF(NOT(ER145="R"),ET145,IF(NOT(ER144="R"),ET144,IF(NOT(ER143="R"),ET143,IF(NOT(ER142="R"),ET142,IF(NOT(ER141="R"),ET141,IF(NOT(ER140="R"),ET140,IF(NOT(ER139="R"),ET139,IF(NOT(ER138="R"),ET138,IF(NOT(ER137="R"),ET137,IF(NOT(ER136="R"),ET136,IF(NOT(ER135="R"),ET135,IF(NOT(ER134="R"),ET134,IF(NOT(ER133="R"),ET133,IF(NOT(ER132="R"),ET132,IF(NOT(ER131="R"),ET131,IF(NOT(ER130="R"),ET130,IF(NOT(ER129="R"),ET129,IF(NOT(ER128="R"),ET128,IF(NOT(ER127="R"),ET127,IF(NOT(ER126="R"),ET126,IF(NOT(ER125="R"),ET125,IF(NOT(ER124="R"),ET124,IF(NOT(ER123="R"),ET123,IF(NOT(ER122="R"),ET122,IF(NOT(ER121="R"),ET121,IF(NOT(ER120="R"),ET120,IF(NOT(ER119="R"),ET119,IF(NOT(ER118="R"),ET118,IF(NOT(ER117="R"),ET117,IF(NOT(ER116="R"),ET116,IF(NOT(ER115="R"),ET115,IF(NOT(ER114="R"),ET114,IF(NOT(ER113="R"),ET113,IF(NOT(ER112="R"),ET112,0))))))))))))))))))))))))))))))))))))</f>
        <v/>
      </c>
      <c r="ET146" s="133">
        <f t="shared" si="41"/>
        <v>0</v>
      </c>
      <c r="EU146" s="113">
        <v>35</v>
      </c>
      <c r="EV146" s="120">
        <f>IF(ER146="R",'Concr. Pg 3'!AF78,0)</f>
        <v>0</v>
      </c>
      <c r="EW146" s="2256"/>
      <c r="EX146" s="2256"/>
      <c r="EY146" s="156">
        <f>IF('Concr. Pg 3'!H78="","",'Concr. Pg 3'!H78)</f>
        <v>4.1666666666666664E-2</v>
      </c>
      <c r="EZ146" s="157" t="str">
        <f t="shared" si="42"/>
        <v/>
      </c>
      <c r="FA146" s="949"/>
      <c r="FB146" s="18"/>
      <c r="FC146" s="182"/>
    </row>
    <row r="147" spans="2:159" ht="15" customHeight="1">
      <c r="DB147" s="8"/>
      <c r="DC147" s="2222">
        <v>24</v>
      </c>
      <c r="DD147" s="2223"/>
      <c r="DE147" s="2220" t="str">
        <f>'Concr. Pg 2'!BP94</f>
        <v/>
      </c>
      <c r="DF147" s="2221"/>
      <c r="DG147" s="2221"/>
      <c r="DH147" s="2221"/>
      <c r="DI147" s="2221" t="str">
        <f>IF('Concr. Pg 2'!X94="","",DR$41-'Concr. Pg 2'!X94)</f>
        <v/>
      </c>
      <c r="DJ147" s="2221"/>
      <c r="DK147" s="2221"/>
      <c r="DL147" s="2269"/>
      <c r="DM147" s="2270" t="str">
        <f>IF(L$28="","",IF('Concr. Pg 2'!X94="","",L$28-'Concr. Pg 2'!X94))</f>
        <v/>
      </c>
      <c r="DN147" s="2271"/>
      <c r="DO147" s="2271"/>
      <c r="DP147" s="2271"/>
      <c r="DV147" s="9"/>
      <c r="DX147" s="2716" t="str">
        <f>IF('DS Log Pg 2'!W28="","",'DS Log Pg 2'!W28)</f>
        <v/>
      </c>
      <c r="DY147" s="2716"/>
      <c r="DZ147" s="2716"/>
      <c r="EA147" s="2716"/>
      <c r="EB147" s="2716"/>
      <c r="EC147" s="139"/>
      <c r="ED147" s="139"/>
      <c r="EE147" s="24"/>
      <c r="EF147" s="24"/>
      <c r="EG147" s="2242" t="s">
        <v>435</v>
      </c>
      <c r="EH147" s="2242"/>
      <c r="EI147" s="2243"/>
      <c r="EJ147" s="391">
        <f>'Concr. Curve'!CH24</f>
        <v>0</v>
      </c>
      <c r="EK147" t="s">
        <v>267</v>
      </c>
      <c r="EM147" s="2264"/>
      <c r="EN147" s="113">
        <v>36</v>
      </c>
      <c r="EO147" s="140" t="str">
        <f>'Concr. Pg 3'!BL82</f>
        <v/>
      </c>
      <c r="EP147" s="122">
        <f>'Concr. Pg 3'!AN82</f>
        <v>0</v>
      </c>
      <c r="EQ147" s="124">
        <f>'Concr. Pg 3'!L82</f>
        <v>0</v>
      </c>
      <c r="ER147" s="113" t="str">
        <f t="shared" si="40"/>
        <v/>
      </c>
      <c r="ES147" s="128" t="str">
        <f>IF(EX137=0,"",IF(ER147="R","",IF(NOT(ER146="R"),ET146,IF(NOT(ER145="R"),ET145,IF(NOT(ER144="R"),ET144,IF(NOT(ER143="R"),ET143,IF(NOT(ER142="R"),ET142,IF(NOT(ER141="R"),ET141,IF(NOT(ER140="R"),ET140,IF(NOT(ER139="R"),ET139,IF(NOT(ER138="R"),ET138,IF(NOT(ER137="R"),ET137,IF(NOT(ER136="R"),ET136,IF(NOT(ER135="R"),ET135,IF(NOT(ER134="R"),ET134,IF(NOT(ER133="R"),ET133,IF(NOT(ER132="R"),ET132,IF(NOT(ER131="R"),ET131,IF(NOT(ER130="R"),ET130,IF(NOT(ER129="R"),ET129,IF(NOT(ER128="R"),ET128,IF(NOT(ER127="R"),ET127,IF(NOT(ER126="R"),ET126,IF(NOT(ER125="R"),ET125,IF(NOT(ER124="R"),ET124,IF(NOT(ER123="R"),ET123,IF(NOT(ER122="R"),ET122,IF(NOT(ER121="R"),ET121,IF(NOT(ER120="R"),ET120,IF(NOT(ER119="R"),ET119,IF(NOT(ER118="R"),ET118,IF(NOT(ER117="R"),ET117,IF(NOT(ER116="R"),ET116,IF(NOT(ER115="R"),ET115,IF(NOT(ER114="R"),ET114,IF(NOT(ER113="R"),ET113,IF(NOT(ER112="R"),ET112,0)))))))))))))))))))))))))))))))))))))</f>
        <v/>
      </c>
      <c r="ET147" s="133">
        <f t="shared" si="41"/>
        <v>0</v>
      </c>
      <c r="EU147" s="113">
        <v>36</v>
      </c>
      <c r="EV147" s="120">
        <f>IF(ER147="R",'Concr. Pg 3'!AF82,0)</f>
        <v>0</v>
      </c>
      <c r="EW147" s="2256"/>
      <c r="EX147" s="2256"/>
      <c r="EY147" s="156">
        <f>IF('Concr. Pg 3'!H82="","",'Concr. Pg 3'!H82)</f>
        <v>8.3333333333333329E-2</v>
      </c>
      <c r="EZ147" s="157" t="str">
        <f t="shared" si="42"/>
        <v/>
      </c>
      <c r="FA147" s="949"/>
      <c r="FB147" s="18"/>
      <c r="FC147" s="182"/>
    </row>
    <row r="148" spans="2:159" ht="15" customHeight="1">
      <c r="DB148" s="8"/>
      <c r="DC148" s="2222"/>
      <c r="DD148" s="2223"/>
      <c r="DE148" s="2220"/>
      <c r="DF148" s="2221"/>
      <c r="DG148" s="2221"/>
      <c r="DH148" s="2221"/>
      <c r="DI148" s="2221"/>
      <c r="DJ148" s="2221"/>
      <c r="DK148" s="2221"/>
      <c r="DL148" s="2269"/>
      <c r="DM148" s="2270"/>
      <c r="DN148" s="2271"/>
      <c r="DO148" s="2271"/>
      <c r="DP148" s="2271"/>
      <c r="DV148" s="9"/>
      <c r="DX148" s="2716"/>
      <c r="DY148" s="2716"/>
      <c r="DZ148" s="2716"/>
      <c r="EA148" s="2716"/>
      <c r="EB148" s="2716"/>
      <c r="EC148" s="139"/>
      <c r="ED148" s="139"/>
      <c r="EF148" s="24"/>
      <c r="EG148" s="2242" t="s">
        <v>436</v>
      </c>
      <c r="EH148" s="2242"/>
      <c r="EI148" s="2242"/>
      <c r="EM148" s="2264"/>
      <c r="EN148" s="113">
        <v>37</v>
      </c>
      <c r="EO148" s="140" t="str">
        <f>'Concr. Pg 3'!BL86</f>
        <v/>
      </c>
      <c r="EP148" s="122">
        <f>'Concr. Pg 3'!AN86</f>
        <v>0</v>
      </c>
      <c r="EQ148" s="124">
        <f>'Concr. Pg 3'!L86</f>
        <v>0</v>
      </c>
      <c r="ER148" s="113" t="str">
        <f t="shared" si="40"/>
        <v/>
      </c>
      <c r="ES148" s="128" t="str">
        <f>IF(EX137=0,"",IF(ER148="R","",IF(NOT(ER147="R"),ET147,IF(NOT(ER146="R"),ET146,IF(NOT(ER145="R"),ET145,IF(NOT(ER144="R"),ET144,IF(NOT(ER143="R"),ET143,IF(NOT(ER142="R"),ET142,IF(NOT(ER141="R"),ET141,IF(NOT(ER140="R"),ET140,IF(NOT(ER139="R"),ET139,IF(NOT(ER138="R"),ET138,IF(NOT(ER137="R"),ET137,IF(NOT(ER136="R"),ET136,IF(NOT(ER135="R"),ET135,IF(NOT(ER134="R"),ET134,IF(NOT(ER133="R"),ET133,IF(NOT(ER132="R"),ET132,IF(NOT(ER131="R"),ET131,IF(NOT(ER130="R"),ET130,IF(NOT(ER129="R"),ET129,IF(NOT(ER128="R"),ET128,IF(NOT(ER127="R"),ET127,IF(NOT(ER126="R"),ET126,IF(NOT(ER125="R"),ET125,IF(NOT(ER124="R"),ET124,IF(NOT(ER123="R"),ET123,IF(NOT(ER122="R"),ET122,IF(NOT(ER121="R"),ET121,IF(NOT(ER120="R"),ET120,IF(NOT(ER119="R"),ET119,IF(NOT(ER118="R"),ET118,IF(NOT(ER117="R"),ET117,IF(NOT(ER116="R"),ET116,IF(NOT(ER115="R"),ET115,IF(NOT(ER114="R"),ET114,IF(NOT(ER113="R"),ET113,IF(NOT(ER112="R"),ET112,0))))))))))))))))))))))))))))))))))))))</f>
        <v/>
      </c>
      <c r="ET148" s="133">
        <f t="shared" si="41"/>
        <v>0</v>
      </c>
      <c r="EU148" s="113">
        <v>37</v>
      </c>
      <c r="EV148" s="120">
        <f>IF(ER148="R",'Concr. Pg 3'!AF86,0)</f>
        <v>0</v>
      </c>
      <c r="EW148" s="2256"/>
      <c r="EX148" s="2256"/>
      <c r="EY148" s="156">
        <f>IF('Concr. Pg 3'!H86="","",'Concr. Pg 3'!H86)</f>
        <v>0.125</v>
      </c>
      <c r="EZ148" s="157" t="str">
        <f t="shared" si="42"/>
        <v/>
      </c>
      <c r="FA148" s="949"/>
      <c r="FB148" s="18"/>
      <c r="FC148" s="182"/>
    </row>
    <row r="149" spans="2:159" ht="15" customHeight="1">
      <c r="DB149" s="8"/>
      <c r="DC149" s="2222"/>
      <c r="DD149" s="2223"/>
      <c r="DE149" s="2220"/>
      <c r="DF149" s="2221"/>
      <c r="DG149" s="2221"/>
      <c r="DH149" s="2221"/>
      <c r="DI149" s="2221"/>
      <c r="DJ149" s="2221"/>
      <c r="DK149" s="2221"/>
      <c r="DL149" s="2269"/>
      <c r="DM149" s="2270"/>
      <c r="DN149" s="2271"/>
      <c r="DO149" s="2271"/>
      <c r="DP149" s="2271"/>
      <c r="DV149" s="9"/>
      <c r="EF149" s="24"/>
      <c r="EM149" s="2264"/>
      <c r="EN149" s="113">
        <v>38</v>
      </c>
      <c r="EO149" s="140" t="str">
        <f>'Concr. Pg 3'!BL90</f>
        <v/>
      </c>
      <c r="EP149" s="122">
        <f>'Concr. Pg 3'!AN90</f>
        <v>0</v>
      </c>
      <c r="EQ149" s="124">
        <f>'Concr. Pg 3'!L90</f>
        <v>0</v>
      </c>
      <c r="ER149" s="113" t="str">
        <f t="shared" si="40"/>
        <v/>
      </c>
      <c r="ES149" s="128" t="str">
        <f>IF(EX137=0,"",IF(ER149="R","",IF(NOT(ER148="R"),ET148,IF(NOT(ER147="R"),ET147,IF(NOT(ER146="R"),ET146,IF(NOT(ER145="R"),ET145,IF(NOT(ER144="R"),ET144,IF(NOT(ER143="R"),ET143,IF(NOT(ER142="R"),ET142,IF(NOT(ER141="R"),ET141,IF(NOT(ER140="R"),ET140,IF(NOT(ER139="R"),ET139,IF(NOT(ER138="R"),ET138,IF(NOT(ER137="R"),ET137,IF(NOT(ER136="R"),ET136,IF(NOT(ER135="R"),ET135,IF(NOT(ER134="R"),ET134,IF(NOT(ER133="R"),ET133,IF(NOT(ER132="R"),ET132,IF(NOT(ER131="R"),ET131,IF(NOT(ER130="R"),ET130,IF(NOT(ER129="R"),ET129,IF(NOT(ER128="R"),ET128,IF(NOT(ER127="R"),ET127,IF(NOT(ER126="R"),ET126,IF(NOT(ER125="R"),ET125,IF(NOT(ER124="R"),ET124,IF(NOT(ER123="R"),ET123,IF(NOT(ER122="R"),ET122,IF(NOT(ER121="R"),ET121,IF(NOT(ER120="R"),ET120,IF(NOT(ER119="R"),ET119,IF(NOT(ER118="R"),ET118,IF(NOT(ER117="R"),ET117,IF(NOT(ER116="R"),ET116,IF(NOT(ER115="R"),ET115,IF(NOT(ER114="R"),ET114,IF(NOT(ER113="R"),ET113,IF(NOT(ER112="R"),ET112,0)))))))))))))))))))))))))))))))))))))))</f>
        <v/>
      </c>
      <c r="ET149" s="133">
        <f t="shared" si="41"/>
        <v>0</v>
      </c>
      <c r="EU149" s="113">
        <v>38</v>
      </c>
      <c r="EV149" s="120">
        <f>IF(ER149="R",'Concr. Pg 3'!AF90,0)</f>
        <v>0</v>
      </c>
      <c r="EW149" s="2256"/>
      <c r="EX149" s="2256"/>
      <c r="EY149" s="156">
        <f>IF('Concr. Pg 3'!H90="","",'Concr. Pg 3'!H90)</f>
        <v>0.16666666666666666</v>
      </c>
      <c r="EZ149" s="157" t="str">
        <f t="shared" si="42"/>
        <v/>
      </c>
      <c r="FA149" s="949"/>
      <c r="FB149" s="18"/>
      <c r="FC149" s="182"/>
    </row>
    <row r="150" spans="2:159" ht="15.75" customHeight="1">
      <c r="DB150" s="8"/>
      <c r="DC150" s="2222"/>
      <c r="DD150" s="2223"/>
      <c r="DE150" s="2220"/>
      <c r="DF150" s="2221"/>
      <c r="DG150" s="2221"/>
      <c r="DH150" s="2221"/>
      <c r="DI150" s="2221"/>
      <c r="DJ150" s="2221"/>
      <c r="DK150" s="2221"/>
      <c r="DL150" s="2269"/>
      <c r="DM150" s="2270"/>
      <c r="DN150" s="2271"/>
      <c r="DO150" s="2271"/>
      <c r="DP150" s="2271"/>
      <c r="DV150" s="9"/>
      <c r="EF150" s="24"/>
      <c r="EG150" s="2268" t="s">
        <v>373</v>
      </c>
      <c r="EH150" s="2268"/>
      <c r="EI150" s="2268"/>
      <c r="EJ150" s="2268"/>
      <c r="EM150" s="2264"/>
      <c r="EN150" s="113">
        <v>39</v>
      </c>
      <c r="EO150" s="140" t="str">
        <f>'Concr. Pg 3'!BL94</f>
        <v/>
      </c>
      <c r="EP150" s="122">
        <f>'Concr. Pg 3'!AN94</f>
        <v>0</v>
      </c>
      <c r="EQ150" s="124">
        <f>'Concr. Pg 3'!L94</f>
        <v>0</v>
      </c>
      <c r="ER150" s="113" t="str">
        <f t="shared" si="40"/>
        <v/>
      </c>
      <c r="ES150" s="128" t="str">
        <f>IF(EX137=0,"",IF(ER150="R","",IF(NOT(ER149="R"),ET149,IF(NOT(ER148="R"),ET148,IF(NOT(ER147="R"),ET147,IF(NOT(ER146="R"),ET146,IF(NOT(ER145="R"),ET145,IF(NOT(ER144="R"),ET144,IF(NOT(ER143="R"),ET143,IF(NOT(ER142="R"),ET142,IF(NOT(ER141="R"),ET141,IF(NOT(ER140="R"),ET140,IF(NOT(ER139="R"),ET139,IF(NOT(ER138="R"),ET138,IF(NOT(ER137="R"),ET137,IF(NOT(ER136="R"),ET136,IF(NOT(ER135="R"),ET135,IF(NOT(ER134="R"),ET134,IF(NOT(ER133="R"),ET133,IF(NOT(ER132="R"),ET132,IF(NOT(ER131="R"),ET131,IF(NOT(ER130="R"),ET130,IF(NOT(ER129="R"),ET129,IF(NOT(ER128="R"),ET128,IF(NOT(ER127="R"),ET127,IF(NOT(ER126="R"),ET126,IF(NOT(ER125="R"),ET125,IF(NOT(ER124="R"),ET124,IF(NOT(ER123="R"),ET123,IF(NOT(ER122="R"),ET122,IF(NOT(ER121="R"),ET121,IF(NOT(ER120="R"),ET120,IF(NOT(ER119="R"),ET119,IF(NOT(ER118="R"),ET118,IF(NOT(ER117="R"),ET117,IF(NOT(ER116="R"),ET116,IF(NOT(ER115="R"),ET115,IF(NOT(ER114="R"),ET114,IF(NOT(ER113="R"),ET113,IF(NOT(ER112="R"),ET112,0))))))))))))))))))))))))))))))))))))))))</f>
        <v/>
      </c>
      <c r="ET150" s="133">
        <f t="shared" si="41"/>
        <v>0</v>
      </c>
      <c r="EU150" s="113">
        <v>39</v>
      </c>
      <c r="EV150" s="120">
        <f>IF(ER150="R",'Concr. Pg 3'!AF94,0)</f>
        <v>0</v>
      </c>
      <c r="EW150" s="2256"/>
      <c r="EX150" s="2256"/>
      <c r="EY150" s="156">
        <f>IF('Concr. Pg 3'!H94="","",'Concr. Pg 3'!H94)</f>
        <v>0.20833333333333334</v>
      </c>
      <c r="EZ150" s="157" t="str">
        <f t="shared" si="42"/>
        <v/>
      </c>
      <c r="FA150" s="949"/>
      <c r="FB150" s="18"/>
      <c r="FC150" s="182"/>
    </row>
    <row r="151" spans="2:159" ht="15" customHeight="1" thickBot="1">
      <c r="DB151" s="8"/>
      <c r="DC151" s="2222">
        <v>25</v>
      </c>
      <c r="DD151" s="2223"/>
      <c r="DE151" s="2220" t="str">
        <f>'Concr. Pg 2'!BP98</f>
        <v/>
      </c>
      <c r="DF151" s="2221"/>
      <c r="DG151" s="2221"/>
      <c r="DH151" s="2221"/>
      <c r="DI151" s="2221" t="str">
        <f>IF('Concr. Pg 2'!X98="","",DR$41-'Concr. Pg 2'!X98)</f>
        <v/>
      </c>
      <c r="DJ151" s="2221"/>
      <c r="DK151" s="2221"/>
      <c r="DL151" s="2269"/>
      <c r="DM151" s="2270" t="str">
        <f>IF(L$28="","",IF('Concr. Pg 2'!X98="","",L$28-'Concr. Pg 2'!X98))</f>
        <v/>
      </c>
      <c r="DN151" s="2271"/>
      <c r="DO151" s="2271"/>
      <c r="DP151" s="2271"/>
      <c r="DV151" s="9"/>
      <c r="ED151" s="25"/>
      <c r="EE151" s="25"/>
      <c r="EF151" s="25"/>
      <c r="EG151" s="2250" t="s">
        <v>374</v>
      </c>
      <c r="EH151" s="2265"/>
      <c r="EI151" s="2265"/>
      <c r="EJ151" s="2251"/>
      <c r="EM151" s="2264"/>
      <c r="EN151" s="119">
        <v>40</v>
      </c>
      <c r="EO151" s="143" t="str">
        <f>'Concr. Pg 3'!BL98</f>
        <v/>
      </c>
      <c r="EP151" s="121">
        <f>'Concr. Pg 3'!AN98</f>
        <v>0</v>
      </c>
      <c r="EQ151" s="126">
        <f>'Concr. Pg 3'!L98</f>
        <v>0</v>
      </c>
      <c r="ER151" s="119" t="str">
        <f t="shared" si="40"/>
        <v/>
      </c>
      <c r="ES151" s="129" t="str">
        <f>IF(EX137=0,"",IF(ER151="R","",IF(NOT(ER150="R"),ET150,IF(NOT(ER149="R"),ET149,IF(NOT(ER148="R"),ET148,IF(NOT(ER147="R"),ET147,IF(NOT(ER146="R"),ET146,IF(NOT(ER145="R"),ET145,IF(NOT(ER144="R"),ET144,IF(NOT(ER143="R"),ET143,IF(NOT(ER142="R"),ET142,IF(NOT(ER141="R"),ET141,IF(NOT(ER140="R"),ET140,IF(NOT(ER139="R"),ET139,IF(NOT(ER138="R"),ET138,IF(NOT(ER137="R"),ET137,IF(NOT(ER136="R"),ET136,IF(NOT(ER135="R"),ET135,IF(NOT(ER134="R"),ET134,IF(NOT(ER133="R"),ET133,IF(NOT(ER132="R"),ET132,IF(NOT(ER131="R"),ET131,IF(NOT(ER130="R"),ET130,IF(NOT(ER129="R"),ET129,IF(NOT(ER128="R"),ET128,IF(NOT(ER127="R"),ET127,IF(NOT(ER126="R"),ET126,IF(NOT(ER125="R"),ET125,IF(NOT(ER124="R"),ET124,IF(NOT(ER123="R"),ET123,IF(NOT(ER122="R"),ET122,IF(NOT(ER121="R"),ET121,IF(NOT(ER120="R"),ET120,IF(NOT(ER119="R"),ET119,IF(NOT(ER118="R"),ET118,IF(NOT(ER117="R"),ET117,IF(NOT(ER116="R"),ET116,IF(NOT(ER115="R"),ET115,IF(NOT(ER114="R"),ET114,IF(NOT(ER113="R"),ET113,IF(NOT(ER112="R"),ET112,0)))))))))))))))))))))))))))))))))))))))))</f>
        <v/>
      </c>
      <c r="ET151" s="131">
        <f t="shared" si="41"/>
        <v>0</v>
      </c>
      <c r="EU151" s="119">
        <v>40</v>
      </c>
      <c r="EV151" s="121">
        <f>IF(ER151="R",'Concr. Pg 3'!AF98,0)</f>
        <v>0</v>
      </c>
      <c r="EW151" s="2256"/>
      <c r="EX151" s="2256"/>
      <c r="EY151" s="156">
        <f>IF('Concr. Pg 3'!H98="","",'Concr. Pg 3'!H98)</f>
        <v>0.25</v>
      </c>
      <c r="EZ151" s="157" t="str">
        <f t="shared" si="42"/>
        <v/>
      </c>
      <c r="FA151" s="949"/>
      <c r="FB151" s="18"/>
      <c r="FC151" s="182"/>
    </row>
    <row r="152" spans="2:159" ht="15" customHeight="1">
      <c r="DB152" s="8"/>
      <c r="DC152" s="2222"/>
      <c r="DD152" s="2223"/>
      <c r="DE152" s="2220"/>
      <c r="DF152" s="2221"/>
      <c r="DG152" s="2221"/>
      <c r="DH152" s="2221"/>
      <c r="DI152" s="2221"/>
      <c r="DJ152" s="2221"/>
      <c r="DK152" s="2221"/>
      <c r="DL152" s="2269"/>
      <c r="DM152" s="2270"/>
      <c r="DN152" s="2271"/>
      <c r="DO152" s="2271"/>
      <c r="DP152" s="2271"/>
      <c r="DV152" s="9"/>
      <c r="ED152" s="25"/>
      <c r="EE152" s="25"/>
      <c r="EF152" s="25"/>
      <c r="EG152" s="2252"/>
      <c r="EH152" s="2266"/>
      <c r="EI152" s="2266"/>
      <c r="EJ152" s="2253"/>
      <c r="EN152" s="112"/>
      <c r="EO152" s="114"/>
      <c r="ES152" s="113">
        <f>SUM(ES112:ES151)</f>
        <v>0</v>
      </c>
      <c r="ET152" s="137">
        <f>SUM(ET112:ET151)</f>
        <v>0</v>
      </c>
      <c r="EU152" s="2237" t="s">
        <v>165</v>
      </c>
      <c r="EV152" s="2237"/>
      <c r="EY152" s="114"/>
    </row>
    <row r="153" spans="2:159" ht="15" customHeight="1">
      <c r="DB153" s="8"/>
      <c r="DC153" s="2222"/>
      <c r="DD153" s="2223"/>
      <c r="DE153" s="2220"/>
      <c r="DF153" s="2221"/>
      <c r="DG153" s="2221"/>
      <c r="DH153" s="2221"/>
      <c r="DI153" s="2221"/>
      <c r="DJ153" s="2221"/>
      <c r="DK153" s="2221"/>
      <c r="DL153" s="2269"/>
      <c r="DM153" s="2270"/>
      <c r="DN153" s="2271"/>
      <c r="DO153" s="2271"/>
      <c r="DP153" s="2271"/>
      <c r="DV153" s="9"/>
      <c r="ED153" s="25"/>
      <c r="EE153" s="25"/>
      <c r="EF153" s="25"/>
      <c r="EG153" s="2252"/>
      <c r="EH153" s="2266"/>
      <c r="EI153" s="2266"/>
      <c r="EJ153" s="2253"/>
      <c r="EN153" s="112"/>
      <c r="ES153" s="116" t="s">
        <v>160</v>
      </c>
      <c r="ET153" s="116" t="s">
        <v>160</v>
      </c>
      <c r="EY153" s="2242" t="s">
        <v>273</v>
      </c>
      <c r="EZ153" s="2242"/>
      <c r="FA153" s="157">
        <f>MIN(EZ112:EZ151)</f>
        <v>0</v>
      </c>
      <c r="FB153" t="s">
        <v>274</v>
      </c>
    </row>
    <row r="154" spans="2:159" ht="15" customHeight="1" thickBot="1">
      <c r="DB154" s="184"/>
      <c r="DC154" s="2222"/>
      <c r="DD154" s="2223"/>
      <c r="DE154" s="2220"/>
      <c r="DF154" s="2221"/>
      <c r="DG154" s="2221"/>
      <c r="DH154" s="2221"/>
      <c r="DI154" s="2221"/>
      <c r="DJ154" s="2221"/>
      <c r="DK154" s="2221"/>
      <c r="DL154" s="2269"/>
      <c r="DM154" s="2270"/>
      <c r="DN154" s="2271"/>
      <c r="DO154" s="2271"/>
      <c r="DP154" s="2271"/>
      <c r="DQ154" s="149"/>
      <c r="DR154" s="147"/>
      <c r="DS154" s="147"/>
      <c r="DT154" s="147"/>
      <c r="DU154" s="147"/>
      <c r="DV154" s="185"/>
      <c r="ED154" s="25"/>
      <c r="EE154" s="25"/>
      <c r="EF154" s="25"/>
      <c r="EG154" s="2254"/>
      <c r="EH154" s="2267"/>
      <c r="EI154" s="2267"/>
      <c r="EJ154" s="2255"/>
      <c r="ES154" s="117" t="s">
        <v>164</v>
      </c>
      <c r="ET154" s="117" t="s">
        <v>163</v>
      </c>
      <c r="EW154" s="1873" t="s">
        <v>227</v>
      </c>
      <c r="EX154" s="1873"/>
      <c r="EY154" s="1873"/>
      <c r="EZ154" s="2233"/>
      <c r="FA154" s="157">
        <f>CB100</f>
        <v>0</v>
      </c>
    </row>
    <row r="155" spans="2:159" ht="15" customHeight="1">
      <c r="DB155" s="8"/>
      <c r="DC155" s="2222">
        <v>26</v>
      </c>
      <c r="DD155" s="2223"/>
      <c r="DE155" s="2220" t="str">
        <f>'Concr. Pg 3'!BP42</f>
        <v/>
      </c>
      <c r="DF155" s="2221"/>
      <c r="DG155" s="2221"/>
      <c r="DH155" s="2221"/>
      <c r="DI155" s="2221" t="str">
        <f>IF('Concr. Pg 3'!X42="","",DR$41-'Concr. Pg 3'!X42)</f>
        <v/>
      </c>
      <c r="DJ155" s="2221"/>
      <c r="DK155" s="2221"/>
      <c r="DL155" s="2269"/>
      <c r="DM155" s="2270" t="str">
        <f>IF(L$28="","",IF('Concr. Pg 3'!X42="","",L$28-'Concr. Pg 3'!X42))</f>
        <v/>
      </c>
      <c r="DN155" s="2271"/>
      <c r="DO155" s="2271"/>
      <c r="DP155" s="2271"/>
      <c r="DV155" s="9"/>
      <c r="ED155" s="25"/>
      <c r="EE155" s="25"/>
      <c r="EF155" s="25"/>
      <c r="EI155" s="148"/>
      <c r="EJ155" s="148"/>
      <c r="EK155" s="148"/>
      <c r="EL155" s="148"/>
      <c r="EM155" s="148"/>
      <c r="EN155" s="148"/>
      <c r="EW155" s="1873" t="s">
        <v>228</v>
      </c>
      <c r="EX155" s="1873"/>
      <c r="EY155" s="1873"/>
      <c r="EZ155" s="2233"/>
      <c r="FA155" s="183">
        <f>IF((CB100-FA153)*24&lt;0,(CB100-FA153)*24+24,(CB100-FA153)*24)</f>
        <v>0</v>
      </c>
    </row>
    <row r="156" spans="2:159" ht="15" customHeight="1">
      <c r="DB156" s="8"/>
      <c r="DC156" s="2222"/>
      <c r="DD156" s="2223"/>
      <c r="DE156" s="2220"/>
      <c r="DF156" s="2221"/>
      <c r="DG156" s="2221"/>
      <c r="DH156" s="2221"/>
      <c r="DI156" s="2221"/>
      <c r="DJ156" s="2221"/>
      <c r="DK156" s="2221"/>
      <c r="DL156" s="2269"/>
      <c r="DM156" s="2270"/>
      <c r="DN156" s="2271"/>
      <c r="DO156" s="2271"/>
      <c r="DP156" s="2271"/>
      <c r="DV156" s="9"/>
      <c r="ED156" s="25"/>
      <c r="EE156" s="25"/>
      <c r="EF156" s="25"/>
      <c r="EI156" s="148"/>
      <c r="EJ156" s="148"/>
      <c r="EK156" s="148"/>
      <c r="EL156" s="148"/>
      <c r="EM156" s="148"/>
      <c r="EN156" s="148"/>
    </row>
    <row r="157" spans="2:159" ht="15" customHeight="1">
      <c r="DB157" s="8"/>
      <c r="DC157" s="2222"/>
      <c r="DD157" s="2223"/>
      <c r="DE157" s="2220"/>
      <c r="DF157" s="2221"/>
      <c r="DG157" s="2221"/>
      <c r="DH157" s="2221"/>
      <c r="DI157" s="2221"/>
      <c r="DJ157" s="2221"/>
      <c r="DK157" s="2221"/>
      <c r="DL157" s="2269"/>
      <c r="DM157" s="2270"/>
      <c r="DN157" s="2271"/>
      <c r="DO157" s="2271"/>
      <c r="DP157" s="2271"/>
      <c r="DV157" s="9"/>
      <c r="ED157" s="25"/>
      <c r="EE157" s="25"/>
      <c r="EF157" s="25"/>
      <c r="EI157" s="148"/>
      <c r="EJ157" s="148"/>
      <c r="EK157" s="148"/>
      <c r="EL157" s="148"/>
      <c r="EM157" s="148"/>
      <c r="EN157" s="148"/>
      <c r="ES157" s="112"/>
      <c r="ET157" s="112"/>
      <c r="EY157" s="159"/>
      <c r="EZ157" s="159"/>
      <c r="FA157" s="159"/>
    </row>
    <row r="158" spans="2:159" ht="15" customHeight="1">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c r="BM158" s="2"/>
      <c r="BN158" s="2"/>
      <c r="BO158" s="2"/>
      <c r="BP158" s="2"/>
      <c r="BQ158" s="2"/>
      <c r="BR158" s="2"/>
      <c r="BS158" s="2"/>
      <c r="BT158" s="2"/>
      <c r="BU158" s="2"/>
      <c r="BV158" s="2"/>
      <c r="BW158" s="2"/>
      <c r="BX158" s="2"/>
      <c r="BY158" s="2"/>
      <c r="BZ158" s="2"/>
      <c r="DB158" s="8"/>
      <c r="DC158" s="2222"/>
      <c r="DD158" s="2223"/>
      <c r="DE158" s="2220"/>
      <c r="DF158" s="2221"/>
      <c r="DG158" s="2221"/>
      <c r="DH158" s="2221"/>
      <c r="DI158" s="2221"/>
      <c r="DJ158" s="2221"/>
      <c r="DK158" s="2221"/>
      <c r="DL158" s="2269"/>
      <c r="DM158" s="2270"/>
      <c r="DN158" s="2271"/>
      <c r="DO158" s="2271"/>
      <c r="DP158" s="2271"/>
      <c r="DV158" s="9"/>
      <c r="ED158" s="25"/>
      <c r="EE158" s="25"/>
      <c r="EF158" s="25"/>
      <c r="EI158" s="109"/>
      <c r="EJ158" s="109"/>
      <c r="EK158" s="109"/>
      <c r="EL158" s="109"/>
      <c r="EN158" s="112"/>
      <c r="FA158" s="159"/>
    </row>
    <row r="159" spans="2:159" ht="15" customHeight="1">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c r="BM159" s="2"/>
      <c r="BN159" s="2"/>
      <c r="BO159" s="2"/>
      <c r="BP159" s="2"/>
      <c r="BQ159" s="2"/>
      <c r="BR159" s="2"/>
      <c r="BS159" s="2"/>
      <c r="BT159" s="2"/>
      <c r="BU159" s="2"/>
      <c r="BV159" s="2"/>
      <c r="BW159" s="2"/>
      <c r="BX159" s="2"/>
      <c r="BY159" s="2"/>
      <c r="BZ159" s="2"/>
      <c r="DB159" s="8"/>
      <c r="DC159" s="2222">
        <v>27</v>
      </c>
      <c r="DD159" s="2223"/>
      <c r="DE159" s="2220" t="str">
        <f>'Concr. Pg 3'!BP46</f>
        <v/>
      </c>
      <c r="DF159" s="2221"/>
      <c r="DG159" s="2221"/>
      <c r="DH159" s="2221"/>
      <c r="DI159" s="2221" t="str">
        <f>IF('Concr. Pg 3'!X46="","",DR$41-'Concr. Pg 3'!X46)</f>
        <v/>
      </c>
      <c r="DJ159" s="2221"/>
      <c r="DK159" s="2221"/>
      <c r="DL159" s="2269"/>
      <c r="DM159" s="2270" t="str">
        <f>IF(L$28="","",IF('Concr. Pg 3'!X46="","",L$28-'Concr. Pg 3'!X46))</f>
        <v/>
      </c>
      <c r="DN159" s="2271"/>
      <c r="DO159" s="2271"/>
      <c r="DP159" s="2271"/>
      <c r="DV159" s="9"/>
      <c r="ED159" s="25"/>
      <c r="EE159" s="25"/>
      <c r="EF159" s="25"/>
      <c r="EI159" s="109"/>
      <c r="EJ159" s="109"/>
      <c r="EK159" s="109"/>
      <c r="EL159" s="109"/>
      <c r="EN159" s="112"/>
      <c r="EO159" s="115"/>
      <c r="EY159" s="159"/>
      <c r="EZ159" s="159"/>
      <c r="FA159" s="159"/>
    </row>
    <row r="160" spans="2:159" ht="15" customHeight="1">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c r="BM160" s="2"/>
      <c r="BN160" s="2"/>
      <c r="BO160" s="2"/>
      <c r="BP160" s="2"/>
      <c r="BQ160" s="2"/>
      <c r="BR160" s="2"/>
      <c r="BS160" s="2"/>
      <c r="BT160" s="2"/>
      <c r="BU160" s="2"/>
      <c r="BV160" s="2"/>
      <c r="BW160" s="2"/>
      <c r="BX160" s="2"/>
      <c r="BY160" s="2"/>
      <c r="BZ160" s="2"/>
      <c r="DB160" s="8"/>
      <c r="DC160" s="2222"/>
      <c r="DD160" s="2223"/>
      <c r="DE160" s="2220"/>
      <c r="DF160" s="2221"/>
      <c r="DG160" s="2221"/>
      <c r="DH160" s="2221"/>
      <c r="DI160" s="2221"/>
      <c r="DJ160" s="2221"/>
      <c r="DK160" s="2221"/>
      <c r="DL160" s="2269"/>
      <c r="DM160" s="2270"/>
      <c r="DN160" s="2271"/>
      <c r="DO160" s="2271"/>
      <c r="DP160" s="2271"/>
      <c r="DV160" s="9"/>
      <c r="ED160" s="25"/>
      <c r="EE160" s="25"/>
      <c r="EF160" s="25"/>
      <c r="EK160" s="190"/>
      <c r="EL160" s="190"/>
      <c r="EN160" s="112"/>
      <c r="EO160" s="115"/>
    </row>
    <row r="161" spans="2:156" ht="15" customHeight="1">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c r="BM161" s="2"/>
      <c r="BN161" s="2"/>
      <c r="BO161" s="2"/>
      <c r="BP161" s="2"/>
      <c r="BQ161" s="2"/>
      <c r="BR161" s="2"/>
      <c r="BS161" s="2"/>
      <c r="BT161" s="2"/>
      <c r="BU161" s="2"/>
      <c r="BV161" s="2"/>
      <c r="BW161" s="2"/>
      <c r="BX161" s="2"/>
      <c r="BY161" s="2"/>
      <c r="BZ161" s="2"/>
      <c r="DB161" s="8"/>
      <c r="DC161" s="2222"/>
      <c r="DD161" s="2223"/>
      <c r="DE161" s="2220"/>
      <c r="DF161" s="2221"/>
      <c r="DG161" s="2221"/>
      <c r="DH161" s="2221"/>
      <c r="DI161" s="2221"/>
      <c r="DJ161" s="2221"/>
      <c r="DK161" s="2221"/>
      <c r="DL161" s="2269"/>
      <c r="DM161" s="2270"/>
      <c r="DN161" s="2271"/>
      <c r="DO161" s="2271"/>
      <c r="DP161" s="2271"/>
      <c r="DV161" s="9"/>
      <c r="ED161" s="25"/>
      <c r="EE161" s="25"/>
      <c r="EF161" s="25"/>
      <c r="EK161" s="4"/>
      <c r="EL161" s="4"/>
      <c r="EN161" s="112"/>
      <c r="EO161" s="115"/>
    </row>
    <row r="162" spans="2:156" ht="15" customHeight="1">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c r="BM162" s="2"/>
      <c r="BN162" s="2"/>
      <c r="BO162" s="2"/>
      <c r="BP162" s="2"/>
      <c r="BQ162" s="2"/>
      <c r="BR162" s="2"/>
      <c r="BS162" s="2"/>
      <c r="BT162" s="2"/>
      <c r="BU162" s="2"/>
      <c r="BV162" s="2"/>
      <c r="BW162" s="2"/>
      <c r="BX162" s="2"/>
      <c r="BY162" s="2"/>
      <c r="BZ162" s="2"/>
      <c r="DB162" s="8"/>
      <c r="DC162" s="2222"/>
      <c r="DD162" s="2223"/>
      <c r="DE162" s="2220"/>
      <c r="DF162" s="2221"/>
      <c r="DG162" s="2221"/>
      <c r="DH162" s="2221"/>
      <c r="DI162" s="2221"/>
      <c r="DJ162" s="2221"/>
      <c r="DK162" s="2221"/>
      <c r="DL162" s="2269"/>
      <c r="DM162" s="2270"/>
      <c r="DN162" s="2271"/>
      <c r="DO162" s="2271"/>
      <c r="DP162" s="2271"/>
      <c r="DV162" s="9"/>
      <c r="ED162" s="25"/>
      <c r="EE162" s="25"/>
      <c r="EF162" s="25"/>
      <c r="EN162" s="112"/>
      <c r="ES162" s="2219"/>
      <c r="ET162" s="2219"/>
    </row>
    <row r="163" spans="2:156" ht="15" customHeight="1">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c r="BM163" s="2"/>
      <c r="BN163" s="2"/>
      <c r="BO163" s="2"/>
      <c r="BP163" s="2"/>
      <c r="BQ163" s="2"/>
      <c r="BR163" s="2"/>
      <c r="BS163" s="2"/>
      <c r="BT163" s="2"/>
      <c r="BU163" s="2"/>
      <c r="BV163" s="2"/>
      <c r="BW163" s="2"/>
      <c r="BX163" s="2"/>
      <c r="BY163" s="2"/>
      <c r="BZ163" s="2"/>
      <c r="DB163" s="8"/>
      <c r="DC163" s="2222">
        <v>28</v>
      </c>
      <c r="DD163" s="2223"/>
      <c r="DE163" s="2220" t="str">
        <f>'Concr. Pg 3'!BP50</f>
        <v/>
      </c>
      <c r="DF163" s="2221"/>
      <c r="DG163" s="2221"/>
      <c r="DH163" s="2221"/>
      <c r="DI163" s="2221" t="str">
        <f>IF('Concr. Pg 3'!X50="","",DR$41-'Concr. Pg 3'!X50)</f>
        <v/>
      </c>
      <c r="DJ163" s="2221"/>
      <c r="DK163" s="2221"/>
      <c r="DL163" s="2269"/>
      <c r="DM163" s="2270" t="str">
        <f>IF(L$28="","",IF('Concr. Pg 3'!X50="","",L$28-'Concr. Pg 3'!X50))</f>
        <v/>
      </c>
      <c r="DN163" s="2271"/>
      <c r="DO163" s="2271"/>
      <c r="DP163" s="2271"/>
      <c r="DV163" s="9"/>
      <c r="ED163" s="25"/>
      <c r="EE163" s="25"/>
      <c r="EF163" s="25"/>
      <c r="EN163" s="112"/>
      <c r="EO163" s="115"/>
      <c r="ES163" s="2219"/>
      <c r="ET163" s="2219"/>
    </row>
    <row r="164" spans="2:156" ht="15" customHeight="1">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c r="BM164" s="2"/>
      <c r="BN164" s="2"/>
      <c r="BO164" s="2"/>
      <c r="BP164" s="2"/>
      <c r="BQ164" s="2"/>
      <c r="BR164" s="2"/>
      <c r="BS164" s="2"/>
      <c r="BT164" s="2"/>
      <c r="BU164" s="2"/>
      <c r="BV164" s="2"/>
      <c r="BW164" s="2"/>
      <c r="BX164" s="2"/>
      <c r="BY164" s="2"/>
      <c r="BZ164" s="2"/>
      <c r="DB164" s="8"/>
      <c r="DC164" s="2222"/>
      <c r="DD164" s="2223"/>
      <c r="DE164" s="2220"/>
      <c r="DF164" s="2221"/>
      <c r="DG164" s="2221"/>
      <c r="DH164" s="2221"/>
      <c r="DI164" s="2221"/>
      <c r="DJ164" s="2221"/>
      <c r="DK164" s="2221"/>
      <c r="DL164" s="2269"/>
      <c r="DM164" s="2270"/>
      <c r="DN164" s="2271"/>
      <c r="DO164" s="2271"/>
      <c r="DP164" s="2271"/>
      <c r="DV164" s="9"/>
      <c r="ED164" s="25"/>
      <c r="EE164" s="25"/>
      <c r="EF164" s="25"/>
      <c r="EN164" s="112"/>
      <c r="EO164" s="115"/>
      <c r="ET164" s="18"/>
      <c r="EU164" s="18"/>
    </row>
    <row r="165" spans="2:156" ht="15" customHeight="1">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c r="BM165" s="2"/>
      <c r="BN165" s="2"/>
      <c r="BO165" s="2"/>
      <c r="BP165" s="2"/>
      <c r="BQ165" s="2"/>
      <c r="BR165" s="2"/>
      <c r="BS165" s="2"/>
      <c r="BT165" s="2"/>
      <c r="BU165" s="2"/>
      <c r="BV165" s="2"/>
      <c r="BW165" s="2"/>
      <c r="BX165" s="2"/>
      <c r="BY165" s="2"/>
      <c r="BZ165" s="2"/>
      <c r="DB165" s="8"/>
      <c r="DC165" s="2222"/>
      <c r="DD165" s="2223"/>
      <c r="DE165" s="2220"/>
      <c r="DF165" s="2221"/>
      <c r="DG165" s="2221"/>
      <c r="DH165" s="2221"/>
      <c r="DI165" s="2221"/>
      <c r="DJ165" s="2221"/>
      <c r="DK165" s="2221"/>
      <c r="DL165" s="2269"/>
      <c r="DM165" s="2270"/>
      <c r="DN165" s="2271"/>
      <c r="DO165" s="2271"/>
      <c r="DP165" s="2271"/>
      <c r="DV165" s="9"/>
      <c r="ED165" s="25"/>
      <c r="EE165" s="25"/>
      <c r="EF165" s="25"/>
      <c r="EN165" s="112"/>
      <c r="EO165" s="115"/>
    </row>
    <row r="166" spans="2:156" ht="15" customHeight="1">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c r="BM166" s="2"/>
      <c r="BN166" s="2"/>
      <c r="BO166" s="2"/>
      <c r="BP166" s="2"/>
      <c r="BQ166" s="2"/>
      <c r="BR166" s="2"/>
      <c r="BS166" s="2"/>
      <c r="BT166" s="2"/>
      <c r="BU166" s="2"/>
      <c r="BV166" s="2"/>
      <c r="BW166" s="2"/>
      <c r="BX166" s="2"/>
      <c r="BY166" s="2"/>
      <c r="BZ166" s="2"/>
      <c r="DB166" s="8"/>
      <c r="DC166" s="2222"/>
      <c r="DD166" s="2223"/>
      <c r="DE166" s="2220"/>
      <c r="DF166" s="2221"/>
      <c r="DG166" s="2221"/>
      <c r="DH166" s="2221"/>
      <c r="DI166" s="2221"/>
      <c r="DJ166" s="2221"/>
      <c r="DK166" s="2221"/>
      <c r="DL166" s="2269"/>
      <c r="DM166" s="2270"/>
      <c r="DN166" s="2271"/>
      <c r="DO166" s="2271"/>
      <c r="DP166" s="2271"/>
      <c r="DV166" s="9"/>
      <c r="ED166" s="25"/>
      <c r="EE166" s="25"/>
      <c r="EF166" s="25"/>
      <c r="EN166" s="112"/>
    </row>
    <row r="167" spans="2:156" ht="15" customHeight="1">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c r="BM167" s="2"/>
      <c r="BN167" s="2"/>
      <c r="BO167" s="2"/>
      <c r="BP167" s="2"/>
      <c r="BQ167" s="2"/>
      <c r="BR167" s="2"/>
      <c r="BS167" s="2"/>
      <c r="BT167" s="2"/>
      <c r="BU167" s="2"/>
      <c r="BV167" s="2"/>
      <c r="BW167" s="2"/>
      <c r="BX167" s="2"/>
      <c r="BY167" s="2"/>
      <c r="BZ167" s="2"/>
      <c r="DB167" s="8"/>
      <c r="DC167" s="2222">
        <v>29</v>
      </c>
      <c r="DD167" s="2223"/>
      <c r="DE167" s="2220" t="str">
        <f>'Concr. Pg 3'!BP54</f>
        <v/>
      </c>
      <c r="DF167" s="2221"/>
      <c r="DG167" s="2221"/>
      <c r="DH167" s="2221"/>
      <c r="DI167" s="2221" t="str">
        <f>IF('Concr. Pg 3'!X54="","",DR$41-'Concr. Pg 3'!X54)</f>
        <v/>
      </c>
      <c r="DJ167" s="2221"/>
      <c r="DK167" s="2221"/>
      <c r="DL167" s="2269"/>
      <c r="DM167" s="2270" t="str">
        <f>IF(L$28="","",IF('Concr. Pg 3'!X54="","",L$28-'Concr. Pg 3'!X54))</f>
        <v/>
      </c>
      <c r="DN167" s="2271"/>
      <c r="DO167" s="2271"/>
      <c r="DP167" s="2271"/>
      <c r="DV167" s="9"/>
      <c r="ED167" s="25"/>
      <c r="EE167" s="25"/>
      <c r="EF167" s="25"/>
      <c r="EN167" s="112"/>
      <c r="EO167" s="115"/>
    </row>
    <row r="168" spans="2:156" ht="15" customHeight="1">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c r="BM168" s="2"/>
      <c r="BN168" s="2"/>
      <c r="BO168" s="2"/>
      <c r="BP168" s="2"/>
      <c r="BQ168" s="2"/>
      <c r="BR168" s="2"/>
      <c r="BS168" s="2"/>
      <c r="BT168" s="2"/>
      <c r="BU168" s="2"/>
      <c r="BV168" s="2"/>
      <c r="BW168" s="2"/>
      <c r="BX168" s="2"/>
      <c r="BY168" s="2"/>
      <c r="BZ168" s="2"/>
      <c r="DB168" s="8"/>
      <c r="DC168" s="2222"/>
      <c r="DD168" s="2223"/>
      <c r="DE168" s="2220"/>
      <c r="DF168" s="2221"/>
      <c r="DG168" s="2221"/>
      <c r="DH168" s="2221"/>
      <c r="DI168" s="2221"/>
      <c r="DJ168" s="2221"/>
      <c r="DK168" s="2221"/>
      <c r="DL168" s="2269"/>
      <c r="DM168" s="2270"/>
      <c r="DN168" s="2271"/>
      <c r="DO168" s="2271"/>
      <c r="DP168" s="2271"/>
      <c r="DV168" s="9"/>
      <c r="ED168" s="25"/>
      <c r="EE168" s="25"/>
      <c r="EF168" s="25"/>
      <c r="EN168" s="112"/>
      <c r="EO168" s="115"/>
    </row>
    <row r="169" spans="2:156" ht="15" customHeight="1">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c r="BM169" s="2"/>
      <c r="BN169" s="2"/>
      <c r="BO169" s="2"/>
      <c r="BP169" s="2"/>
      <c r="BQ169" s="2"/>
      <c r="BR169" s="2"/>
      <c r="BS169" s="2"/>
      <c r="BT169" s="2"/>
      <c r="BU169" s="2"/>
      <c r="BV169" s="2"/>
      <c r="BW169" s="2"/>
      <c r="BX169" s="2"/>
      <c r="BY169" s="2"/>
      <c r="BZ169" s="2"/>
      <c r="DB169" s="8"/>
      <c r="DC169" s="2222"/>
      <c r="DD169" s="2223"/>
      <c r="DE169" s="2220"/>
      <c r="DF169" s="2221"/>
      <c r="DG169" s="2221"/>
      <c r="DH169" s="2221"/>
      <c r="DI169" s="2221"/>
      <c r="DJ169" s="2221"/>
      <c r="DK169" s="2221"/>
      <c r="DL169" s="2269"/>
      <c r="DM169" s="2270"/>
      <c r="DN169" s="2271"/>
      <c r="DO169" s="2271"/>
      <c r="DP169" s="2271"/>
      <c r="DV169" s="9"/>
      <c r="ED169" s="25"/>
      <c r="EE169" s="25"/>
      <c r="EF169" s="25"/>
      <c r="EN169" s="112"/>
      <c r="EO169" s="115"/>
    </row>
    <row r="170" spans="2:156" ht="15" customHeight="1">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c r="BM170" s="2"/>
      <c r="BN170" s="2"/>
      <c r="BO170" s="2"/>
      <c r="BP170" s="2"/>
      <c r="BQ170" s="2"/>
      <c r="BR170" s="2"/>
      <c r="BS170" s="2"/>
      <c r="BT170" s="2"/>
      <c r="BU170" s="2"/>
      <c r="BV170" s="2"/>
      <c r="BW170" s="2"/>
      <c r="BX170" s="2"/>
      <c r="BY170" s="2"/>
      <c r="BZ170" s="2"/>
      <c r="DB170" s="8"/>
      <c r="DC170" s="2222"/>
      <c r="DD170" s="2223"/>
      <c r="DE170" s="2220"/>
      <c r="DF170" s="2221"/>
      <c r="DG170" s="2221"/>
      <c r="DH170" s="2221"/>
      <c r="DI170" s="2221"/>
      <c r="DJ170" s="2221"/>
      <c r="DK170" s="2221"/>
      <c r="DL170" s="2269"/>
      <c r="DM170" s="2270"/>
      <c r="DN170" s="2271"/>
      <c r="DO170" s="2271"/>
      <c r="DP170" s="2271"/>
      <c r="DV170" s="9"/>
      <c r="ED170" s="25"/>
      <c r="EE170" s="25"/>
      <c r="EF170" s="25"/>
      <c r="EN170" s="112"/>
      <c r="ES170" s="2219"/>
      <c r="ET170" s="2219"/>
    </row>
    <row r="171" spans="2:156" ht="15" customHeight="1">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c r="BM171" s="2"/>
      <c r="BN171" s="2"/>
      <c r="BO171" s="2"/>
      <c r="BP171" s="2"/>
      <c r="BQ171" s="2"/>
      <c r="BR171" s="2"/>
      <c r="BS171" s="2"/>
      <c r="BT171" s="2"/>
      <c r="BU171" s="2"/>
      <c r="BV171" s="2"/>
      <c r="BW171" s="2"/>
      <c r="BX171" s="2"/>
      <c r="BY171" s="2"/>
      <c r="BZ171" s="2"/>
      <c r="DB171" s="8"/>
      <c r="DC171" s="2222">
        <v>30</v>
      </c>
      <c r="DD171" s="2223"/>
      <c r="DE171" s="2220" t="str">
        <f>'Concr. Pg 3'!BP58</f>
        <v/>
      </c>
      <c r="DF171" s="2221"/>
      <c r="DG171" s="2221"/>
      <c r="DH171" s="2221"/>
      <c r="DI171" s="2221" t="str">
        <f>IF('Concr. Pg 3'!X58="","",DR$41-'Concr. Pg 3'!X58)</f>
        <v/>
      </c>
      <c r="DJ171" s="2221"/>
      <c r="DK171" s="2221"/>
      <c r="DL171" s="2269"/>
      <c r="DM171" s="2270" t="str">
        <f>IF(L$28="","",IF('Concr. Pg 3'!X58="","",L$28-'Concr. Pg 3'!X58))</f>
        <v/>
      </c>
      <c r="DN171" s="2271"/>
      <c r="DO171" s="2271"/>
      <c r="DP171" s="2271"/>
      <c r="DV171" s="9"/>
      <c r="ED171" s="25"/>
      <c r="EE171" s="25"/>
      <c r="EF171" s="25"/>
      <c r="EN171" s="112"/>
      <c r="EO171" s="115"/>
      <c r="ES171" s="2219"/>
      <c r="ET171" s="2219"/>
    </row>
    <row r="172" spans="2:156" ht="15" customHeight="1">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c r="BM172" s="2"/>
      <c r="BN172" s="2"/>
      <c r="BO172" s="2"/>
      <c r="BP172" s="2"/>
      <c r="BQ172" s="2"/>
      <c r="BR172" s="2"/>
      <c r="BS172" s="2"/>
      <c r="BT172" s="2"/>
      <c r="BU172" s="2"/>
      <c r="BV172" s="2"/>
      <c r="BW172" s="2"/>
      <c r="BX172" s="2"/>
      <c r="BY172" s="2"/>
      <c r="BZ172" s="2"/>
      <c r="DB172" s="8"/>
      <c r="DC172" s="2222"/>
      <c r="DD172" s="2223"/>
      <c r="DE172" s="2220"/>
      <c r="DF172" s="2221"/>
      <c r="DG172" s="2221"/>
      <c r="DH172" s="2221"/>
      <c r="DI172" s="2221"/>
      <c r="DJ172" s="2221"/>
      <c r="DK172" s="2221"/>
      <c r="DL172" s="2269"/>
      <c r="DM172" s="2270"/>
      <c r="DN172" s="2271"/>
      <c r="DO172" s="2271"/>
      <c r="DP172" s="2271"/>
      <c r="DV172" s="9"/>
      <c r="ED172" s="25"/>
      <c r="EE172" s="25"/>
      <c r="EF172" s="25"/>
      <c r="EN172" s="112"/>
      <c r="EO172" s="115"/>
      <c r="ET172" s="18"/>
      <c r="EU172" s="18"/>
      <c r="EV172" s="18"/>
      <c r="EW172" s="18"/>
      <c r="EX172" s="18"/>
      <c r="EY172" s="18"/>
      <c r="EZ172" s="18"/>
    </row>
    <row r="173" spans="2:156" ht="15" customHeight="1">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c r="BM173" s="2"/>
      <c r="BN173" s="2"/>
      <c r="BO173" s="2"/>
      <c r="BP173" s="2"/>
      <c r="BQ173" s="2"/>
      <c r="BR173" s="2"/>
      <c r="BS173" s="2"/>
      <c r="BT173" s="2"/>
      <c r="BU173" s="2"/>
      <c r="BV173" s="2"/>
      <c r="BW173" s="2"/>
      <c r="BX173" s="2"/>
      <c r="BY173" s="2"/>
      <c r="BZ173" s="2"/>
      <c r="DB173" s="8"/>
      <c r="DC173" s="2222"/>
      <c r="DD173" s="2223"/>
      <c r="DE173" s="2220"/>
      <c r="DF173" s="2221"/>
      <c r="DG173" s="2221"/>
      <c r="DH173" s="2221"/>
      <c r="DI173" s="2221"/>
      <c r="DJ173" s="2221"/>
      <c r="DK173" s="2221"/>
      <c r="DL173" s="2269"/>
      <c r="DM173" s="2270"/>
      <c r="DN173" s="2271"/>
      <c r="DO173" s="2271"/>
      <c r="DP173" s="2271"/>
      <c r="DV173" s="9"/>
      <c r="ED173" s="25"/>
      <c r="EE173" s="25"/>
      <c r="EF173" s="25"/>
      <c r="EP173" s="112"/>
      <c r="EQ173" s="115"/>
      <c r="ET173" s="18"/>
      <c r="EU173" s="18"/>
      <c r="EV173" s="18"/>
    </row>
    <row r="174" spans="2:156" ht="15" customHeight="1">
      <c r="B174" s="2"/>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c r="BM174" s="2"/>
      <c r="BN174" s="2"/>
      <c r="BO174" s="2"/>
      <c r="BP174" s="2"/>
      <c r="BQ174" s="2"/>
      <c r="BR174" s="2"/>
      <c r="BS174" s="2"/>
      <c r="BT174" s="2"/>
      <c r="BU174" s="2"/>
      <c r="BV174" s="2"/>
      <c r="BW174" s="2"/>
      <c r="BX174" s="2"/>
      <c r="BY174" s="2"/>
      <c r="BZ174" s="2"/>
      <c r="DB174" s="8"/>
      <c r="DC174" s="2222"/>
      <c r="DD174" s="2223"/>
      <c r="DE174" s="2220"/>
      <c r="DF174" s="2221"/>
      <c r="DG174" s="2221"/>
      <c r="DH174" s="2221"/>
      <c r="DI174" s="2221"/>
      <c r="DJ174" s="2221"/>
      <c r="DK174" s="2221"/>
      <c r="DL174" s="2269"/>
      <c r="DM174" s="2270"/>
      <c r="DN174" s="2271"/>
      <c r="DO174" s="2271"/>
      <c r="DP174" s="2271"/>
      <c r="DV174" s="9"/>
      <c r="ED174" s="25"/>
      <c r="EE174" s="25"/>
      <c r="EF174" s="25"/>
      <c r="EP174" s="112"/>
      <c r="ET174" s="18"/>
      <c r="EU174" s="18"/>
      <c r="EV174" s="18"/>
    </row>
    <row r="175" spans="2:156" ht="15" customHeight="1">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c r="BM175" s="2"/>
      <c r="BN175" s="2"/>
      <c r="BO175" s="2"/>
      <c r="BP175" s="2"/>
      <c r="BQ175" s="2"/>
      <c r="BR175" s="2"/>
      <c r="BS175" s="2"/>
      <c r="BT175" s="2"/>
      <c r="BU175" s="2"/>
      <c r="BV175" s="2"/>
      <c r="BW175" s="2"/>
      <c r="BX175" s="2"/>
      <c r="BY175" s="2"/>
      <c r="BZ175" s="2"/>
      <c r="DB175" s="8"/>
      <c r="DC175" s="2222">
        <v>31</v>
      </c>
      <c r="DD175" s="2223"/>
      <c r="DE175" s="2220" t="str">
        <f>'Concr. Pg 3'!BP62</f>
        <v/>
      </c>
      <c r="DF175" s="2221"/>
      <c r="DG175" s="2221"/>
      <c r="DH175" s="2221"/>
      <c r="DI175" s="2221" t="str">
        <f>IF('Concr. Pg 3'!X62="","",DR$41-'Concr. Pg 3'!X62)</f>
        <v/>
      </c>
      <c r="DJ175" s="2221"/>
      <c r="DK175" s="2221"/>
      <c r="DL175" s="2269"/>
      <c r="DM175" s="2270" t="str">
        <f>IF(L$28="","",IF('Concr. Pg 3'!X62="","",L$28-'Concr. Pg 3'!X62))</f>
        <v/>
      </c>
      <c r="DN175" s="2271"/>
      <c r="DO175" s="2271"/>
      <c r="DP175" s="2271"/>
      <c r="DV175" s="9"/>
      <c r="ED175" s="25"/>
      <c r="EE175" s="25"/>
      <c r="EF175" s="25"/>
      <c r="EP175" s="112"/>
      <c r="EQ175" s="115"/>
      <c r="ET175" s="18"/>
      <c r="EU175" s="18"/>
      <c r="EV175" s="18"/>
    </row>
    <row r="176" spans="2:156" ht="15" customHeight="1">
      <c r="B176" s="2"/>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c r="BM176" s="2"/>
      <c r="BN176" s="2"/>
      <c r="BO176" s="2"/>
      <c r="BP176" s="2"/>
      <c r="BQ176" s="2"/>
      <c r="BR176" s="2"/>
      <c r="BS176" s="2"/>
      <c r="BT176" s="2"/>
      <c r="BU176" s="2"/>
      <c r="BV176" s="2"/>
      <c r="BW176" s="2"/>
      <c r="BX176" s="2"/>
      <c r="BY176" s="2"/>
      <c r="BZ176" s="2"/>
      <c r="DB176" s="8"/>
      <c r="DC176" s="2222"/>
      <c r="DD176" s="2223"/>
      <c r="DE176" s="2220"/>
      <c r="DF176" s="2221"/>
      <c r="DG176" s="2221"/>
      <c r="DH176" s="2221"/>
      <c r="DI176" s="2221"/>
      <c r="DJ176" s="2221"/>
      <c r="DK176" s="2221"/>
      <c r="DL176" s="2269"/>
      <c r="DM176" s="2270"/>
      <c r="DN176" s="2271"/>
      <c r="DO176" s="2271"/>
      <c r="DP176" s="2271"/>
      <c r="DV176" s="9"/>
      <c r="ED176" s="25"/>
      <c r="EE176" s="25"/>
      <c r="EF176" s="25"/>
      <c r="EP176" s="112"/>
      <c r="EQ176" s="115"/>
      <c r="ET176" s="18"/>
      <c r="EU176" s="18"/>
      <c r="EV176" s="18"/>
    </row>
    <row r="177" spans="2:152" ht="15" customHeight="1">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c r="BM177" s="2"/>
      <c r="BN177" s="2"/>
      <c r="BO177" s="2"/>
      <c r="BP177" s="2"/>
      <c r="BQ177" s="2"/>
      <c r="BR177" s="2"/>
      <c r="BS177" s="2"/>
      <c r="BT177" s="2"/>
      <c r="BU177" s="2"/>
      <c r="BV177" s="2"/>
      <c r="BW177" s="2"/>
      <c r="BX177" s="2"/>
      <c r="BY177" s="2"/>
      <c r="BZ177" s="2"/>
      <c r="DB177" s="8"/>
      <c r="DC177" s="2222"/>
      <c r="DD177" s="2223"/>
      <c r="DE177" s="2220"/>
      <c r="DF177" s="2221"/>
      <c r="DG177" s="2221"/>
      <c r="DH177" s="2221"/>
      <c r="DI177" s="2221"/>
      <c r="DJ177" s="2221"/>
      <c r="DK177" s="2221"/>
      <c r="DL177" s="2269"/>
      <c r="DM177" s="2270"/>
      <c r="DN177" s="2271"/>
      <c r="DO177" s="2271"/>
      <c r="DP177" s="2271"/>
      <c r="DV177" s="9"/>
      <c r="ED177" s="25"/>
      <c r="EE177" s="25"/>
      <c r="EF177" s="25"/>
      <c r="EP177" s="112"/>
      <c r="EQ177" s="115"/>
      <c r="ET177" s="18"/>
      <c r="EU177" s="18"/>
      <c r="EV177" s="18"/>
    </row>
    <row r="178" spans="2:152" ht="15" customHeight="1">
      <c r="B178" s="2"/>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c r="BI178" s="2"/>
      <c r="BJ178" s="2"/>
      <c r="BK178" s="2"/>
      <c r="BL178" s="2"/>
      <c r="BM178" s="2"/>
      <c r="BN178" s="2"/>
      <c r="BO178" s="2"/>
      <c r="BP178" s="2"/>
      <c r="BQ178" s="2"/>
      <c r="BR178" s="2"/>
      <c r="BS178" s="2"/>
      <c r="BT178" s="2"/>
      <c r="BU178" s="2"/>
      <c r="BV178" s="2"/>
      <c r="BW178" s="2"/>
      <c r="BX178" s="2"/>
      <c r="BY178" s="2"/>
      <c r="BZ178" s="2"/>
      <c r="DB178" s="8"/>
      <c r="DC178" s="2222"/>
      <c r="DD178" s="2223"/>
      <c r="DE178" s="2220"/>
      <c r="DF178" s="2221"/>
      <c r="DG178" s="2221"/>
      <c r="DH178" s="2221"/>
      <c r="DI178" s="2221"/>
      <c r="DJ178" s="2221"/>
      <c r="DK178" s="2221"/>
      <c r="DL178" s="2269"/>
      <c r="DM178" s="2270"/>
      <c r="DN178" s="2271"/>
      <c r="DO178" s="2271"/>
      <c r="DP178" s="2271"/>
      <c r="DV178" s="9"/>
      <c r="ED178" s="25"/>
      <c r="EE178" s="25"/>
      <c r="EF178" s="25"/>
      <c r="EP178" s="112"/>
      <c r="ET178" s="18"/>
      <c r="EU178" s="18"/>
      <c r="EV178" s="18"/>
    </row>
    <row r="179" spans="2:152" ht="15" customHeight="1">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c r="BM179" s="2"/>
      <c r="BN179" s="2"/>
      <c r="BO179" s="2"/>
      <c r="BP179" s="2"/>
      <c r="BQ179" s="2"/>
      <c r="BR179" s="2"/>
      <c r="BS179" s="2"/>
      <c r="BT179" s="2"/>
      <c r="BU179" s="2"/>
      <c r="BV179" s="2"/>
      <c r="BW179" s="2"/>
      <c r="BX179" s="2"/>
      <c r="BY179" s="2"/>
      <c r="BZ179" s="2"/>
      <c r="DB179" s="8"/>
      <c r="DC179" s="2222">
        <v>32</v>
      </c>
      <c r="DD179" s="2223"/>
      <c r="DE179" s="2220" t="str">
        <f>'Concr. Pg 3'!BP66</f>
        <v/>
      </c>
      <c r="DF179" s="2221"/>
      <c r="DG179" s="2221"/>
      <c r="DH179" s="2221"/>
      <c r="DI179" s="2221" t="str">
        <f>IF('Concr. Pg 3'!X66="","",DR$41-'Concr. Pg 3'!X66)</f>
        <v/>
      </c>
      <c r="DJ179" s="2221"/>
      <c r="DK179" s="2221"/>
      <c r="DL179" s="2269"/>
      <c r="DM179" s="2270" t="str">
        <f>IF(L$28="","",IF('Concr. Pg 3'!X66="","",L$28-'Concr. Pg 3'!X66))</f>
        <v/>
      </c>
      <c r="DN179" s="2271"/>
      <c r="DO179" s="2271"/>
      <c r="DP179" s="2271"/>
      <c r="DV179" s="9"/>
      <c r="ED179" s="25"/>
      <c r="EE179" s="25"/>
      <c r="EF179" s="25"/>
      <c r="EP179" s="112"/>
      <c r="EQ179" s="115"/>
      <c r="ET179" s="18"/>
      <c r="EU179" s="18"/>
      <c r="EV179" s="18"/>
    </row>
    <row r="180" spans="2:152" ht="15" customHeight="1">
      <c r="B180" s="2"/>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c r="BK180" s="2"/>
      <c r="BL180" s="2"/>
      <c r="BM180" s="2"/>
      <c r="BN180" s="2"/>
      <c r="BO180" s="2"/>
      <c r="BP180" s="2"/>
      <c r="BQ180" s="2"/>
      <c r="BR180" s="2"/>
      <c r="BS180" s="2"/>
      <c r="BT180" s="2"/>
      <c r="BU180" s="2"/>
      <c r="BV180" s="2"/>
      <c r="BW180" s="2"/>
      <c r="BX180" s="2"/>
      <c r="BY180" s="2"/>
      <c r="BZ180" s="2"/>
      <c r="DB180" s="8"/>
      <c r="DC180" s="2222"/>
      <c r="DD180" s="2223"/>
      <c r="DE180" s="2220"/>
      <c r="DF180" s="2221"/>
      <c r="DG180" s="2221"/>
      <c r="DH180" s="2221"/>
      <c r="DI180" s="2221"/>
      <c r="DJ180" s="2221"/>
      <c r="DK180" s="2221"/>
      <c r="DL180" s="2269"/>
      <c r="DM180" s="2270"/>
      <c r="DN180" s="2271"/>
      <c r="DO180" s="2271"/>
      <c r="DP180" s="2271"/>
      <c r="DV180" s="9"/>
      <c r="ED180" s="25"/>
      <c r="EE180" s="25"/>
      <c r="EF180" s="25"/>
      <c r="EP180" s="112"/>
      <c r="EQ180" s="115"/>
      <c r="ET180" s="18"/>
      <c r="EU180" s="18"/>
      <c r="EV180" s="18"/>
    </row>
    <row r="181" spans="2:152" ht="15" customHeight="1">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c r="BI181" s="2"/>
      <c r="BJ181" s="2"/>
      <c r="BK181" s="2"/>
      <c r="BL181" s="2"/>
      <c r="BM181" s="2"/>
      <c r="BN181" s="2"/>
      <c r="BO181" s="2"/>
      <c r="BP181" s="2"/>
      <c r="BQ181" s="2"/>
      <c r="BR181" s="2"/>
      <c r="BS181" s="2"/>
      <c r="BT181" s="2"/>
      <c r="BU181" s="2"/>
      <c r="BV181" s="2"/>
      <c r="BW181" s="2"/>
      <c r="BX181" s="2"/>
      <c r="BY181" s="2"/>
      <c r="BZ181" s="2"/>
      <c r="DB181" s="8"/>
      <c r="DC181" s="2222"/>
      <c r="DD181" s="2223"/>
      <c r="DE181" s="2220"/>
      <c r="DF181" s="2221"/>
      <c r="DG181" s="2221"/>
      <c r="DH181" s="2221"/>
      <c r="DI181" s="2221"/>
      <c r="DJ181" s="2221"/>
      <c r="DK181" s="2221"/>
      <c r="DL181" s="2269"/>
      <c r="DM181" s="2270"/>
      <c r="DN181" s="2271"/>
      <c r="DO181" s="2271"/>
      <c r="DP181" s="2271"/>
      <c r="DR181" s="2228" t="s">
        <v>240</v>
      </c>
      <c r="DS181" s="2228"/>
      <c r="DT181" s="2228"/>
      <c r="DU181" s="2228"/>
      <c r="DV181" s="9"/>
      <c r="ED181" s="25"/>
      <c r="EE181" s="25"/>
      <c r="EF181" s="25"/>
      <c r="EP181" s="112"/>
      <c r="EQ181" s="115"/>
      <c r="ET181" s="18"/>
      <c r="EU181" s="18"/>
      <c r="EV181" s="18"/>
    </row>
    <row r="182" spans="2:152" ht="15" customHeight="1">
      <c r="DB182" s="8"/>
      <c r="DC182" s="2222"/>
      <c r="DD182" s="2223"/>
      <c r="DE182" s="2220"/>
      <c r="DF182" s="2221"/>
      <c r="DG182" s="2221"/>
      <c r="DH182" s="2221"/>
      <c r="DI182" s="2221"/>
      <c r="DJ182" s="2221"/>
      <c r="DK182" s="2221"/>
      <c r="DL182" s="2269"/>
      <c r="DM182" s="2270"/>
      <c r="DN182" s="2271"/>
      <c r="DO182" s="2271"/>
      <c r="DP182" s="2271"/>
      <c r="DR182" s="2228"/>
      <c r="DS182" s="2228"/>
      <c r="DT182" s="2228"/>
      <c r="DU182" s="2228"/>
      <c r="DV182" s="9"/>
      <c r="ED182" s="25"/>
      <c r="EE182" s="25"/>
      <c r="EF182" s="25"/>
      <c r="EP182" s="112"/>
      <c r="EQ182" s="115"/>
      <c r="ET182" s="18"/>
      <c r="EU182" s="18"/>
      <c r="EV182" s="18"/>
    </row>
    <row r="183" spans="2:152" ht="15" customHeight="1">
      <c r="DB183" s="8"/>
      <c r="DC183" s="2222">
        <v>33</v>
      </c>
      <c r="DD183" s="2223"/>
      <c r="DE183" s="2220" t="str">
        <f>'Concr. Pg 3'!BP70</f>
        <v/>
      </c>
      <c r="DF183" s="2221"/>
      <c r="DG183" s="2221"/>
      <c r="DH183" s="2221"/>
      <c r="DI183" s="2221" t="str">
        <f>IF('Concr. Pg 3'!X70="","",DR$41-'Concr. Pg 3'!X70)</f>
        <v/>
      </c>
      <c r="DJ183" s="2221"/>
      <c r="DK183" s="2221"/>
      <c r="DL183" s="2269"/>
      <c r="DM183" s="2270" t="str">
        <f>IF(L$28="","",IF('Concr. Pg 3'!X70="","",L$28-'Concr. Pg 3'!X70))</f>
        <v/>
      </c>
      <c r="DN183" s="2271"/>
      <c r="DO183" s="2271"/>
      <c r="DP183" s="2271"/>
      <c r="DR183" s="2228"/>
      <c r="DS183" s="2228"/>
      <c r="DT183" s="2228"/>
      <c r="DU183" s="2228"/>
      <c r="DV183" s="9"/>
      <c r="ED183" s="25"/>
      <c r="EE183" s="25"/>
      <c r="EF183" s="25"/>
      <c r="EP183" s="112"/>
      <c r="EQ183" s="115"/>
      <c r="ET183" s="18"/>
      <c r="EU183" s="18"/>
      <c r="EV183" s="18"/>
    </row>
    <row r="184" spans="2:152" ht="15" customHeight="1">
      <c r="DB184" s="8"/>
      <c r="DC184" s="2222"/>
      <c r="DD184" s="2223"/>
      <c r="DE184" s="2220"/>
      <c r="DF184" s="2221"/>
      <c r="DG184" s="2221"/>
      <c r="DH184" s="2221"/>
      <c r="DI184" s="2221"/>
      <c r="DJ184" s="2221"/>
      <c r="DK184" s="2221"/>
      <c r="DL184" s="2269"/>
      <c r="DM184" s="2270"/>
      <c r="DN184" s="2271"/>
      <c r="DO184" s="2271"/>
      <c r="DP184" s="2271"/>
      <c r="DR184" s="2228"/>
      <c r="DS184" s="2228"/>
      <c r="DT184" s="2228"/>
      <c r="DU184" s="2228"/>
      <c r="DV184" s="9"/>
      <c r="ED184" s="25"/>
      <c r="EE184" s="25"/>
      <c r="EF184" s="25"/>
      <c r="EP184" s="112"/>
      <c r="EQ184" s="115"/>
      <c r="ET184" s="18"/>
      <c r="EU184" s="18"/>
      <c r="EV184" s="18"/>
    </row>
    <row r="185" spans="2:152" ht="15" customHeight="1">
      <c r="DB185" s="8"/>
      <c r="DC185" s="2222"/>
      <c r="DD185" s="2223"/>
      <c r="DE185" s="2220"/>
      <c r="DF185" s="2221"/>
      <c r="DG185" s="2221"/>
      <c r="DH185" s="2221"/>
      <c r="DI185" s="2221"/>
      <c r="DJ185" s="2221"/>
      <c r="DK185" s="2221"/>
      <c r="DL185" s="2269"/>
      <c r="DM185" s="2270"/>
      <c r="DN185" s="2271"/>
      <c r="DO185" s="2271"/>
      <c r="DP185" s="2271"/>
      <c r="DV185" s="9"/>
      <c r="ED185" s="25"/>
      <c r="EE185" s="25"/>
      <c r="EF185" s="25"/>
      <c r="EP185" s="112"/>
      <c r="EQ185" s="115"/>
      <c r="ET185" s="18"/>
      <c r="EU185" s="18"/>
      <c r="EV185" s="18"/>
    </row>
    <row r="186" spans="2:152" ht="15" customHeight="1">
      <c r="DB186" s="8"/>
      <c r="DC186" s="2222"/>
      <c r="DD186" s="2223"/>
      <c r="DE186" s="2220"/>
      <c r="DF186" s="2221"/>
      <c r="DG186" s="2221"/>
      <c r="DH186" s="2221"/>
      <c r="DI186" s="2221"/>
      <c r="DJ186" s="2221"/>
      <c r="DK186" s="2221"/>
      <c r="DL186" s="2269"/>
      <c r="DM186" s="2270"/>
      <c r="DN186" s="2271"/>
      <c r="DO186" s="2271"/>
      <c r="DP186" s="2271"/>
      <c r="DV186" s="9"/>
      <c r="ED186" s="25"/>
      <c r="EE186" s="25"/>
      <c r="EF186" s="25"/>
      <c r="EP186" s="112"/>
      <c r="EQ186" s="115"/>
      <c r="ET186" s="18"/>
      <c r="EU186" s="18"/>
      <c r="EV186" s="18"/>
    </row>
    <row r="187" spans="2:152" ht="15" customHeight="1">
      <c r="DB187" s="8"/>
      <c r="DC187" s="2222">
        <v>34</v>
      </c>
      <c r="DD187" s="2223"/>
      <c r="DE187" s="2220" t="str">
        <f>'Concr. Pg 3'!BP74</f>
        <v/>
      </c>
      <c r="DF187" s="2221"/>
      <c r="DG187" s="2221"/>
      <c r="DH187" s="2221"/>
      <c r="DI187" s="2221" t="str">
        <f>IF('Concr. Pg 3'!X74="","",DR$41-'Concr. Pg 3'!X74)</f>
        <v/>
      </c>
      <c r="DJ187" s="2221"/>
      <c r="DK187" s="2221"/>
      <c r="DL187" s="2269"/>
      <c r="DM187" s="2270" t="str">
        <f>IF(L$28="","",IF('Concr. Pg 3'!X74="","",L$28-'Concr. Pg 3'!X74))</f>
        <v/>
      </c>
      <c r="DN187" s="2271"/>
      <c r="DO187" s="2271"/>
      <c r="DP187" s="2271"/>
      <c r="DV187" s="9"/>
      <c r="ED187" s="25"/>
      <c r="EE187" s="25"/>
      <c r="EF187" s="25"/>
      <c r="EP187" s="112"/>
      <c r="EQ187" s="115"/>
      <c r="ET187" s="18"/>
      <c r="EU187" s="18"/>
      <c r="EV187" s="18"/>
    </row>
    <row r="188" spans="2:152" ht="15" customHeight="1">
      <c r="DB188" s="8"/>
      <c r="DC188" s="2222"/>
      <c r="DD188" s="2223"/>
      <c r="DE188" s="2220"/>
      <c r="DF188" s="2221"/>
      <c r="DG188" s="2221"/>
      <c r="DH188" s="2221"/>
      <c r="DI188" s="2221"/>
      <c r="DJ188" s="2221"/>
      <c r="DK188" s="2221"/>
      <c r="DL188" s="2269"/>
      <c r="DM188" s="2270"/>
      <c r="DN188" s="2271"/>
      <c r="DO188" s="2271"/>
      <c r="DP188" s="2271"/>
      <c r="DV188" s="9"/>
      <c r="ED188" s="25"/>
      <c r="EE188" s="25"/>
      <c r="EF188" s="25"/>
      <c r="EP188" s="112"/>
      <c r="EQ188" s="115"/>
      <c r="ET188" s="18"/>
      <c r="EU188" s="18"/>
      <c r="EV188" s="18"/>
    </row>
    <row r="189" spans="2:152" ht="15" customHeight="1">
      <c r="DB189" s="8"/>
      <c r="DC189" s="2222"/>
      <c r="DD189" s="2223"/>
      <c r="DE189" s="2220"/>
      <c r="DF189" s="2221"/>
      <c r="DG189" s="2221"/>
      <c r="DH189" s="2221"/>
      <c r="DI189" s="2221"/>
      <c r="DJ189" s="2221"/>
      <c r="DK189" s="2221"/>
      <c r="DL189" s="2269"/>
      <c r="DM189" s="2270"/>
      <c r="DN189" s="2271"/>
      <c r="DO189" s="2271"/>
      <c r="DP189" s="2271"/>
      <c r="DV189" s="9"/>
      <c r="ED189" s="25"/>
      <c r="EE189" s="25"/>
      <c r="EF189" s="25"/>
      <c r="EP189" s="112"/>
      <c r="EQ189" s="115"/>
      <c r="ET189" s="18"/>
      <c r="EU189" s="18"/>
      <c r="EV189" s="18"/>
    </row>
    <row r="190" spans="2:152" ht="15" customHeight="1">
      <c r="DB190" s="8"/>
      <c r="DC190" s="2222"/>
      <c r="DD190" s="2223"/>
      <c r="DE190" s="2220"/>
      <c r="DF190" s="2221"/>
      <c r="DG190" s="2221"/>
      <c r="DH190" s="2221"/>
      <c r="DI190" s="2221"/>
      <c r="DJ190" s="2221"/>
      <c r="DK190" s="2221"/>
      <c r="DL190" s="2269"/>
      <c r="DM190" s="2270"/>
      <c r="DN190" s="2271"/>
      <c r="DO190" s="2271"/>
      <c r="DP190" s="2271"/>
      <c r="DV190" s="9"/>
      <c r="ED190" s="25"/>
      <c r="EE190" s="25"/>
      <c r="EF190" s="25"/>
      <c r="EP190" s="112"/>
      <c r="EQ190" s="115"/>
    </row>
    <row r="191" spans="2:152" ht="15" customHeight="1">
      <c r="DB191" s="8"/>
      <c r="DC191" s="2222">
        <v>35</v>
      </c>
      <c r="DD191" s="2223"/>
      <c r="DE191" s="2220" t="str">
        <f>'Concr. Pg 3'!BP78</f>
        <v/>
      </c>
      <c r="DF191" s="2221"/>
      <c r="DG191" s="2221"/>
      <c r="DH191" s="2221"/>
      <c r="DI191" s="2221" t="str">
        <f>IF('Concr. Pg 3'!X78="","",DR$41-'Concr. Pg 3'!X78)</f>
        <v/>
      </c>
      <c r="DJ191" s="2221"/>
      <c r="DK191" s="2221"/>
      <c r="DL191" s="2269"/>
      <c r="DM191" s="2270" t="str">
        <f>IF(L$28="","",IF('Concr. Pg 3'!X78="","",L$28-'Concr. Pg 3'!X78))</f>
        <v/>
      </c>
      <c r="DN191" s="2271"/>
      <c r="DO191" s="2271"/>
      <c r="DP191" s="2271"/>
      <c r="DV191" s="9"/>
      <c r="ED191" s="25"/>
      <c r="EE191" s="25"/>
      <c r="EF191" s="25"/>
      <c r="EP191" s="112"/>
      <c r="EQ191" s="115"/>
    </row>
    <row r="192" spans="2:152" ht="15" customHeight="1">
      <c r="DB192" s="8"/>
      <c r="DC192" s="2222"/>
      <c r="DD192" s="2223"/>
      <c r="DE192" s="2220"/>
      <c r="DF192" s="2221"/>
      <c r="DG192" s="2221"/>
      <c r="DH192" s="2221"/>
      <c r="DI192" s="2221"/>
      <c r="DJ192" s="2221"/>
      <c r="DK192" s="2221"/>
      <c r="DL192" s="2269"/>
      <c r="DM192" s="2270"/>
      <c r="DN192" s="2271"/>
      <c r="DO192" s="2271"/>
      <c r="DP192" s="2271"/>
      <c r="DV192" s="9"/>
      <c r="ED192" s="25"/>
      <c r="EE192" s="25"/>
      <c r="EF192" s="25"/>
      <c r="EP192" s="112"/>
      <c r="EQ192" s="115"/>
    </row>
    <row r="193" spans="106:147" ht="15" customHeight="1">
      <c r="DB193" s="8"/>
      <c r="DC193" s="2222"/>
      <c r="DD193" s="2223"/>
      <c r="DE193" s="2220"/>
      <c r="DF193" s="2221"/>
      <c r="DG193" s="2221"/>
      <c r="DH193" s="2221"/>
      <c r="DI193" s="2221"/>
      <c r="DJ193" s="2221"/>
      <c r="DK193" s="2221"/>
      <c r="DL193" s="2269"/>
      <c r="DM193" s="2270"/>
      <c r="DN193" s="2271"/>
      <c r="DO193" s="2271"/>
      <c r="DP193" s="2271"/>
      <c r="DV193" s="9"/>
      <c r="ED193" s="25"/>
      <c r="EE193" s="25"/>
      <c r="EF193" s="25"/>
      <c r="EP193" s="112"/>
      <c r="EQ193" s="115"/>
    </row>
    <row r="194" spans="106:147" ht="15" customHeight="1">
      <c r="DB194" s="8"/>
      <c r="DC194" s="2222"/>
      <c r="DD194" s="2223"/>
      <c r="DE194" s="2220"/>
      <c r="DF194" s="2221"/>
      <c r="DG194" s="2221"/>
      <c r="DH194" s="2221"/>
      <c r="DI194" s="2221"/>
      <c r="DJ194" s="2221"/>
      <c r="DK194" s="2221"/>
      <c r="DL194" s="2269"/>
      <c r="DM194" s="2270"/>
      <c r="DN194" s="2271"/>
      <c r="DO194" s="2271"/>
      <c r="DP194" s="2271"/>
      <c r="DV194" s="9"/>
      <c r="ED194" s="25"/>
      <c r="EE194" s="25"/>
      <c r="EF194" s="25"/>
      <c r="EP194" s="112"/>
      <c r="EQ194" s="115"/>
    </row>
    <row r="195" spans="106:147" ht="15" customHeight="1">
      <c r="DB195" s="8"/>
      <c r="DC195" s="2222">
        <v>36</v>
      </c>
      <c r="DD195" s="2223"/>
      <c r="DE195" s="2220" t="str">
        <f>'Concr. Pg 3'!BP82</f>
        <v/>
      </c>
      <c r="DF195" s="2221"/>
      <c r="DG195" s="2221"/>
      <c r="DH195" s="2221"/>
      <c r="DI195" s="2221" t="str">
        <f>IF('Concr. Pg 3'!X82="","",DR$41-'Concr. Pg 3'!X82)</f>
        <v/>
      </c>
      <c r="DJ195" s="2221"/>
      <c r="DK195" s="2221"/>
      <c r="DL195" s="2269"/>
      <c r="DM195" s="2270" t="str">
        <f>IF(L$28="","",IF('Concr. Pg 3'!X82="","",L$28-'Concr. Pg 3'!X82))</f>
        <v/>
      </c>
      <c r="DN195" s="2271"/>
      <c r="DO195" s="2271"/>
      <c r="DP195" s="2271"/>
      <c r="DV195" s="9"/>
      <c r="ED195" s="25"/>
      <c r="EE195" s="25"/>
      <c r="EF195" s="25"/>
      <c r="EP195" s="112"/>
      <c r="EQ195" s="115"/>
    </row>
    <row r="196" spans="106:147" ht="15" customHeight="1">
      <c r="DB196" s="8"/>
      <c r="DC196" s="2222"/>
      <c r="DD196" s="2223"/>
      <c r="DE196" s="2220"/>
      <c r="DF196" s="2221"/>
      <c r="DG196" s="2221"/>
      <c r="DH196" s="2221"/>
      <c r="DI196" s="2221"/>
      <c r="DJ196" s="2221"/>
      <c r="DK196" s="2221"/>
      <c r="DL196" s="2269"/>
      <c r="DM196" s="2270"/>
      <c r="DN196" s="2271"/>
      <c r="DO196" s="2271"/>
      <c r="DP196" s="2271"/>
      <c r="DV196" s="9"/>
      <c r="ED196" s="25"/>
      <c r="EE196" s="25"/>
      <c r="EF196" s="25"/>
      <c r="EP196" s="112"/>
      <c r="EQ196" s="115"/>
    </row>
    <row r="197" spans="106:147" ht="15" customHeight="1">
      <c r="DB197" s="8"/>
      <c r="DC197" s="2222"/>
      <c r="DD197" s="2223"/>
      <c r="DE197" s="2220"/>
      <c r="DF197" s="2221"/>
      <c r="DG197" s="2221"/>
      <c r="DH197" s="2221"/>
      <c r="DI197" s="2221"/>
      <c r="DJ197" s="2221"/>
      <c r="DK197" s="2221"/>
      <c r="DL197" s="2269"/>
      <c r="DM197" s="2270"/>
      <c r="DN197" s="2271"/>
      <c r="DO197" s="2271"/>
      <c r="DP197" s="2271"/>
      <c r="DV197" s="9"/>
      <c r="ED197" s="25"/>
      <c r="EE197" s="25"/>
      <c r="EF197" s="25"/>
      <c r="EP197" s="112"/>
      <c r="EQ197" s="115"/>
    </row>
    <row r="198" spans="106:147" ht="15" customHeight="1">
      <c r="DB198" s="8"/>
      <c r="DC198" s="2222"/>
      <c r="DD198" s="2223"/>
      <c r="DE198" s="2220"/>
      <c r="DF198" s="2221"/>
      <c r="DG198" s="2221"/>
      <c r="DH198" s="2221"/>
      <c r="DI198" s="2221"/>
      <c r="DJ198" s="2221"/>
      <c r="DK198" s="2221"/>
      <c r="DL198" s="2269"/>
      <c r="DM198" s="2270"/>
      <c r="DN198" s="2271"/>
      <c r="DO198" s="2271"/>
      <c r="DP198" s="2271"/>
      <c r="DV198" s="9"/>
      <c r="ED198" s="25"/>
      <c r="EE198" s="25"/>
      <c r="EF198" s="25"/>
      <c r="EP198" s="112"/>
      <c r="EQ198" s="115"/>
    </row>
    <row r="199" spans="106:147" ht="15" customHeight="1">
      <c r="DB199" s="8"/>
      <c r="DC199" s="2222">
        <v>37</v>
      </c>
      <c r="DD199" s="2223"/>
      <c r="DE199" s="2220" t="str">
        <f>'Concr. Pg 3'!BP86</f>
        <v/>
      </c>
      <c r="DF199" s="2221"/>
      <c r="DG199" s="2221"/>
      <c r="DH199" s="2221"/>
      <c r="DI199" s="2221" t="str">
        <f>IF('Concr. Pg 3'!X86="","",DR$41-'Concr. Pg 3'!X86)</f>
        <v/>
      </c>
      <c r="DJ199" s="2221"/>
      <c r="DK199" s="2221"/>
      <c r="DL199" s="2269"/>
      <c r="DM199" s="2270" t="str">
        <f>IF(L$28="","",IF('Concr. Pg 3'!X86="","",L$28-'Concr. Pg 3'!X86))</f>
        <v/>
      </c>
      <c r="DN199" s="2271"/>
      <c r="DO199" s="2271"/>
      <c r="DP199" s="2271"/>
      <c r="DV199" s="9"/>
      <c r="ED199" s="25"/>
      <c r="EE199" s="25"/>
      <c r="EF199" s="25"/>
      <c r="EP199" s="112"/>
      <c r="EQ199" s="115"/>
    </row>
    <row r="200" spans="106:147" ht="15" customHeight="1">
      <c r="DB200" s="8"/>
      <c r="DC200" s="2222"/>
      <c r="DD200" s="2223"/>
      <c r="DE200" s="2220"/>
      <c r="DF200" s="2221"/>
      <c r="DG200" s="2221"/>
      <c r="DH200" s="2221"/>
      <c r="DI200" s="2221"/>
      <c r="DJ200" s="2221"/>
      <c r="DK200" s="2221"/>
      <c r="DL200" s="2269"/>
      <c r="DM200" s="2270"/>
      <c r="DN200" s="2271"/>
      <c r="DO200" s="2271"/>
      <c r="DP200" s="2271"/>
      <c r="DV200" s="9"/>
      <c r="ED200" s="25"/>
      <c r="EE200" s="25"/>
      <c r="EF200" s="25"/>
      <c r="EP200" s="112"/>
      <c r="EQ200" s="115"/>
    </row>
    <row r="201" spans="106:147" ht="15" customHeight="1">
      <c r="DB201" s="8"/>
      <c r="DC201" s="2222"/>
      <c r="DD201" s="2223"/>
      <c r="DE201" s="2220"/>
      <c r="DF201" s="2221"/>
      <c r="DG201" s="2221"/>
      <c r="DH201" s="2221"/>
      <c r="DI201" s="2221"/>
      <c r="DJ201" s="2221"/>
      <c r="DK201" s="2221"/>
      <c r="DL201" s="2269"/>
      <c r="DM201" s="2270"/>
      <c r="DN201" s="2271"/>
      <c r="DO201" s="2271"/>
      <c r="DP201" s="2271"/>
      <c r="DV201" s="9"/>
      <c r="ED201" s="25"/>
      <c r="EE201" s="25"/>
      <c r="EF201" s="25"/>
      <c r="EP201" s="112"/>
      <c r="EQ201" s="115"/>
    </row>
    <row r="202" spans="106:147" ht="15" customHeight="1">
      <c r="DB202" s="8"/>
      <c r="DC202" s="2222"/>
      <c r="DD202" s="2223"/>
      <c r="DE202" s="2220"/>
      <c r="DF202" s="2221"/>
      <c r="DG202" s="2221"/>
      <c r="DH202" s="2221"/>
      <c r="DI202" s="2221"/>
      <c r="DJ202" s="2221"/>
      <c r="DK202" s="2221"/>
      <c r="DL202" s="2269"/>
      <c r="DM202" s="2270"/>
      <c r="DN202" s="2271"/>
      <c r="DO202" s="2271"/>
      <c r="DP202" s="2271"/>
      <c r="DV202" s="9"/>
      <c r="ED202" s="25"/>
      <c r="EE202" s="25"/>
      <c r="EF202" s="25"/>
      <c r="EP202" s="112"/>
      <c r="EQ202" s="115"/>
    </row>
    <row r="203" spans="106:147" ht="15" customHeight="1">
      <c r="DB203" s="8"/>
      <c r="DC203" s="2222">
        <v>38</v>
      </c>
      <c r="DD203" s="2223"/>
      <c r="DE203" s="2220" t="str">
        <f>'Concr. Pg 3'!BP90</f>
        <v/>
      </c>
      <c r="DF203" s="2221"/>
      <c r="DG203" s="2221"/>
      <c r="DH203" s="2221"/>
      <c r="DI203" s="2221" t="str">
        <f>IF('Concr. Pg 3'!X90="","",DR$41-'Concr. Pg 3'!X90)</f>
        <v/>
      </c>
      <c r="DJ203" s="2221"/>
      <c r="DK203" s="2221"/>
      <c r="DL203" s="2269"/>
      <c r="DM203" s="2270" t="str">
        <f>IF(L$28="","",IF('Concr. Pg 3'!X90="","",L$28-'Concr. Pg 3'!X90))</f>
        <v/>
      </c>
      <c r="DN203" s="2271"/>
      <c r="DO203" s="2271"/>
      <c r="DP203" s="2271"/>
      <c r="DV203" s="9"/>
      <c r="ED203" s="25"/>
      <c r="EE203" s="25"/>
      <c r="EF203" s="25"/>
      <c r="EP203" s="112"/>
      <c r="EQ203" s="115"/>
    </row>
    <row r="204" spans="106:147" ht="15" customHeight="1">
      <c r="DB204" s="8"/>
      <c r="DC204" s="2222"/>
      <c r="DD204" s="2223"/>
      <c r="DE204" s="2220"/>
      <c r="DF204" s="2221"/>
      <c r="DG204" s="2221"/>
      <c r="DH204" s="2221"/>
      <c r="DI204" s="2221"/>
      <c r="DJ204" s="2221"/>
      <c r="DK204" s="2221"/>
      <c r="DL204" s="2269"/>
      <c r="DM204" s="2270"/>
      <c r="DN204" s="2271"/>
      <c r="DO204" s="2271"/>
      <c r="DP204" s="2271"/>
      <c r="DV204" s="9"/>
      <c r="ED204" s="25"/>
      <c r="EE204" s="25"/>
      <c r="EF204" s="25"/>
      <c r="EP204" s="112"/>
      <c r="EQ204" s="115"/>
    </row>
    <row r="205" spans="106:147" ht="15" customHeight="1">
      <c r="DB205" s="8"/>
      <c r="DC205" s="2222"/>
      <c r="DD205" s="2223"/>
      <c r="DE205" s="2220"/>
      <c r="DF205" s="2221"/>
      <c r="DG205" s="2221"/>
      <c r="DH205" s="2221"/>
      <c r="DI205" s="2221"/>
      <c r="DJ205" s="2221"/>
      <c r="DK205" s="2221"/>
      <c r="DL205" s="2269"/>
      <c r="DM205" s="2270"/>
      <c r="DN205" s="2271"/>
      <c r="DO205" s="2271"/>
      <c r="DP205" s="2271"/>
      <c r="DV205" s="9"/>
      <c r="ED205" s="25"/>
      <c r="EE205" s="25"/>
      <c r="EF205" s="25"/>
      <c r="EP205" s="112"/>
      <c r="EQ205" s="115"/>
    </row>
    <row r="206" spans="106:147" ht="15" customHeight="1">
      <c r="DB206" s="8"/>
      <c r="DC206" s="2222"/>
      <c r="DD206" s="2223"/>
      <c r="DE206" s="2220"/>
      <c r="DF206" s="2221"/>
      <c r="DG206" s="2221"/>
      <c r="DH206" s="2221"/>
      <c r="DI206" s="2221"/>
      <c r="DJ206" s="2221"/>
      <c r="DK206" s="2221"/>
      <c r="DL206" s="2269"/>
      <c r="DM206" s="2270"/>
      <c r="DN206" s="2271"/>
      <c r="DO206" s="2271"/>
      <c r="DP206" s="2271"/>
      <c r="DV206" s="9"/>
      <c r="ED206" s="25"/>
      <c r="EE206" s="25"/>
      <c r="EF206" s="25"/>
      <c r="EP206" s="112"/>
      <c r="EQ206" s="115"/>
    </row>
    <row r="207" spans="106:147" ht="15" customHeight="1">
      <c r="DB207" s="8"/>
      <c r="DC207" s="2222">
        <v>39</v>
      </c>
      <c r="DD207" s="2223"/>
      <c r="DE207" s="2220" t="str">
        <f>'Concr. Pg 3'!BP94</f>
        <v/>
      </c>
      <c r="DF207" s="2221"/>
      <c r="DG207" s="2221"/>
      <c r="DH207" s="2221"/>
      <c r="DI207" s="2221" t="str">
        <f>IF('Concr. Pg 3'!X94="","",DR$41-'Concr. Pg 3'!X94)</f>
        <v/>
      </c>
      <c r="DJ207" s="2221"/>
      <c r="DK207" s="2221"/>
      <c r="DL207" s="2269"/>
      <c r="DM207" s="2270" t="str">
        <f>IF(L$28="","",IF('Concr. Pg 3'!X94="","",L$28-'Concr. Pg 3'!X94))</f>
        <v/>
      </c>
      <c r="DN207" s="2271"/>
      <c r="DO207" s="2271"/>
      <c r="DP207" s="2271"/>
      <c r="DV207" s="9"/>
      <c r="ED207" s="25"/>
      <c r="EE207" s="25"/>
      <c r="EF207" s="25"/>
      <c r="EP207" s="112"/>
      <c r="EQ207" s="115"/>
    </row>
    <row r="208" spans="106:147" ht="15" customHeight="1">
      <c r="DB208" s="8"/>
      <c r="DC208" s="2222"/>
      <c r="DD208" s="2223"/>
      <c r="DE208" s="2220"/>
      <c r="DF208" s="2221"/>
      <c r="DG208" s="2221"/>
      <c r="DH208" s="2221"/>
      <c r="DI208" s="2221"/>
      <c r="DJ208" s="2221"/>
      <c r="DK208" s="2221"/>
      <c r="DL208" s="2269"/>
      <c r="DM208" s="2270"/>
      <c r="DN208" s="2271"/>
      <c r="DO208" s="2271"/>
      <c r="DP208" s="2271"/>
      <c r="DV208" s="9"/>
      <c r="ED208" s="25"/>
      <c r="EE208" s="25"/>
      <c r="EF208" s="25"/>
      <c r="EP208" s="112"/>
      <c r="EQ208" s="115"/>
    </row>
    <row r="209" spans="106:147" ht="15" customHeight="1">
      <c r="DB209" s="8"/>
      <c r="DC209" s="2222"/>
      <c r="DD209" s="2223"/>
      <c r="DE209" s="2220"/>
      <c r="DF209" s="2221"/>
      <c r="DG209" s="2221"/>
      <c r="DH209" s="2221"/>
      <c r="DI209" s="2221"/>
      <c r="DJ209" s="2221"/>
      <c r="DK209" s="2221"/>
      <c r="DL209" s="2269"/>
      <c r="DM209" s="2270"/>
      <c r="DN209" s="2271"/>
      <c r="DO209" s="2271"/>
      <c r="DP209" s="2271"/>
      <c r="DV209" s="9"/>
      <c r="ED209" s="25"/>
      <c r="EE209" s="25"/>
      <c r="EF209" s="25"/>
      <c r="EP209" s="112"/>
      <c r="EQ209" s="115"/>
    </row>
    <row r="210" spans="106:147" ht="15" customHeight="1">
      <c r="DB210" s="8"/>
      <c r="DC210" s="2222"/>
      <c r="DD210" s="2223"/>
      <c r="DE210" s="2220"/>
      <c r="DF210" s="2221"/>
      <c r="DG210" s="2221"/>
      <c r="DH210" s="2221"/>
      <c r="DI210" s="2221"/>
      <c r="DJ210" s="2221"/>
      <c r="DK210" s="2221"/>
      <c r="DL210" s="2269"/>
      <c r="DM210" s="2270"/>
      <c r="DN210" s="2271"/>
      <c r="DO210" s="2271"/>
      <c r="DP210" s="2271"/>
      <c r="DV210" s="9"/>
      <c r="ED210" s="25"/>
      <c r="EE210" s="25"/>
      <c r="EF210" s="25"/>
      <c r="EQ210" s="115"/>
    </row>
    <row r="211" spans="106:147" ht="15" customHeight="1">
      <c r="DB211" s="8"/>
      <c r="DC211" s="2222">
        <v>40</v>
      </c>
      <c r="DD211" s="2223"/>
      <c r="DE211" s="2220" t="str">
        <f>'Concr. Pg 3'!BP98</f>
        <v/>
      </c>
      <c r="DF211" s="2221"/>
      <c r="DG211" s="2221"/>
      <c r="DH211" s="2221"/>
      <c r="DI211" s="2221" t="str">
        <f>IF('Concr. Pg 3'!X98="","",DR$41-'Concr. Pg 3'!X98)</f>
        <v/>
      </c>
      <c r="DJ211" s="2221"/>
      <c r="DK211" s="2221"/>
      <c r="DL211" s="2269"/>
      <c r="DM211" s="2270" t="str">
        <f>IF(L$28="","",IF('Concr. Pg 3'!X98="","",L$28-'Concr. Pg 3'!X98))</f>
        <v/>
      </c>
      <c r="DN211" s="2271"/>
      <c r="DO211" s="2271"/>
      <c r="DP211" s="2271"/>
      <c r="DV211" s="9"/>
      <c r="EQ211" s="115"/>
    </row>
    <row r="212" spans="106:147" ht="15" customHeight="1">
      <c r="DB212" s="8"/>
      <c r="DC212" s="2222"/>
      <c r="DD212" s="2223"/>
      <c r="DE212" s="2220"/>
      <c r="DF212" s="2221"/>
      <c r="DG212" s="2221"/>
      <c r="DH212" s="2221"/>
      <c r="DI212" s="2221"/>
      <c r="DJ212" s="2221"/>
      <c r="DK212" s="2221"/>
      <c r="DL212" s="2269"/>
      <c r="DM212" s="2270"/>
      <c r="DN212" s="2271"/>
      <c r="DO212" s="2271"/>
      <c r="DP212" s="2271"/>
      <c r="DV212" s="9"/>
      <c r="EQ212" s="115"/>
    </row>
    <row r="213" spans="106:147" ht="15" customHeight="1">
      <c r="DB213" s="8"/>
      <c r="DC213" s="2222"/>
      <c r="DD213" s="2223"/>
      <c r="DE213" s="2220"/>
      <c r="DF213" s="2221"/>
      <c r="DG213" s="2221"/>
      <c r="DH213" s="2221"/>
      <c r="DI213" s="2221"/>
      <c r="DJ213" s="2221"/>
      <c r="DK213" s="2221"/>
      <c r="DL213" s="2269"/>
      <c r="DM213" s="2270"/>
      <c r="DN213" s="2271"/>
      <c r="DO213" s="2271"/>
      <c r="DP213" s="2271"/>
      <c r="DQ213" s="2228" t="s">
        <v>60</v>
      </c>
      <c r="DR213" s="2228"/>
      <c r="DS213" s="2228"/>
      <c r="DT213" s="2228"/>
      <c r="DU213" s="2228"/>
      <c r="DV213" s="9"/>
      <c r="EQ213" s="115"/>
    </row>
    <row r="214" spans="106:147" ht="15.75" customHeight="1">
      <c r="DB214" s="8"/>
      <c r="DC214" s="2222"/>
      <c r="DD214" s="2223"/>
      <c r="DE214" s="2220"/>
      <c r="DF214" s="2221"/>
      <c r="DG214" s="2221"/>
      <c r="DH214" s="2221"/>
      <c r="DI214" s="2221"/>
      <c r="DJ214" s="2221"/>
      <c r="DK214" s="2221"/>
      <c r="DL214" s="2269"/>
      <c r="DM214" s="2270"/>
      <c r="DN214" s="2271"/>
      <c r="DO214" s="2271"/>
      <c r="DP214" s="2271"/>
      <c r="DQ214" s="2228"/>
      <c r="DR214" s="2228"/>
      <c r="DS214" s="2228"/>
      <c r="DT214" s="2228"/>
      <c r="DU214" s="2228"/>
      <c r="DV214" s="9"/>
      <c r="EQ214" s="115"/>
    </row>
    <row r="215" spans="106:147">
      <c r="DB215" s="8"/>
      <c r="DC215" s="2672" t="s">
        <v>68</v>
      </c>
      <c r="DD215" s="2672"/>
      <c r="DE215" s="2672"/>
      <c r="DF215" s="2672"/>
      <c r="DG215" s="2672"/>
      <c r="DH215" s="2672"/>
      <c r="DI215" s="2672"/>
      <c r="DJ215" s="2672"/>
      <c r="DK215" s="2672"/>
      <c r="DL215" s="2672"/>
      <c r="DM215" s="2672"/>
      <c r="DN215" s="2672"/>
      <c r="DO215" s="2672"/>
      <c r="DP215" s="2672"/>
      <c r="DV215" s="9"/>
      <c r="EQ215" s="115"/>
    </row>
    <row r="216" spans="106:147">
      <c r="DB216" s="8"/>
      <c r="DC216" s="2672"/>
      <c r="DD216" s="2672"/>
      <c r="DE216" s="2672"/>
      <c r="DF216" s="2672"/>
      <c r="DG216" s="2672"/>
      <c r="DH216" s="2672"/>
      <c r="DI216" s="2672"/>
      <c r="DJ216" s="2672"/>
      <c r="DK216" s="2672"/>
      <c r="DL216" s="2672"/>
      <c r="DM216" s="2672"/>
      <c r="DN216" s="2672"/>
      <c r="DO216" s="2672"/>
      <c r="DP216" s="2672"/>
      <c r="DV216" s="9"/>
      <c r="EQ216" s="115"/>
    </row>
    <row r="217" spans="106:147">
      <c r="DB217" s="8"/>
      <c r="DV217" s="9"/>
      <c r="EQ217" s="115"/>
    </row>
    <row r="218" spans="106:147">
      <c r="DB218" s="15"/>
      <c r="DC218" s="16"/>
      <c r="DD218" s="16"/>
      <c r="DE218" s="16"/>
      <c r="DF218" s="16"/>
      <c r="DG218" s="16"/>
      <c r="DH218" s="16"/>
      <c r="DI218" s="16"/>
      <c r="DJ218" s="16"/>
      <c r="DK218" s="16"/>
      <c r="DL218" s="16"/>
      <c r="DM218" s="16"/>
      <c r="DN218" s="16"/>
      <c r="DO218" s="16"/>
      <c r="DP218" s="16"/>
      <c r="DQ218" s="16"/>
      <c r="DR218" s="16"/>
      <c r="DS218" s="16"/>
      <c r="DT218" s="16"/>
      <c r="DU218" s="16"/>
      <c r="DV218" s="17"/>
      <c r="EQ218" s="115"/>
    </row>
    <row r="219" spans="106:147">
      <c r="EQ219" s="115"/>
    </row>
    <row r="220" spans="106:147">
      <c r="EQ220" s="115"/>
    </row>
    <row r="221" spans="106:147">
      <c r="EQ221" s="115"/>
    </row>
  </sheetData>
  <sheetProtection algorithmName="SHA-512" hashValue="xS3qET6euehVCYh9MzniLHOCGvkjsgrz5b05uEc7CbPySMIYqO1ZatpUKAGQ7wF5C3mvJPZ0wcSG4IpsijV9NQ==" saltValue="PlxwADDO40/DJN8/0uO1Hg==" spinCount="100000" sheet="1" selectLockedCells="1"/>
  <mergeCells count="814">
    <mergeCell ref="DE103:DH106"/>
    <mergeCell ref="DE83:DH86"/>
    <mergeCell ref="DI79:DL82"/>
    <mergeCell ref="CQ71:CT74"/>
    <mergeCell ref="CQ75:CT78"/>
    <mergeCell ref="DC79:DD82"/>
    <mergeCell ref="DI87:DL90"/>
    <mergeCell ref="DM123:DP126"/>
    <mergeCell ref="DI103:DL106"/>
    <mergeCell ref="DM87:DP90"/>
    <mergeCell ref="DI115:DL118"/>
    <mergeCell ref="DI111:DL114"/>
    <mergeCell ref="DI119:DL122"/>
    <mergeCell ref="DM99:DP102"/>
    <mergeCell ref="DE99:DH102"/>
    <mergeCell ref="DM95:DP98"/>
    <mergeCell ref="DE115:DH118"/>
    <mergeCell ref="DM91:DP94"/>
    <mergeCell ref="DE123:DH126"/>
    <mergeCell ref="DM103:DP106"/>
    <mergeCell ref="BP97:CG97"/>
    <mergeCell ref="DE87:DH90"/>
    <mergeCell ref="CQ79:CT82"/>
    <mergeCell ref="CQ83:CT86"/>
    <mergeCell ref="CQ87:CT90"/>
    <mergeCell ref="DM63:DP66"/>
    <mergeCell ref="DI75:DL78"/>
    <mergeCell ref="DE67:DH70"/>
    <mergeCell ref="BT71:CH74"/>
    <mergeCell ref="CI75:CJ78"/>
    <mergeCell ref="CI71:CJ74"/>
    <mergeCell ref="BP75:BS78"/>
    <mergeCell ref="BP79:BS82"/>
    <mergeCell ref="DE79:DH82"/>
    <mergeCell ref="DE95:DH98"/>
    <mergeCell ref="CK83:CM86"/>
    <mergeCell ref="CK87:CM90"/>
    <mergeCell ref="DC83:DD86"/>
    <mergeCell ref="DM83:DP86"/>
    <mergeCell ref="CI83:CJ86"/>
    <mergeCell ref="DI83:DL86"/>
    <mergeCell ref="DE91:DH94"/>
    <mergeCell ref="DC87:DD90"/>
    <mergeCell ref="CI87:CJ90"/>
    <mergeCell ref="DM59:DP62"/>
    <mergeCell ref="DC48:DD54"/>
    <mergeCell ref="DC59:DD62"/>
    <mergeCell ref="DE59:DH62"/>
    <mergeCell ref="DC55:DD58"/>
    <mergeCell ref="DE55:DH58"/>
    <mergeCell ref="DI59:DL62"/>
    <mergeCell ref="DE63:DH66"/>
    <mergeCell ref="DM79:DP82"/>
    <mergeCell ref="DI55:DL58"/>
    <mergeCell ref="DM55:DP58"/>
    <mergeCell ref="DI63:DL66"/>
    <mergeCell ref="DC63:DD66"/>
    <mergeCell ref="DI67:DL70"/>
    <mergeCell ref="DI131:DL134"/>
    <mergeCell ref="AW31:BM33"/>
    <mergeCell ref="AV63:AY66"/>
    <mergeCell ref="BD67:BG70"/>
    <mergeCell ref="BT67:CH70"/>
    <mergeCell ref="BT79:CH82"/>
    <mergeCell ref="CK71:CM74"/>
    <mergeCell ref="CK75:CM78"/>
    <mergeCell ref="CK79:CM82"/>
    <mergeCell ref="CK63:CM66"/>
    <mergeCell ref="CK67:CM70"/>
    <mergeCell ref="CI79:CJ82"/>
    <mergeCell ref="CK59:CM62"/>
    <mergeCell ref="CK51:CM54"/>
    <mergeCell ref="CK55:CM58"/>
    <mergeCell ref="CK47:CM50"/>
    <mergeCell ref="CQ39:CT40"/>
    <mergeCell ref="CQ59:CT62"/>
    <mergeCell ref="CQ63:CT66"/>
    <mergeCell ref="CQ67:CT70"/>
    <mergeCell ref="CI51:CJ54"/>
    <mergeCell ref="DE46:DH47"/>
    <mergeCell ref="DE48:DH50"/>
    <mergeCell ref="DE51:DH54"/>
    <mergeCell ref="AG37:AK39"/>
    <mergeCell ref="AG34:AK36"/>
    <mergeCell ref="AM31:AQ36"/>
    <mergeCell ref="L45:O46"/>
    <mergeCell ref="L47:O48"/>
    <mergeCell ref="L49:O50"/>
    <mergeCell ref="BH41:BK47"/>
    <mergeCell ref="BP48:BS50"/>
    <mergeCell ref="X41:AA47"/>
    <mergeCell ref="B40:CH40"/>
    <mergeCell ref="X48:AA50"/>
    <mergeCell ref="B25:C36"/>
    <mergeCell ref="AL31:AL33"/>
    <mergeCell ref="L41:O44"/>
    <mergeCell ref="CH25:CH27"/>
    <mergeCell ref="D34:K36"/>
    <mergeCell ref="CA25:CB27"/>
    <mergeCell ref="CC25:CG27"/>
    <mergeCell ref="BW28:BZ30"/>
    <mergeCell ref="B43:G44"/>
    <mergeCell ref="H41:K50"/>
    <mergeCell ref="B41:G42"/>
    <mergeCell ref="P47:S48"/>
    <mergeCell ref="AJ43:AQ46"/>
    <mergeCell ref="AN59:AQ62"/>
    <mergeCell ref="DM147:DP150"/>
    <mergeCell ref="DM139:DP142"/>
    <mergeCell ref="EH139:EI139"/>
    <mergeCell ref="EG144:EI144"/>
    <mergeCell ref="EG145:EI145"/>
    <mergeCell ref="EH124:EI124"/>
    <mergeCell ref="EH125:EI125"/>
    <mergeCell ref="EH126:EI126"/>
    <mergeCell ref="EH137:EI137"/>
    <mergeCell ref="DM115:DP118"/>
    <mergeCell ref="DM107:DP110"/>
    <mergeCell ref="DE143:DH146"/>
    <mergeCell ref="DI143:DL146"/>
    <mergeCell ref="DM143:DP146"/>
    <mergeCell ref="DI139:DL142"/>
    <mergeCell ref="DE139:DH142"/>
    <mergeCell ref="CB109:CH109"/>
    <mergeCell ref="DI135:DL138"/>
    <mergeCell ref="DM135:DP138"/>
    <mergeCell ref="DM127:DP130"/>
    <mergeCell ref="DM119:DP122"/>
    <mergeCell ref="CI67:CJ70"/>
    <mergeCell ref="BT63:CH66"/>
    <mergeCell ref="AR59:AU62"/>
    <mergeCell ref="BH59:BK62"/>
    <mergeCell ref="AZ59:BC62"/>
    <mergeCell ref="AV59:AY62"/>
    <mergeCell ref="BH55:BK58"/>
    <mergeCell ref="CI59:CJ62"/>
    <mergeCell ref="BP59:BS62"/>
    <mergeCell ref="BD59:BG62"/>
    <mergeCell ref="BT59:CH62"/>
    <mergeCell ref="BL59:BO62"/>
    <mergeCell ref="BP55:BS58"/>
    <mergeCell ref="AZ55:BC58"/>
    <mergeCell ref="T55:W58"/>
    <mergeCell ref="BD43:BG50"/>
    <mergeCell ref="AJ47:AM48"/>
    <mergeCell ref="P55:S58"/>
    <mergeCell ref="AN55:AQ58"/>
    <mergeCell ref="BL51:BO54"/>
    <mergeCell ref="AF55:AI58"/>
    <mergeCell ref="BL55:BO58"/>
    <mergeCell ref="AB55:AE58"/>
    <mergeCell ref="AV51:AY54"/>
    <mergeCell ref="AV55:AY58"/>
    <mergeCell ref="AB51:AE54"/>
    <mergeCell ref="AF48:AI50"/>
    <mergeCell ref="T48:W50"/>
    <mergeCell ref="AV43:AY50"/>
    <mergeCell ref="AJ55:AM58"/>
    <mergeCell ref="BH48:BK50"/>
    <mergeCell ref="AZ51:BC54"/>
    <mergeCell ref="BD55:BG58"/>
    <mergeCell ref="AB48:AE50"/>
    <mergeCell ref="X51:AA54"/>
    <mergeCell ref="T51:W54"/>
    <mergeCell ref="P49:S50"/>
    <mergeCell ref="P41:S44"/>
    <mergeCell ref="AN51:AQ54"/>
    <mergeCell ref="AZ43:BC50"/>
    <mergeCell ref="AR41:BG42"/>
    <mergeCell ref="CO42:CV43"/>
    <mergeCell ref="CO44:CV45"/>
    <mergeCell ref="CO46:CV47"/>
    <mergeCell ref="CO48:CV50"/>
    <mergeCell ref="DM46:DP47"/>
    <mergeCell ref="DI46:DL47"/>
    <mergeCell ref="DC46:DD47"/>
    <mergeCell ref="DI48:DL50"/>
    <mergeCell ref="DM48:DP50"/>
    <mergeCell ref="BP51:BS54"/>
    <mergeCell ref="DB41:DQ43"/>
    <mergeCell ref="DM51:DP54"/>
    <mergeCell ref="DI51:DL54"/>
    <mergeCell ref="DQ51:DU55"/>
    <mergeCell ref="DX120:ED120"/>
    <mergeCell ref="DX129:ED129"/>
    <mergeCell ref="CQ29:CT30"/>
    <mergeCell ref="CQ27:CT28"/>
    <mergeCell ref="CQ31:CT32"/>
    <mergeCell ref="CU29:CV30"/>
    <mergeCell ref="CU37:CV38"/>
    <mergeCell ref="CS9:DM14"/>
    <mergeCell ref="CQ10:CR13"/>
    <mergeCell ref="CS16:DM22"/>
    <mergeCell ref="CQ17:CR20"/>
    <mergeCell ref="CY26:DY32"/>
    <mergeCell ref="CQ37:CT38"/>
    <mergeCell ref="CQ35:CT36"/>
    <mergeCell ref="CQ51:CT54"/>
    <mergeCell ref="CQ55:CT58"/>
    <mergeCell ref="CW49:CZ50"/>
    <mergeCell ref="CW57:CZ58"/>
    <mergeCell ref="CW51:CZ54"/>
    <mergeCell ref="CW55:CZ56"/>
    <mergeCell ref="DR73:DU76"/>
    <mergeCell ref="DM71:DP74"/>
    <mergeCell ref="DM75:DP78"/>
    <mergeCell ref="DI71:DL74"/>
    <mergeCell ref="DR181:DU184"/>
    <mergeCell ref="EG113:EH114"/>
    <mergeCell ref="EG110:EH110"/>
    <mergeCell ref="DX132:EC132"/>
    <mergeCell ref="DX133:EC133"/>
    <mergeCell ref="EG147:EI147"/>
    <mergeCell ref="EG148:EI148"/>
    <mergeCell ref="DM151:DP154"/>
    <mergeCell ref="DX119:ED119"/>
    <mergeCell ref="EE140:EF140"/>
    <mergeCell ref="EE141:EF141"/>
    <mergeCell ref="EE139:EF139"/>
    <mergeCell ref="DM171:DP174"/>
    <mergeCell ref="DX143:EB146"/>
    <mergeCell ref="DX147:EB148"/>
    <mergeCell ref="DX137:ED137"/>
    <mergeCell ref="DX136:ED136"/>
    <mergeCell ref="DX139:ED139"/>
    <mergeCell ref="DX130:EC131"/>
    <mergeCell ref="DX124:ED124"/>
    <mergeCell ref="DM179:DP182"/>
    <mergeCell ref="DM159:DP162"/>
    <mergeCell ref="DR121:DU124"/>
    <mergeCell ref="DM111:DP114"/>
    <mergeCell ref="BP71:BS74"/>
    <mergeCell ref="BL71:BO74"/>
    <mergeCell ref="BD75:BG78"/>
    <mergeCell ref="DC71:DD74"/>
    <mergeCell ref="BL67:BO70"/>
    <mergeCell ref="DE75:DH78"/>
    <mergeCell ref="DE71:DH74"/>
    <mergeCell ref="BH63:BK66"/>
    <mergeCell ref="BP67:BS70"/>
    <mergeCell ref="BT75:CH78"/>
    <mergeCell ref="BL63:BO66"/>
    <mergeCell ref="BH71:BK74"/>
    <mergeCell ref="BH75:BK78"/>
    <mergeCell ref="BD71:BG74"/>
    <mergeCell ref="BH67:BK70"/>
    <mergeCell ref="BP63:BS66"/>
    <mergeCell ref="DC67:DD70"/>
    <mergeCell ref="DC75:DD78"/>
    <mergeCell ref="CI63:CJ66"/>
    <mergeCell ref="DC215:DP216"/>
    <mergeCell ref="BP94:BS96"/>
    <mergeCell ref="CY34:DY39"/>
    <mergeCell ref="DC111:DD114"/>
    <mergeCell ref="DC91:DD94"/>
    <mergeCell ref="DC95:DD98"/>
    <mergeCell ref="BP91:BS93"/>
    <mergeCell ref="DC99:DD102"/>
    <mergeCell ref="BE100:BZ102"/>
    <mergeCell ref="CH34:CH36"/>
    <mergeCell ref="BP41:BS47"/>
    <mergeCell ref="BL41:BO47"/>
    <mergeCell ref="CH37:CH39"/>
    <mergeCell ref="DR41:DV43"/>
    <mergeCell ref="DE107:DH110"/>
    <mergeCell ref="DM67:DP70"/>
    <mergeCell ref="CI55:CJ58"/>
    <mergeCell ref="BT41:CH44"/>
    <mergeCell ref="BT45:CH50"/>
    <mergeCell ref="BH51:BK54"/>
    <mergeCell ref="BL79:BO82"/>
    <mergeCell ref="BL75:BO78"/>
    <mergeCell ref="BL83:BO86"/>
    <mergeCell ref="DM199:DP202"/>
    <mergeCell ref="B1:H2"/>
    <mergeCell ref="I1:CA2"/>
    <mergeCell ref="AE3:BE5"/>
    <mergeCell ref="BF3:CA5"/>
    <mergeCell ref="I3:AD5"/>
    <mergeCell ref="BX8:BZ10"/>
    <mergeCell ref="CA8:CC10"/>
    <mergeCell ref="B8:I10"/>
    <mergeCell ref="AD8:AE10"/>
    <mergeCell ref="AF8:AJ10"/>
    <mergeCell ref="J8:AC10"/>
    <mergeCell ref="AU8:BD10"/>
    <mergeCell ref="BE8:BO10"/>
    <mergeCell ref="BP8:BS10"/>
    <mergeCell ref="CB1:CH2"/>
    <mergeCell ref="B3:H5"/>
    <mergeCell ref="CB3:CH4"/>
    <mergeCell ref="CB5:CH6"/>
    <mergeCell ref="CD8:CF10"/>
    <mergeCell ref="B7:CH7"/>
    <mergeCell ref="CG8:CH10"/>
    <mergeCell ref="AK8:AR10"/>
    <mergeCell ref="AS8:AT10"/>
    <mergeCell ref="B6:H6"/>
    <mergeCell ref="I6:CA6"/>
    <mergeCell ref="BT8:BW10"/>
    <mergeCell ref="B11:I13"/>
    <mergeCell ref="J11:AC13"/>
    <mergeCell ref="AD11:AE13"/>
    <mergeCell ref="AF11:AJ13"/>
    <mergeCell ref="AU11:AZ13"/>
    <mergeCell ref="BP11:BU13"/>
    <mergeCell ref="BA11:BO13"/>
    <mergeCell ref="BV11:CG13"/>
    <mergeCell ref="AK11:AR13"/>
    <mergeCell ref="AS11:AT13"/>
    <mergeCell ref="BD22:BL24"/>
    <mergeCell ref="BM22:BM24"/>
    <mergeCell ref="AZ14:BG16"/>
    <mergeCell ref="U22:U24"/>
    <mergeCell ref="AW22:AW24"/>
    <mergeCell ref="AF22:AF24"/>
    <mergeCell ref="CH22:CH24"/>
    <mergeCell ref="B14:I16"/>
    <mergeCell ref="AC14:AM16"/>
    <mergeCell ref="AN14:AQ16"/>
    <mergeCell ref="B20:CH20"/>
    <mergeCell ref="M22:P24"/>
    <mergeCell ref="AR14:AY16"/>
    <mergeCell ref="R22:T24"/>
    <mergeCell ref="AA22:AA24"/>
    <mergeCell ref="AB22:AD24"/>
    <mergeCell ref="AE22:AE24"/>
    <mergeCell ref="CH14:CH16"/>
    <mergeCell ref="BZ14:CG16"/>
    <mergeCell ref="J17:AC19"/>
    <mergeCell ref="AD17:AG19"/>
    <mergeCell ref="B22:L24"/>
    <mergeCell ref="Q22:Q24"/>
    <mergeCell ref="B17:I19"/>
    <mergeCell ref="Y14:AB16"/>
    <mergeCell ref="BH14:BU16"/>
    <mergeCell ref="BV14:BY16"/>
    <mergeCell ref="BC22:BC24"/>
    <mergeCell ref="AH17:CG19"/>
    <mergeCell ref="BW22:CG24"/>
    <mergeCell ref="B21:CH21"/>
    <mergeCell ref="BN22:BV24"/>
    <mergeCell ref="AG22:AP24"/>
    <mergeCell ref="AR22:AV24"/>
    <mergeCell ref="CH17:CH19"/>
    <mergeCell ref="J14:X16"/>
    <mergeCell ref="BW25:BZ27"/>
    <mergeCell ref="BM28:BM30"/>
    <mergeCell ref="D28:K30"/>
    <mergeCell ref="AX22:BB24"/>
    <mergeCell ref="AQ22:AQ24"/>
    <mergeCell ref="AG28:AP30"/>
    <mergeCell ref="BM25:BM27"/>
    <mergeCell ref="BN25:BV27"/>
    <mergeCell ref="AX25:BB27"/>
    <mergeCell ref="BC25:BC27"/>
    <mergeCell ref="AW25:AW27"/>
    <mergeCell ref="S25:AA27"/>
    <mergeCell ref="AB28:AE30"/>
    <mergeCell ref="AX28:BB30"/>
    <mergeCell ref="BD25:BL27"/>
    <mergeCell ref="AR28:AV30"/>
    <mergeCell ref="AW28:AW30"/>
    <mergeCell ref="AR25:AV27"/>
    <mergeCell ref="D25:K27"/>
    <mergeCell ref="Q25:R27"/>
    <mergeCell ref="AG25:AP27"/>
    <mergeCell ref="AB25:AE27"/>
    <mergeCell ref="AQ25:AQ27"/>
    <mergeCell ref="V22:Z24"/>
    <mergeCell ref="L51:O54"/>
    <mergeCell ref="S28:AA30"/>
    <mergeCell ref="Q28:R30"/>
    <mergeCell ref="AF28:AF30"/>
    <mergeCell ref="S34:AF36"/>
    <mergeCell ref="AF25:AF27"/>
    <mergeCell ref="P51:S54"/>
    <mergeCell ref="AM37:AQ39"/>
    <mergeCell ref="Q31:R33"/>
    <mergeCell ref="Q34:R36"/>
    <mergeCell ref="AL34:AL36"/>
    <mergeCell ref="S31:AK33"/>
    <mergeCell ref="O37:S39"/>
    <mergeCell ref="X37:AF39"/>
    <mergeCell ref="T37:W39"/>
    <mergeCell ref="AL37:AL39"/>
    <mergeCell ref="AJ41:AM42"/>
    <mergeCell ref="AF41:AI47"/>
    <mergeCell ref="T41:W47"/>
    <mergeCell ref="AJ49:AQ50"/>
    <mergeCell ref="AN41:AQ42"/>
    <mergeCell ref="P45:S46"/>
    <mergeCell ref="AF51:AI54"/>
    <mergeCell ref="AJ51:AM54"/>
    <mergeCell ref="AB41:AE47"/>
    <mergeCell ref="D31:K33"/>
    <mergeCell ref="BD51:BG54"/>
    <mergeCell ref="CH28:CH30"/>
    <mergeCell ref="CA28:CB30"/>
    <mergeCell ref="CC28:CG30"/>
    <mergeCell ref="BW31:CG33"/>
    <mergeCell ref="BN28:BV30"/>
    <mergeCell ref="BT55:CH58"/>
    <mergeCell ref="AN47:AQ48"/>
    <mergeCell ref="AR43:AU50"/>
    <mergeCell ref="BL48:BO50"/>
    <mergeCell ref="AR55:AU58"/>
    <mergeCell ref="AR51:AU54"/>
    <mergeCell ref="BC28:BC30"/>
    <mergeCell ref="BD28:BL30"/>
    <mergeCell ref="AQ28:AQ29"/>
    <mergeCell ref="CH31:CH33"/>
    <mergeCell ref="BT51:CH54"/>
    <mergeCell ref="AS31:AV33"/>
    <mergeCell ref="AS34:CG36"/>
    <mergeCell ref="AS37:CG39"/>
    <mergeCell ref="BN31:BV33"/>
    <mergeCell ref="X55:AA58"/>
    <mergeCell ref="B37:N39"/>
    <mergeCell ref="B49:G50"/>
    <mergeCell ref="B47:G48"/>
    <mergeCell ref="B45:G46"/>
    <mergeCell ref="AJ59:AM62"/>
    <mergeCell ref="X59:AA62"/>
    <mergeCell ref="AJ67:AM70"/>
    <mergeCell ref="I99:J101"/>
    <mergeCell ref="X75:AA78"/>
    <mergeCell ref="P79:S82"/>
    <mergeCell ref="AF94:AI96"/>
    <mergeCell ref="X94:X95"/>
    <mergeCell ref="AD94:AE96"/>
    <mergeCell ref="Y94:AC95"/>
    <mergeCell ref="AJ95:AM96"/>
    <mergeCell ref="T96:AC98"/>
    <mergeCell ref="O99:S101"/>
    <mergeCell ref="T94:W95"/>
    <mergeCell ref="T99:U101"/>
    <mergeCell ref="I97:K98"/>
    <mergeCell ref="M97:O98"/>
    <mergeCell ref="T67:W70"/>
    <mergeCell ref="P71:S74"/>
    <mergeCell ref="L83:O86"/>
    <mergeCell ref="AF63:AI66"/>
    <mergeCell ref="AB59:AE62"/>
    <mergeCell ref="X67:AA70"/>
    <mergeCell ref="T63:W66"/>
    <mergeCell ref="AF59:AI62"/>
    <mergeCell ref="L63:O66"/>
    <mergeCell ref="P63:S66"/>
    <mergeCell ref="P83:S86"/>
    <mergeCell ref="P75:S78"/>
    <mergeCell ref="X63:AA66"/>
    <mergeCell ref="X79:AA82"/>
    <mergeCell ref="AF75:AI78"/>
    <mergeCell ref="AB79:AE82"/>
    <mergeCell ref="AF79:AI82"/>
    <mergeCell ref="L79:O82"/>
    <mergeCell ref="X83:AA86"/>
    <mergeCell ref="T83:W86"/>
    <mergeCell ref="L55:O58"/>
    <mergeCell ref="AF67:AI70"/>
    <mergeCell ref="T59:W62"/>
    <mergeCell ref="AB63:AE66"/>
    <mergeCell ref="H83:K86"/>
    <mergeCell ref="A79:A82"/>
    <mergeCell ref="H79:K82"/>
    <mergeCell ref="A51:A54"/>
    <mergeCell ref="A55:A58"/>
    <mergeCell ref="A59:A62"/>
    <mergeCell ref="L71:O74"/>
    <mergeCell ref="T71:W74"/>
    <mergeCell ref="L67:O70"/>
    <mergeCell ref="T79:W82"/>
    <mergeCell ref="P67:S70"/>
    <mergeCell ref="B79:G82"/>
    <mergeCell ref="L75:O78"/>
    <mergeCell ref="L59:O62"/>
    <mergeCell ref="P59:S62"/>
    <mergeCell ref="H75:K78"/>
    <mergeCell ref="B75:G78"/>
    <mergeCell ref="T75:W78"/>
    <mergeCell ref="AB71:AE74"/>
    <mergeCell ref="X71:AA74"/>
    <mergeCell ref="A87:A90"/>
    <mergeCell ref="H67:K70"/>
    <mergeCell ref="B51:G54"/>
    <mergeCell ref="B55:G58"/>
    <mergeCell ref="B59:G62"/>
    <mergeCell ref="B63:G66"/>
    <mergeCell ref="H63:K66"/>
    <mergeCell ref="H55:K58"/>
    <mergeCell ref="B67:G70"/>
    <mergeCell ref="H51:K54"/>
    <mergeCell ref="H59:K62"/>
    <mergeCell ref="B83:G86"/>
    <mergeCell ref="B87:G90"/>
    <mergeCell ref="B71:G74"/>
    <mergeCell ref="H71:K74"/>
    <mergeCell ref="A63:A66"/>
    <mergeCell ref="A67:A70"/>
    <mergeCell ref="A83:A86"/>
    <mergeCell ref="A71:A74"/>
    <mergeCell ref="A75:A78"/>
    <mergeCell ref="H87:K90"/>
    <mergeCell ref="AN63:AQ66"/>
    <mergeCell ref="AN67:AQ70"/>
    <mergeCell ref="AR63:AU66"/>
    <mergeCell ref="AJ75:AM78"/>
    <mergeCell ref="AN75:AQ78"/>
    <mergeCell ref="AJ63:AM66"/>
    <mergeCell ref="BD79:BG82"/>
    <mergeCell ref="BD63:BG66"/>
    <mergeCell ref="AN71:AQ74"/>
    <mergeCell ref="AR75:AU78"/>
    <mergeCell ref="AV79:AY82"/>
    <mergeCell ref="AZ63:BC66"/>
    <mergeCell ref="AV67:AY70"/>
    <mergeCell ref="AZ71:BC74"/>
    <mergeCell ref="AV71:AY74"/>
    <mergeCell ref="AV75:AY78"/>
    <mergeCell ref="AZ75:BC78"/>
    <mergeCell ref="AZ67:BC70"/>
    <mergeCell ref="AN79:AQ82"/>
    <mergeCell ref="AR79:AU82"/>
    <mergeCell ref="AJ79:AM82"/>
    <mergeCell ref="AR71:AU74"/>
    <mergeCell ref="B94:S96"/>
    <mergeCell ref="X87:AA90"/>
    <mergeCell ref="Y91:AA93"/>
    <mergeCell ref="X91:X93"/>
    <mergeCell ref="AP102:AP104"/>
    <mergeCell ref="AD98:AO99"/>
    <mergeCell ref="AR87:AU90"/>
    <mergeCell ref="V99:Z101"/>
    <mergeCell ref="AR95:AT96"/>
    <mergeCell ref="AB91:AE93"/>
    <mergeCell ref="B102:B104"/>
    <mergeCell ref="AF87:AI90"/>
    <mergeCell ref="L87:O90"/>
    <mergeCell ref="AN87:AQ90"/>
    <mergeCell ref="B91:S93"/>
    <mergeCell ref="AB87:AE90"/>
    <mergeCell ref="B99:H101"/>
    <mergeCell ref="T91:W93"/>
    <mergeCell ref="P87:S90"/>
    <mergeCell ref="M102:N104"/>
    <mergeCell ref="T87:W90"/>
    <mergeCell ref="P97:P98"/>
    <mergeCell ref="Q97:S98"/>
    <mergeCell ref="AJ87:AM90"/>
    <mergeCell ref="BH79:BK82"/>
    <mergeCell ref="AR67:AU70"/>
    <mergeCell ref="AB67:AE70"/>
    <mergeCell ref="AJ71:AM74"/>
    <mergeCell ref="AZ83:BC86"/>
    <mergeCell ref="AB75:AE78"/>
    <mergeCell ref="AF71:AI74"/>
    <mergeCell ref="AF83:AI86"/>
    <mergeCell ref="AB83:AE86"/>
    <mergeCell ref="AZ79:BC82"/>
    <mergeCell ref="AN83:AQ86"/>
    <mergeCell ref="AR83:AU86"/>
    <mergeCell ref="AJ83:AM86"/>
    <mergeCell ref="DE183:DH186"/>
    <mergeCell ref="O106:S108"/>
    <mergeCell ref="B109:S109"/>
    <mergeCell ref="AJ105:AO105"/>
    <mergeCell ref="DI179:DL182"/>
    <mergeCell ref="DC123:DD126"/>
    <mergeCell ref="DE179:DH182"/>
    <mergeCell ref="DI159:DL162"/>
    <mergeCell ref="DC127:DD130"/>
    <mergeCell ref="DC107:DD110"/>
    <mergeCell ref="DC115:DD118"/>
    <mergeCell ref="DE119:DH122"/>
    <mergeCell ref="DI123:DL126"/>
    <mergeCell ref="DI107:DL110"/>
    <mergeCell ref="T106:U108"/>
    <mergeCell ref="B106:B108"/>
    <mergeCell ref="O105:S105"/>
    <mergeCell ref="I106:L108"/>
    <mergeCell ref="I105:L105"/>
    <mergeCell ref="M105:N105"/>
    <mergeCell ref="M106:N108"/>
    <mergeCell ref="C106:H108"/>
    <mergeCell ref="AQ106:AV108"/>
    <mergeCell ref="V106:Z108"/>
    <mergeCell ref="DM131:DP134"/>
    <mergeCell ref="DM203:DP206"/>
    <mergeCell ref="DM211:DP214"/>
    <mergeCell ref="DE203:DH206"/>
    <mergeCell ref="DI203:DL206"/>
    <mergeCell ref="DI163:DL166"/>
    <mergeCell ref="DM163:DP166"/>
    <mergeCell ref="DI175:DL178"/>
    <mergeCell ref="DI167:DL170"/>
    <mergeCell ref="DE167:DH170"/>
    <mergeCell ref="DE175:DH178"/>
    <mergeCell ref="DI183:DL186"/>
    <mergeCell ref="DM183:DP186"/>
    <mergeCell ref="DE187:DH190"/>
    <mergeCell ref="DI187:DL190"/>
    <mergeCell ref="DM187:DP190"/>
    <mergeCell ref="DE191:DH194"/>
    <mergeCell ref="DI191:DL194"/>
    <mergeCell ref="DM191:DP194"/>
    <mergeCell ref="DE195:DH198"/>
    <mergeCell ref="DI195:DL198"/>
    <mergeCell ref="DM195:DP198"/>
    <mergeCell ref="DM175:DP178"/>
    <mergeCell ref="DE199:DH202"/>
    <mergeCell ref="DI199:DL202"/>
    <mergeCell ref="AY94:BA96"/>
    <mergeCell ref="AV91:AY93"/>
    <mergeCell ref="AU94:AX95"/>
    <mergeCell ref="AW100:AW101"/>
    <mergeCell ref="DQ213:DU214"/>
    <mergeCell ref="DC207:DD210"/>
    <mergeCell ref="DC211:DD214"/>
    <mergeCell ref="DC167:DD170"/>
    <mergeCell ref="DC175:DD178"/>
    <mergeCell ref="DC179:DD182"/>
    <mergeCell ref="DC183:DD186"/>
    <mergeCell ref="DC187:DD190"/>
    <mergeCell ref="DC191:DD194"/>
    <mergeCell ref="DC195:DD198"/>
    <mergeCell ref="DC199:DD202"/>
    <mergeCell ref="DC203:DD206"/>
    <mergeCell ref="DE207:DH210"/>
    <mergeCell ref="DI207:DL210"/>
    <mergeCell ref="DM207:DP210"/>
    <mergeCell ref="DM167:DP170"/>
    <mergeCell ref="DE171:DH174"/>
    <mergeCell ref="DI171:DL174"/>
    <mergeCell ref="DE211:DH214"/>
    <mergeCell ref="DI211:DL214"/>
    <mergeCell ref="BD87:BG90"/>
    <mergeCell ref="CH106:CH108"/>
    <mergeCell ref="BD102:BD104"/>
    <mergeCell ref="CB100:CG102"/>
    <mergeCell ref="BT93:BV95"/>
    <mergeCell ref="CH100:CH102"/>
    <mergeCell ref="BH87:BK90"/>
    <mergeCell ref="BF94:BG96"/>
    <mergeCell ref="BE106:BN108"/>
    <mergeCell ref="BT91:CH92"/>
    <mergeCell ref="CH93:CH95"/>
    <mergeCell ref="BP87:BS90"/>
    <mergeCell ref="BT87:CH90"/>
    <mergeCell ref="CE93:CG95"/>
    <mergeCell ref="BE98:CA99"/>
    <mergeCell ref="BL94:BO96"/>
    <mergeCell ref="BL87:BO90"/>
    <mergeCell ref="BD100:BD101"/>
    <mergeCell ref="BB94:BE96"/>
    <mergeCell ref="BL91:BO93"/>
    <mergeCell ref="AZ91:BC93"/>
    <mergeCell ref="CA103:CA105"/>
    <mergeCell ref="AZ87:BC90"/>
    <mergeCell ref="B97:H98"/>
    <mergeCell ref="V102:Z104"/>
    <mergeCell ref="I102:L104"/>
    <mergeCell ref="L97:L98"/>
    <mergeCell ref="M99:N101"/>
    <mergeCell ref="K99:L101"/>
    <mergeCell ref="AX106:BC108"/>
    <mergeCell ref="AX100:BC101"/>
    <mergeCell ref="AA99:AB101"/>
    <mergeCell ref="AA102:AB104"/>
    <mergeCell ref="AA105:AB105"/>
    <mergeCell ref="AA106:AB108"/>
    <mergeCell ref="AP106:AP108"/>
    <mergeCell ref="AQ98:BC99"/>
    <mergeCell ref="AQ100:AV101"/>
    <mergeCell ref="AQ102:AV104"/>
    <mergeCell ref="AQ105:AV105"/>
    <mergeCell ref="AW106:AW108"/>
    <mergeCell ref="AC102:AH104"/>
    <mergeCell ref="AC106:AH108"/>
    <mergeCell ref="C105:H105"/>
    <mergeCell ref="C102:H104"/>
    <mergeCell ref="O102:S104"/>
    <mergeCell ref="AW102:AW104"/>
    <mergeCell ref="AN91:AQ93"/>
    <mergeCell ref="AV83:AY86"/>
    <mergeCell ref="AJ91:AM93"/>
    <mergeCell ref="AV87:AY90"/>
    <mergeCell ref="AR91:AU93"/>
    <mergeCell ref="AF91:AI93"/>
    <mergeCell ref="BT83:CH86"/>
    <mergeCell ref="BH83:BK86"/>
    <mergeCell ref="BP83:BS86"/>
    <mergeCell ref="BD83:BG86"/>
    <mergeCell ref="BD91:BG93"/>
    <mergeCell ref="BH91:BK93"/>
    <mergeCell ref="CA100:CA102"/>
    <mergeCell ref="BP124:CD127"/>
    <mergeCell ref="BP119:CD122"/>
    <mergeCell ref="BP129:CD132"/>
    <mergeCell ref="CF124:CT127"/>
    <mergeCell ref="CF129:CT132"/>
    <mergeCell ref="T109:BN109"/>
    <mergeCell ref="BO109:CA109"/>
    <mergeCell ref="CB98:CG99"/>
    <mergeCell ref="AI106:AI108"/>
    <mergeCell ref="AC105:AH105"/>
    <mergeCell ref="AJ102:AO104"/>
    <mergeCell ref="AJ106:AO108"/>
    <mergeCell ref="AI102:AI104"/>
    <mergeCell ref="T102:U104"/>
    <mergeCell ref="AI100:AI101"/>
    <mergeCell ref="AP98:AP99"/>
    <mergeCell ref="AJ100:AO101"/>
    <mergeCell ref="AC100:AH101"/>
    <mergeCell ref="T105:U105"/>
    <mergeCell ref="V105:Z105"/>
    <mergeCell ref="BP112:CT117"/>
    <mergeCell ref="CF119:CT122"/>
    <mergeCell ref="AN94:AT94"/>
    <mergeCell ref="AN95:AQ96"/>
    <mergeCell ref="AJ94:AM94"/>
    <mergeCell ref="AU96:AX96"/>
    <mergeCell ref="AX105:BC105"/>
    <mergeCell ref="BD106:BD108"/>
    <mergeCell ref="BE103:BZ105"/>
    <mergeCell ref="CB103:CG105"/>
    <mergeCell ref="DI95:DL98"/>
    <mergeCell ref="BO106:BS108"/>
    <mergeCell ref="BT106:CB108"/>
    <mergeCell ref="DC103:DD106"/>
    <mergeCell ref="CC106:CG108"/>
    <mergeCell ref="AD97:BO97"/>
    <mergeCell ref="AP100:AP101"/>
    <mergeCell ref="BW93:BY95"/>
    <mergeCell ref="BZ93:BZ95"/>
    <mergeCell ref="BD98:BD99"/>
    <mergeCell ref="BH94:BK96"/>
    <mergeCell ref="CA93:CD95"/>
    <mergeCell ref="CH103:CH105"/>
    <mergeCell ref="DI91:DL94"/>
    <mergeCell ref="DI99:DL102"/>
    <mergeCell ref="AX102:BC104"/>
    <mergeCell ref="DC159:DD162"/>
    <mergeCell ref="DE111:DH114"/>
    <mergeCell ref="EM137:EM151"/>
    <mergeCell ref="EG151:EJ154"/>
    <mergeCell ref="EG150:EJ150"/>
    <mergeCell ref="EM111:EM121"/>
    <mergeCell ref="EM122:EM136"/>
    <mergeCell ref="DI127:DL130"/>
    <mergeCell ref="DI155:DL158"/>
    <mergeCell ref="DM155:DP158"/>
    <mergeCell ref="DE151:DH154"/>
    <mergeCell ref="DE147:DH150"/>
    <mergeCell ref="DI147:DL150"/>
    <mergeCell ref="DI151:DL154"/>
    <mergeCell ref="DX138:ED138"/>
    <mergeCell ref="DX140:DZ140"/>
    <mergeCell ref="DX141:DZ141"/>
    <mergeCell ref="EA140:ED140"/>
    <mergeCell ref="EA141:ED141"/>
    <mergeCell ref="DE159:DH162"/>
    <mergeCell ref="DC119:DD122"/>
    <mergeCell ref="DX123:ED123"/>
    <mergeCell ref="DX121:ED121"/>
    <mergeCell ref="DX122:ED122"/>
    <mergeCell ref="EH138:EI138"/>
    <mergeCell ref="DC163:DD166"/>
    <mergeCell ref="DE155:DH158"/>
    <mergeCell ref="DC155:DD158"/>
    <mergeCell ref="EM104:EX106"/>
    <mergeCell ref="EW154:EZ154"/>
    <mergeCell ref="EW155:EZ155"/>
    <mergeCell ref="EX107:EX111"/>
    <mergeCell ref="EU152:EV152"/>
    <mergeCell ref="EM107:EO110"/>
    <mergeCell ref="EW112:EW121"/>
    <mergeCell ref="EV109:EW111"/>
    <mergeCell ref="EW122:EW136"/>
    <mergeCell ref="EW137:EW151"/>
    <mergeCell ref="EX112:EX121"/>
    <mergeCell ref="ES109:ET109"/>
    <mergeCell ref="EQ107:EQ110"/>
    <mergeCell ref="EY153:EZ153"/>
    <mergeCell ref="EX122:EX136"/>
    <mergeCell ref="EX137:EX151"/>
    <mergeCell ref="EZ107:FA111"/>
    <mergeCell ref="EY107:EY111"/>
    <mergeCell ref="EU109:EU111"/>
    <mergeCell ref="EP107:EP110"/>
    <mergeCell ref="L34:P36"/>
    <mergeCell ref="L25:P27"/>
    <mergeCell ref="L28:P30"/>
    <mergeCell ref="L31:P33"/>
    <mergeCell ref="ES170:ET170"/>
    <mergeCell ref="ES171:ET171"/>
    <mergeCell ref="DE127:DH130"/>
    <mergeCell ref="DC147:DD150"/>
    <mergeCell ref="DC151:DD154"/>
    <mergeCell ref="DE135:DH138"/>
    <mergeCell ref="DE131:DH134"/>
    <mergeCell ref="DC131:DD134"/>
    <mergeCell ref="DC139:DD142"/>
    <mergeCell ref="DC143:DD146"/>
    <mergeCell ref="EH133:EI133"/>
    <mergeCell ref="EH134:EI134"/>
    <mergeCell ref="DC135:DD138"/>
    <mergeCell ref="EH127:EI127"/>
    <mergeCell ref="EH131:EI131"/>
    <mergeCell ref="EH132:EI132"/>
    <mergeCell ref="DC171:DD174"/>
    <mergeCell ref="ES163:ET163"/>
    <mergeCell ref="DE163:DH166"/>
    <mergeCell ref="ES162:ET162"/>
  </mergeCells>
  <conditionalFormatting sqref="B109:S109">
    <cfRule type="containsText" dxfId="98" priority="39" operator="containsText" text="When 2 Casings, Csg 1 = INNER casing! (ID 1 &lt; ID 2)">
      <formula>NOT(ISERROR(SEARCH("When 2 Casings, Csg 1 = INNER casing! (ID 1 &lt; ID 2)",B109)))</formula>
    </cfRule>
  </conditionalFormatting>
  <conditionalFormatting sqref="H51 H55 H59 H63 H67 H71 H75 H79 H83 H87">
    <cfRule type="expression" dxfId="97" priority="5">
      <formula>NOT(FA109="")</formula>
    </cfRule>
  </conditionalFormatting>
  <conditionalFormatting sqref="K99">
    <cfRule type="expression" dxfId="96" priority="42">
      <formula>$K$99=""</formula>
    </cfRule>
  </conditionalFormatting>
  <conditionalFormatting sqref="K99:K101">
    <cfRule type="expression" dxfId="95" priority="41">
      <formula>$K$99=""</formula>
    </cfRule>
  </conditionalFormatting>
  <conditionalFormatting sqref="K101:L101">
    <cfRule type="expression" dxfId="94" priority="43">
      <formula>$K$99=""</formula>
    </cfRule>
  </conditionalFormatting>
  <conditionalFormatting sqref="L99:L101">
    <cfRule type="expression" dxfId="93" priority="44">
      <formula>$K$99=""</formula>
    </cfRule>
  </conditionalFormatting>
  <conditionalFormatting sqref="L51:O90">
    <cfRule type="expression" dxfId="92" priority="13">
      <formula>OR($L51="REJECTED",$L51="Not Placed")</formula>
    </cfRule>
  </conditionalFormatting>
  <conditionalFormatting sqref="L28:P30">
    <cfRule type="expression" dxfId="91" priority="4">
      <formula>AND(ISNUMBER(DX147),ISNUMBER(L28),OR(L28&lt;DX147,L28&gt;DX147))</formula>
    </cfRule>
  </conditionalFormatting>
  <conditionalFormatting sqref="P51 P55 P59 P63 P67 P71 P75 P79">
    <cfRule type="expression" dxfId="90" priority="8">
      <formula>NOT(FI109="")</formula>
    </cfRule>
  </conditionalFormatting>
  <conditionalFormatting sqref="P83 P87">
    <cfRule type="expression" dxfId="89" priority="7">
      <formula>NOT(FI141="")</formula>
    </cfRule>
  </conditionalFormatting>
  <conditionalFormatting sqref="P51:S90">
    <cfRule type="expression" dxfId="88" priority="6">
      <formula>$CQ51&gt;105</formula>
    </cfRule>
  </conditionalFormatting>
  <conditionalFormatting sqref="Q25:Q27">
    <cfRule type="expression" dxfId="87" priority="98">
      <formula>$Q$25=""</formula>
    </cfRule>
  </conditionalFormatting>
  <conditionalFormatting sqref="Q25:R25">
    <cfRule type="expression" dxfId="86" priority="127">
      <formula>$Q$25=""</formula>
    </cfRule>
  </conditionalFormatting>
  <conditionalFormatting sqref="Q27:R27">
    <cfRule type="expression" dxfId="85" priority="124">
      <formula>$Q$25=""</formula>
    </cfRule>
  </conditionalFormatting>
  <conditionalFormatting sqref="R25:R27">
    <cfRule type="expression" dxfId="84" priority="97">
      <formula>$Q$25=""</formula>
    </cfRule>
  </conditionalFormatting>
  <conditionalFormatting sqref="T51:W54">
    <cfRule type="expression" dxfId="83" priority="2">
      <formula>AND(CW51&lt;L34,(L34-CW51)&gt;0.1)</formula>
    </cfRule>
    <cfRule type="expression" dxfId="82" priority="1">
      <formula>AND(CW51&gt;L34,(CW51-L34)&gt;0.5)</formula>
    </cfRule>
  </conditionalFormatting>
  <conditionalFormatting sqref="AF51:AI90">
    <cfRule type="expression" dxfId="81" priority="11">
      <formula>OR($L51="REJECTED",$L51="Not Placed")</formula>
    </cfRule>
  </conditionalFormatting>
  <conditionalFormatting sqref="AJ83:AQ86">
    <cfRule type="expression" dxfId="80" priority="29">
      <formula>#REF!&gt;0</formula>
    </cfRule>
  </conditionalFormatting>
  <conditionalFormatting sqref="AJ87:AQ90">
    <cfRule type="expression" dxfId="79" priority="35">
      <formula>#REF!&gt;0</formula>
    </cfRule>
  </conditionalFormatting>
  <conditionalFormatting sqref="AK51:AM58 AJ51:AJ59 AJ63 AJ67:AQ82">
    <cfRule type="expression" dxfId="78" priority="10">
      <formula>#REF!&gt;0</formula>
    </cfRule>
  </conditionalFormatting>
  <conditionalFormatting sqref="AM37:AQ39">
    <cfRule type="expression" dxfId="77" priority="3">
      <formula>OR(AM37&lt;EA140,AM37&gt;EA141)</formula>
    </cfRule>
  </conditionalFormatting>
  <conditionalFormatting sqref="AO51:AQ58 AN51:AN59 AN63">
    <cfRule type="expression" dxfId="76" priority="12">
      <formula>#REF!&gt;0</formula>
    </cfRule>
  </conditionalFormatting>
  <conditionalFormatting sqref="BO106:BS108">
    <cfRule type="expression" dxfId="75" priority="9">
      <formula>$BO$106&lt;&gt;EJ145</formula>
    </cfRule>
  </conditionalFormatting>
  <conditionalFormatting sqref="CA25:CB26">
    <cfRule type="expression" dxfId="74" priority="123">
      <formula>$CA$25=""</formula>
    </cfRule>
  </conditionalFormatting>
  <conditionalFormatting sqref="CA25:CB27">
    <cfRule type="expression" dxfId="73" priority="121">
      <formula>$CA$25=""</formula>
    </cfRule>
  </conditionalFormatting>
  <conditionalFormatting sqref="CA27:CB27">
    <cfRule type="expression" dxfId="72" priority="120">
      <formula>$CA$25=""</formula>
    </cfRule>
  </conditionalFormatting>
  <conditionalFormatting sqref="CA28:CB29">
    <cfRule type="expression" dxfId="71" priority="115">
      <formula>$CA$28=""</formula>
    </cfRule>
  </conditionalFormatting>
  <conditionalFormatting sqref="CA28:CB30">
    <cfRule type="expression" dxfId="70" priority="113">
      <formula>$CA$28=""</formula>
    </cfRule>
  </conditionalFormatting>
  <conditionalFormatting sqref="CA30:CB30">
    <cfRule type="expression" dxfId="69" priority="112">
      <formula>$CA$28=""</formula>
    </cfRule>
  </conditionalFormatting>
  <conditionalFormatting sqref="CB25:CB27">
    <cfRule type="expression" dxfId="68" priority="122">
      <formula>$CA$25=""</formula>
    </cfRule>
  </conditionalFormatting>
  <conditionalFormatting sqref="CB28:CB30">
    <cfRule type="expression" dxfId="67" priority="114">
      <formula>$CA$28=""</formula>
    </cfRule>
  </conditionalFormatting>
  <conditionalFormatting sqref="CQ51:CT90">
    <cfRule type="expression" dxfId="66" priority="23">
      <formula>$CQ51&gt;105</formula>
    </cfRule>
  </conditionalFormatting>
  <dataValidations count="10">
    <dataValidation type="list" allowBlank="1" showInputMessage="1" showErrorMessage="1" errorTitle="Surf Form Length - missing units" error="Need to apply Units! - click on cell K98 (units for Casing ID) &amp; select either *(ft) or *(in) from the drop-down list." sqref="K99:L101" xr:uid="{00000000-0002-0000-0900-000000000000}">
      <formula1>$DX$132:$DX$133</formula1>
    </dataValidation>
    <dataValidation type="list" allowBlank="1" showInputMessage="1" showErrorMessage="1" errorTitle="Surf Form Length - missing units" error="Need to apply Units - click on cell CA28 (units for Surface Form Length) &amp; select either *(ft) or *(in) from the drop-down list." sqref="CA28:CB30" xr:uid="{00000000-0002-0000-0900-000001000000}">
      <formula1>$DX$132:$DX$133</formula1>
    </dataValidation>
    <dataValidation type="list" allowBlank="1" showInputMessage="1" showErrorMessage="1" errorTitle="Shaft Dia. - missing units " error="Need to apply Units! - click on cell Q25 (units for Shaft Dia.) &amp; select either *(ft) or *(in) from the drop-down list." sqref="Q25:R27" xr:uid="{00000000-0002-0000-0900-000002000000}">
      <formula1>$DX$132:$DX$133</formula1>
    </dataValidation>
    <dataValidation type="list" allowBlank="1" showInputMessage="1" showErrorMessage="1" errorTitle="Surface Form ID - missing units" error="Need to apply Units - click on CA25 (units for Surface Form ID) &amp; select either *(ft) or *(in) from the drop-down list." sqref="CA25:CB27" xr:uid="{00000000-0002-0000-0900-000003000000}">
      <formula1>$DX$132:$DX$133</formula1>
    </dataValidation>
    <dataValidation type="list" allowBlank="1" showInputMessage="1" sqref="AB22:AD24 R22:T24 CE93:CG95 BW93:BY95" xr:uid="{00000000-0002-0000-0900-000004000000}">
      <formula1>$EG$115:$EG$116</formula1>
    </dataValidation>
    <dataValidation type="list" allowBlank="1" showInputMessage="1" sqref="BO106:BS108" xr:uid="{00000000-0002-0000-0900-000005000000}">
      <formula1>$EJ$145</formula1>
    </dataValidation>
    <dataValidation type="decimal" errorStyle="information" operator="greaterThan" allowBlank="1" showInputMessage="1" showErrorMessage="1" errorTitle="VD inputs should be &gt; 0.00 cy" error="If a truck load is REJECTED or Not Placed, click on &quot;Start Time or Load REJECTED or Not Placed&quot; (cell Lxx) for this truck, and use drop-down list to select &amp; apply &quot;REJECTED&quot; or &quot;Not Placed&quot;, &amp; input VD (cy) (cell AFxx)." sqref="AF51:AI90" xr:uid="{00000000-0002-0000-0900-000006000000}">
      <formula1>0</formula1>
    </dataValidation>
    <dataValidation type="list" allowBlank="1" showInputMessage="1" errorTitle="Time Format Incorrect" error="This time is used in an equation.  Input format must produce a correct displayed time format.  For example &quot;4:00 pm&quot;, or &quot;4:00 PM&quot; or &quot;4 p&quot; would be OK.  Remember the blank space between &quot;pm&quot;  or &quot;am&quot;." sqref="L83:O90" xr:uid="{00000000-0002-0000-0900-000008000000}">
      <formula1>$DX$125:$DX$126</formula1>
    </dataValidation>
    <dataValidation type="list" allowBlank="1" showInputMessage="1" errorTitle=" Time Format  Incorrect" error="This time is used in an equation.  Input format must produce a correct displayed time format.  For example &quot;4:00 pm&quot;, or &quot;4:00 PM&quot; or &quot;4 p&quot; would be OK.  Remember the blank space between &quot;pm&quot;  or &quot;am&quot;." sqref="L51:O82" xr:uid="{00000000-0002-0000-0900-000009000000}">
      <formula1>$DX$125:$DX$126</formula1>
    </dataValidation>
    <dataValidation type="time" allowBlank="1" showInputMessage="1" showErrorMessage="1" errorTitle=" Time Format  Incorrect" error="This time is used in an equation.  Input format must produce a correct displayed time format.  For example &quot;4:00 pm&quot;, or &quot;4:00 PM&quot; or &quot;4 p&quot; would be OK.  Remember the blank space between &quot;pm&quot;  or &quot;am&quot;." sqref="H51:K90 P51:S90" xr:uid="{00000000-0002-0000-0900-00000A000000}">
      <formula1>0</formula1>
      <formula2>0.999988425925926</formula2>
    </dataValidation>
  </dataValidations>
  <printOptions horizontalCentered="1" verticalCentered="1"/>
  <pageMargins left="0" right="0" top="0" bottom="0" header="0" footer="0"/>
  <pageSetup scale="60" orientation="landscape" r:id="rId1"/>
  <ignoredErrors>
    <ignoredError sqref="BH91" formula="1"/>
    <ignoredError sqref="CQ51:CT54" unlockedFormula="1"/>
  </ignoredErrors>
  <drawing r:id="rId2"/>
  <legacyDrawing r:id="rId3"/>
  <extLst>
    <ext xmlns:x14="http://schemas.microsoft.com/office/spreadsheetml/2009/9/main" uri="{CCE6A557-97BC-4b89-ADB6-D9C93CAAB3DF}">
      <x14:dataValidations xmlns:xm="http://schemas.microsoft.com/office/excel/2006/main" count="7">
        <x14:dataValidation type="list" showInputMessage="1" xr:uid="{00000000-0002-0000-0900-00000C000000}">
          <x14:formula1>
            <xm:f>List!$F$36:$F$43</xm:f>
          </x14:formula1>
          <xm:sqref>CD8:CF10</xm:sqref>
        </x14:dataValidation>
        <x14:dataValidation type="list" showInputMessage="1" xr:uid="{00000000-0002-0000-0900-00000D000000}">
          <x14:formula1>
            <xm:f>List!$B$17:$B$18</xm:f>
          </x14:formula1>
          <xm:sqref>BH14:BU16</xm:sqref>
        </x14:dataValidation>
        <x14:dataValidation type="list" showInputMessage="1" xr:uid="{00000000-0002-0000-0900-00000E000000}">
          <x14:formula1>
            <xm:f>List!$H$2:$H$4</xm:f>
          </x14:formula1>
          <xm:sqref>J14:X16</xm:sqref>
        </x14:dataValidation>
        <x14:dataValidation type="list" showInputMessage="1" xr:uid="{00000000-0002-0000-0900-00000F000000}">
          <x14:formula1>
            <xm:f>List!$I$2:$I$4</xm:f>
          </x14:formula1>
          <xm:sqref>AC14:AM16</xm:sqref>
        </x14:dataValidation>
        <x14:dataValidation type="list" allowBlank="1" showInputMessage="1" xr:uid="{00000000-0002-0000-0900-000010000000}">
          <x14:formula1>
            <xm:f>List!$H$19:$H$20</xm:f>
          </x14:formula1>
          <xm:sqref>AR14:AY16</xm:sqref>
        </x14:dataValidation>
        <x14:dataValidation type="list" allowBlank="1" showInputMessage="1" xr:uid="{00000000-0002-0000-0900-000011000000}">
          <x14:formula1>
            <xm:f>List!$J$19:$J$20</xm:f>
          </x14:formula1>
          <xm:sqref>BZ14:CG16</xm:sqref>
        </x14:dataValidation>
        <x14:dataValidation type="list" allowBlank="1" showInputMessage="1" xr:uid="{00000000-0002-0000-0900-000012000000}">
          <x14:formula1>
            <xm:f>List!$F$25:$F$32</xm:f>
          </x14:formula1>
          <xm:sqref>BX8:BZ10</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tabColor rgb="FF9AD35B"/>
    <pageSetUpPr fitToPage="1"/>
  </sheetPr>
  <dimension ref="A1:EV127"/>
  <sheetViews>
    <sheetView topLeftCell="A10" zoomScale="73" zoomScaleNormal="73" workbookViewId="0">
      <selection activeCell="P42" sqref="P42:S45"/>
    </sheetView>
  </sheetViews>
  <sheetFormatPr defaultColWidth="9.109375" defaultRowHeight="14.4"/>
  <cols>
    <col min="1" max="1" width="3.33203125" customWidth="1"/>
    <col min="2" max="86" width="2.5546875" customWidth="1"/>
    <col min="87" max="189" width="2.6640625" customWidth="1"/>
  </cols>
  <sheetData>
    <row r="1" spans="1:151" ht="9.6" customHeight="1">
      <c r="A1" s="1"/>
      <c r="B1" s="2242"/>
      <c r="C1" s="2242"/>
      <c r="D1" s="2242"/>
      <c r="E1" s="2242"/>
      <c r="F1" s="2242"/>
      <c r="G1" s="2242"/>
      <c r="H1" s="2242"/>
      <c r="I1" s="2242" t="s">
        <v>21</v>
      </c>
      <c r="J1" s="2242"/>
      <c r="K1" s="2242"/>
      <c r="L1" s="2242"/>
      <c r="M1" s="2242"/>
      <c r="N1" s="2242"/>
      <c r="O1" s="2242"/>
      <c r="P1" s="2242"/>
      <c r="Q1" s="2242"/>
      <c r="R1" s="2242"/>
      <c r="S1" s="2242"/>
      <c r="T1" s="2242"/>
      <c r="U1" s="2242"/>
      <c r="V1" s="2242"/>
      <c r="W1" s="2242"/>
      <c r="X1" s="2242"/>
      <c r="Y1" s="2242"/>
      <c r="Z1" s="2242"/>
      <c r="AA1" s="2242"/>
      <c r="AB1" s="2242"/>
      <c r="AC1" s="2242"/>
      <c r="AD1" s="2242"/>
      <c r="AE1" s="2242"/>
      <c r="AF1" s="2242"/>
      <c r="AG1" s="2242"/>
      <c r="AH1" s="2242"/>
      <c r="AI1" s="2242"/>
      <c r="AJ1" s="2242"/>
      <c r="AK1" s="2242"/>
      <c r="AL1" s="2242"/>
      <c r="AM1" s="2242"/>
      <c r="AN1" s="2242"/>
      <c r="AO1" s="2242"/>
      <c r="AP1" s="2242"/>
      <c r="AQ1" s="2242"/>
      <c r="AR1" s="2242"/>
      <c r="AS1" s="2242"/>
      <c r="AT1" s="2242"/>
      <c r="AU1" s="2242"/>
      <c r="AV1" s="2242"/>
      <c r="AW1" s="2242"/>
      <c r="AX1" s="2242"/>
      <c r="AY1" s="2242"/>
      <c r="AZ1" s="2242"/>
      <c r="BA1" s="2242"/>
      <c r="BB1" s="2242"/>
      <c r="BC1" s="2242"/>
      <c r="BD1" s="2242"/>
      <c r="BE1" s="2242"/>
      <c r="BF1" s="2242"/>
      <c r="BG1" s="2242"/>
      <c r="BH1" s="2242"/>
      <c r="BI1" s="2242"/>
      <c r="BJ1" s="2242"/>
      <c r="BK1" s="2242"/>
      <c r="BL1" s="2242"/>
      <c r="BM1" s="2242"/>
      <c r="BN1" s="2242"/>
      <c r="BO1" s="2242"/>
      <c r="BP1" s="2242"/>
      <c r="BQ1" s="2242"/>
      <c r="BR1" s="2242"/>
      <c r="BS1" s="2242"/>
      <c r="BT1" s="2242"/>
      <c r="BU1" s="2242"/>
      <c r="BV1" s="2242"/>
      <c r="BW1" s="2242"/>
      <c r="BX1" s="2242"/>
      <c r="BY1" s="2242"/>
      <c r="BZ1" s="2242"/>
      <c r="CA1" s="2242"/>
      <c r="CB1" s="2663" t="str">
        <f>'Concr. Pg 1'!CB1</f>
        <v>700-010-84</v>
      </c>
      <c r="CC1" s="2663"/>
      <c r="CD1" s="2663"/>
      <c r="CE1" s="2663"/>
      <c r="CF1" s="2663"/>
      <c r="CG1" s="2663"/>
      <c r="CH1" s="2663"/>
    </row>
    <row r="2" spans="1:151" ht="9.6" customHeight="1">
      <c r="A2" s="1"/>
      <c r="B2" s="2242"/>
      <c r="C2" s="2242"/>
      <c r="D2" s="2242"/>
      <c r="E2" s="2242"/>
      <c r="F2" s="2242"/>
      <c r="G2" s="2242"/>
      <c r="H2" s="2242"/>
      <c r="I2" s="2242"/>
      <c r="J2" s="2242"/>
      <c r="K2" s="2242"/>
      <c r="L2" s="2242"/>
      <c r="M2" s="2242"/>
      <c r="N2" s="2242"/>
      <c r="O2" s="2242"/>
      <c r="P2" s="2242"/>
      <c r="Q2" s="2242"/>
      <c r="R2" s="2242"/>
      <c r="S2" s="2242"/>
      <c r="T2" s="2242"/>
      <c r="U2" s="2242"/>
      <c r="V2" s="2242"/>
      <c r="W2" s="2242"/>
      <c r="X2" s="2242"/>
      <c r="Y2" s="2242"/>
      <c r="Z2" s="2242"/>
      <c r="AA2" s="2242"/>
      <c r="AB2" s="2242"/>
      <c r="AC2" s="2242"/>
      <c r="AD2" s="2242"/>
      <c r="AE2" s="2242"/>
      <c r="AF2" s="2242"/>
      <c r="AG2" s="2242"/>
      <c r="AH2" s="2242"/>
      <c r="AI2" s="2242"/>
      <c r="AJ2" s="2242"/>
      <c r="AK2" s="2242"/>
      <c r="AL2" s="2242"/>
      <c r="AM2" s="2242"/>
      <c r="AN2" s="2242"/>
      <c r="AO2" s="2242"/>
      <c r="AP2" s="2242"/>
      <c r="AQ2" s="2242"/>
      <c r="AR2" s="2242"/>
      <c r="AS2" s="2242"/>
      <c r="AT2" s="2242"/>
      <c r="AU2" s="2242"/>
      <c r="AV2" s="2242"/>
      <c r="AW2" s="2242"/>
      <c r="AX2" s="2242"/>
      <c r="AY2" s="2242"/>
      <c r="AZ2" s="2242"/>
      <c r="BA2" s="2242"/>
      <c r="BB2" s="2242"/>
      <c r="BC2" s="2242"/>
      <c r="BD2" s="2242"/>
      <c r="BE2" s="2242"/>
      <c r="BF2" s="2242"/>
      <c r="BG2" s="2242"/>
      <c r="BH2" s="2242"/>
      <c r="BI2" s="2242"/>
      <c r="BJ2" s="2242"/>
      <c r="BK2" s="2242"/>
      <c r="BL2" s="2242"/>
      <c r="BM2" s="2242"/>
      <c r="BN2" s="2242"/>
      <c r="BO2" s="2242"/>
      <c r="BP2" s="2242"/>
      <c r="BQ2" s="2242"/>
      <c r="BR2" s="2242"/>
      <c r="BS2" s="2242"/>
      <c r="BT2" s="2242"/>
      <c r="BU2" s="2242"/>
      <c r="BV2" s="2242"/>
      <c r="BW2" s="2242"/>
      <c r="BX2" s="2242"/>
      <c r="BY2" s="2242"/>
      <c r="BZ2" s="2242"/>
      <c r="CA2" s="2242"/>
      <c r="CB2" s="2663"/>
      <c r="CC2" s="2663"/>
      <c r="CD2" s="2663"/>
      <c r="CE2" s="2663"/>
      <c r="CF2" s="2663"/>
      <c r="CG2" s="2663"/>
      <c r="CH2" s="2663"/>
    </row>
    <row r="3" spans="1:151" ht="9.6" customHeight="1">
      <c r="A3" s="1"/>
      <c r="B3" s="2242"/>
      <c r="C3" s="2242"/>
      <c r="D3" s="2242"/>
      <c r="E3" s="2242"/>
      <c r="F3" s="2242"/>
      <c r="G3" s="2242"/>
      <c r="H3" s="2242"/>
      <c r="I3" s="2658" t="s">
        <v>22</v>
      </c>
      <c r="J3" s="2658"/>
      <c r="K3" s="2658"/>
      <c r="L3" s="2658"/>
      <c r="M3" s="2658"/>
      <c r="N3" s="2658"/>
      <c r="O3" s="2658"/>
      <c r="P3" s="2658"/>
      <c r="Q3" s="2658"/>
      <c r="R3" s="2658"/>
      <c r="S3" s="2658"/>
      <c r="T3" s="2658"/>
      <c r="U3" s="2658"/>
      <c r="V3" s="2658"/>
      <c r="W3" s="2658"/>
      <c r="X3" s="2658"/>
      <c r="Y3" s="2658"/>
      <c r="Z3" s="2658"/>
      <c r="AA3" s="2658"/>
      <c r="AB3" s="2658"/>
      <c r="AC3" s="2658"/>
      <c r="AD3" s="2658"/>
      <c r="AE3" s="2658"/>
      <c r="AF3" s="2658"/>
      <c r="AG3" s="2658"/>
      <c r="AH3" s="2658"/>
      <c r="AI3" s="2658"/>
      <c r="AJ3" s="2658"/>
      <c r="AK3" s="2658"/>
      <c r="AL3" s="2658"/>
      <c r="AM3" s="2658"/>
      <c r="AN3" s="2658"/>
      <c r="AO3" s="2658"/>
      <c r="AP3" s="2658"/>
      <c r="AQ3" s="2658"/>
      <c r="AR3" s="2658"/>
      <c r="AS3" s="2658"/>
      <c r="AT3" s="2658"/>
      <c r="AU3" s="2658"/>
      <c r="AV3" s="2658"/>
      <c r="AW3" s="2658"/>
      <c r="AX3" s="2658"/>
      <c r="AY3" s="2658"/>
      <c r="AZ3" s="2658"/>
      <c r="BA3" s="2658"/>
      <c r="BB3" s="2658"/>
      <c r="BC3" s="2658"/>
      <c r="BD3" s="2658"/>
      <c r="BE3" s="2658"/>
      <c r="BF3" s="2658"/>
      <c r="BG3" s="2658"/>
      <c r="BH3" s="2658"/>
      <c r="BI3" s="2658"/>
      <c r="BJ3" s="2658"/>
      <c r="BK3" s="2658"/>
      <c r="BL3" s="2658"/>
      <c r="BM3" s="2658"/>
      <c r="BN3" s="2658"/>
      <c r="BO3" s="2658"/>
      <c r="BP3" s="2658"/>
      <c r="BQ3" s="2658"/>
      <c r="BR3" s="2658"/>
      <c r="BS3" s="2658"/>
      <c r="BT3" s="2658"/>
      <c r="BU3" s="2658"/>
      <c r="BV3" s="2658"/>
      <c r="BW3" s="2658"/>
      <c r="BX3" s="2658"/>
      <c r="BY3" s="2658"/>
      <c r="BZ3" s="2658"/>
      <c r="CA3" s="2658"/>
      <c r="CB3" s="2663" t="s">
        <v>8</v>
      </c>
      <c r="CC3" s="2663"/>
      <c r="CD3" s="2663"/>
      <c r="CE3" s="2663"/>
      <c r="CF3" s="2663"/>
      <c r="CG3" s="2663"/>
      <c r="CH3" s="2663"/>
    </row>
    <row r="4" spans="1:151" ht="9.6" customHeight="1">
      <c r="A4" s="1"/>
      <c r="B4" s="2242"/>
      <c r="C4" s="2242"/>
      <c r="D4" s="2242"/>
      <c r="E4" s="2242"/>
      <c r="F4" s="2242"/>
      <c r="G4" s="2242"/>
      <c r="H4" s="2242"/>
      <c r="I4" s="2658"/>
      <c r="J4" s="2658"/>
      <c r="K4" s="2658"/>
      <c r="L4" s="2658"/>
      <c r="M4" s="2658"/>
      <c r="N4" s="2658"/>
      <c r="O4" s="2658"/>
      <c r="P4" s="2658"/>
      <c r="Q4" s="2658"/>
      <c r="R4" s="2658"/>
      <c r="S4" s="2658"/>
      <c r="T4" s="2658"/>
      <c r="U4" s="2658"/>
      <c r="V4" s="2658"/>
      <c r="W4" s="2658"/>
      <c r="X4" s="2658"/>
      <c r="Y4" s="2658"/>
      <c r="Z4" s="2658"/>
      <c r="AA4" s="2658"/>
      <c r="AB4" s="2658"/>
      <c r="AC4" s="2658"/>
      <c r="AD4" s="2658"/>
      <c r="AE4" s="2658"/>
      <c r="AF4" s="2658"/>
      <c r="AG4" s="2658"/>
      <c r="AH4" s="2658"/>
      <c r="AI4" s="2658"/>
      <c r="AJ4" s="2658"/>
      <c r="AK4" s="2658"/>
      <c r="AL4" s="2658"/>
      <c r="AM4" s="2658"/>
      <c r="AN4" s="2658"/>
      <c r="AO4" s="2658"/>
      <c r="AP4" s="2658"/>
      <c r="AQ4" s="2658"/>
      <c r="AR4" s="2658"/>
      <c r="AS4" s="2658"/>
      <c r="AT4" s="2658"/>
      <c r="AU4" s="2658"/>
      <c r="AV4" s="2658"/>
      <c r="AW4" s="2658"/>
      <c r="AX4" s="2658"/>
      <c r="AY4" s="2658"/>
      <c r="AZ4" s="2658"/>
      <c r="BA4" s="2658"/>
      <c r="BB4" s="2658"/>
      <c r="BC4" s="2658"/>
      <c r="BD4" s="2658"/>
      <c r="BE4" s="2658"/>
      <c r="BF4" s="2658"/>
      <c r="BG4" s="2658"/>
      <c r="BH4" s="2658"/>
      <c r="BI4" s="2658"/>
      <c r="BJ4" s="2658"/>
      <c r="BK4" s="2658"/>
      <c r="BL4" s="2658"/>
      <c r="BM4" s="2658"/>
      <c r="BN4" s="2658"/>
      <c r="BO4" s="2658"/>
      <c r="BP4" s="2658"/>
      <c r="BQ4" s="2658"/>
      <c r="BR4" s="2658"/>
      <c r="BS4" s="2658"/>
      <c r="BT4" s="2658"/>
      <c r="BU4" s="2658"/>
      <c r="BV4" s="2658"/>
      <c r="BW4" s="2658"/>
      <c r="BX4" s="2658"/>
      <c r="BY4" s="2658"/>
      <c r="BZ4" s="2658"/>
      <c r="CA4" s="2658"/>
      <c r="CB4" s="2663"/>
      <c r="CC4" s="2663"/>
      <c r="CD4" s="2663"/>
      <c r="CE4" s="2663"/>
      <c r="CF4" s="2663"/>
      <c r="CG4" s="2663"/>
      <c r="CH4" s="2663"/>
    </row>
    <row r="5" spans="1:151" ht="9.6" customHeight="1">
      <c r="A5" s="1"/>
      <c r="B5" s="2242"/>
      <c r="C5" s="2242"/>
      <c r="D5" s="2242"/>
      <c r="E5" s="2242"/>
      <c r="F5" s="2242"/>
      <c r="G5" s="2242"/>
      <c r="H5" s="2242"/>
      <c r="I5" s="2658"/>
      <c r="J5" s="2658"/>
      <c r="K5" s="2658"/>
      <c r="L5" s="2658"/>
      <c r="M5" s="2658"/>
      <c r="N5" s="2658"/>
      <c r="O5" s="2658"/>
      <c r="P5" s="2658"/>
      <c r="Q5" s="2658"/>
      <c r="R5" s="2658"/>
      <c r="S5" s="2658"/>
      <c r="T5" s="2658"/>
      <c r="U5" s="2658"/>
      <c r="V5" s="2658"/>
      <c r="W5" s="2658"/>
      <c r="X5" s="2658"/>
      <c r="Y5" s="2658"/>
      <c r="Z5" s="2658"/>
      <c r="AA5" s="2658"/>
      <c r="AB5" s="2658"/>
      <c r="AC5" s="2658"/>
      <c r="AD5" s="2658"/>
      <c r="AE5" s="2658"/>
      <c r="AF5" s="2658"/>
      <c r="AG5" s="2658"/>
      <c r="AH5" s="2658"/>
      <c r="AI5" s="2658"/>
      <c r="AJ5" s="2658"/>
      <c r="AK5" s="2658"/>
      <c r="AL5" s="2658"/>
      <c r="AM5" s="2658"/>
      <c r="AN5" s="2658"/>
      <c r="AO5" s="2658"/>
      <c r="AP5" s="2658"/>
      <c r="AQ5" s="2658"/>
      <c r="AR5" s="2658"/>
      <c r="AS5" s="2658"/>
      <c r="AT5" s="2658"/>
      <c r="AU5" s="2658"/>
      <c r="AV5" s="2658"/>
      <c r="AW5" s="2658"/>
      <c r="AX5" s="2658"/>
      <c r="AY5" s="2658"/>
      <c r="AZ5" s="2658"/>
      <c r="BA5" s="2658"/>
      <c r="BB5" s="2658"/>
      <c r="BC5" s="2658"/>
      <c r="BD5" s="2658"/>
      <c r="BE5" s="2658"/>
      <c r="BF5" s="2658"/>
      <c r="BG5" s="2658"/>
      <c r="BH5" s="2658"/>
      <c r="BI5" s="2658"/>
      <c r="BJ5" s="2658"/>
      <c r="BK5" s="2658"/>
      <c r="BL5" s="2658"/>
      <c r="BM5" s="2658"/>
      <c r="BN5" s="2658"/>
      <c r="BO5" s="2658"/>
      <c r="BP5" s="2658"/>
      <c r="BQ5" s="2658"/>
      <c r="BR5" s="2658"/>
      <c r="BS5" s="2658"/>
      <c r="BT5" s="2658"/>
      <c r="BU5" s="2658"/>
      <c r="BV5" s="2658"/>
      <c r="BW5" s="2658"/>
      <c r="BX5" s="2658"/>
      <c r="BY5" s="2658"/>
      <c r="BZ5" s="2658"/>
      <c r="CA5" s="2658"/>
      <c r="CB5" s="2664">
        <f>'Concr. Pg 1'!CB5</f>
        <v>45222</v>
      </c>
      <c r="CC5" s="2665"/>
      <c r="CD5" s="2665"/>
      <c r="CE5" s="2665"/>
      <c r="CF5" s="2665"/>
      <c r="CG5" s="2665"/>
      <c r="CH5" s="2665"/>
    </row>
    <row r="6" spans="1:151" ht="9.6" customHeight="1" thickBot="1">
      <c r="A6" s="1"/>
      <c r="B6" s="2242"/>
      <c r="C6" s="2242"/>
      <c r="D6" s="2242"/>
      <c r="E6" s="2242"/>
      <c r="F6" s="2242"/>
      <c r="G6" s="2242"/>
      <c r="H6" s="2242"/>
      <c r="I6" s="2242"/>
      <c r="J6" s="2242"/>
      <c r="K6" s="2242"/>
      <c r="L6" s="2242"/>
      <c r="M6" s="2242"/>
      <c r="N6" s="2242"/>
      <c r="O6" s="2242"/>
      <c r="P6" s="2242"/>
      <c r="Q6" s="2242"/>
      <c r="R6" s="2242"/>
      <c r="S6" s="2242"/>
      <c r="T6" s="2242"/>
      <c r="U6" s="2242"/>
      <c r="V6" s="2242"/>
      <c r="W6" s="2242"/>
      <c r="X6" s="2242"/>
      <c r="Y6" s="2242"/>
      <c r="Z6" s="2242"/>
      <c r="AA6" s="2242"/>
      <c r="AB6" s="2242"/>
      <c r="AC6" s="2242"/>
      <c r="AD6" s="2242"/>
      <c r="AE6" s="2242"/>
      <c r="AF6" s="2242"/>
      <c r="AG6" s="2242"/>
      <c r="AH6" s="2242"/>
      <c r="AI6" s="2242"/>
      <c r="AJ6" s="2242"/>
      <c r="AK6" s="2242"/>
      <c r="AL6" s="2242"/>
      <c r="AM6" s="2242"/>
      <c r="AN6" s="2242"/>
      <c r="AO6" s="2242"/>
      <c r="AP6" s="2242"/>
      <c r="AQ6" s="2242"/>
      <c r="AR6" s="2242"/>
      <c r="AS6" s="2242"/>
      <c r="AT6" s="2242"/>
      <c r="AU6" s="2242"/>
      <c r="AV6" s="2242"/>
      <c r="AW6" s="2242"/>
      <c r="AX6" s="2242"/>
      <c r="AY6" s="2242"/>
      <c r="AZ6" s="2242"/>
      <c r="BA6" s="2242"/>
      <c r="BB6" s="2242"/>
      <c r="BC6" s="2242"/>
      <c r="BD6" s="2242"/>
      <c r="BE6" s="2242"/>
      <c r="BF6" s="2242"/>
      <c r="BG6" s="2242"/>
      <c r="BH6" s="2242"/>
      <c r="BI6" s="2242"/>
      <c r="BJ6" s="2242"/>
      <c r="BK6" s="2242"/>
      <c r="BL6" s="2242"/>
      <c r="BM6" s="2242"/>
      <c r="BN6" s="2242"/>
      <c r="BO6" s="2242"/>
      <c r="BP6" s="2242"/>
      <c r="BQ6" s="2242"/>
      <c r="BR6" s="2242"/>
      <c r="BS6" s="2242"/>
      <c r="BT6" s="2242"/>
      <c r="BU6" s="2242"/>
      <c r="BV6" s="2242"/>
      <c r="BW6" s="2242"/>
      <c r="BX6" s="2242"/>
      <c r="BY6" s="2242"/>
      <c r="BZ6" s="2242"/>
      <c r="CA6" s="2242"/>
      <c r="CB6" s="2665"/>
      <c r="CC6" s="2665"/>
      <c r="CD6" s="2665"/>
      <c r="CE6" s="2665"/>
      <c r="CF6" s="2665"/>
      <c r="CG6" s="2665"/>
      <c r="CH6" s="2665"/>
    </row>
    <row r="7" spans="1:151" ht="9.6" customHeight="1">
      <c r="A7" s="1"/>
      <c r="B7" s="2666"/>
      <c r="C7" s="2667"/>
      <c r="D7" s="2667"/>
      <c r="E7" s="2667"/>
      <c r="F7" s="2667"/>
      <c r="G7" s="2667"/>
      <c r="H7" s="2667"/>
      <c r="I7" s="2667"/>
      <c r="J7" s="2667"/>
      <c r="K7" s="2667"/>
      <c r="L7" s="2667"/>
      <c r="M7" s="2667"/>
      <c r="N7" s="2667"/>
      <c r="O7" s="2667"/>
      <c r="P7" s="2667"/>
      <c r="Q7" s="2667"/>
      <c r="R7" s="2667"/>
      <c r="S7" s="2667"/>
      <c r="T7" s="2667"/>
      <c r="U7" s="2667"/>
      <c r="V7" s="2667"/>
      <c r="W7" s="2667"/>
      <c r="X7" s="2667"/>
      <c r="Y7" s="2667"/>
      <c r="Z7" s="2667"/>
      <c r="AA7" s="2667"/>
      <c r="AB7" s="2667"/>
      <c r="AC7" s="2667"/>
      <c r="AD7" s="2667"/>
      <c r="AE7" s="2667"/>
      <c r="AF7" s="2667"/>
      <c r="AG7" s="2667"/>
      <c r="AH7" s="2667"/>
      <c r="AI7" s="2667"/>
      <c r="AJ7" s="2667"/>
      <c r="AK7" s="2667"/>
      <c r="AL7" s="2667"/>
      <c r="AM7" s="2667"/>
      <c r="AN7" s="2667"/>
      <c r="AO7" s="2667"/>
      <c r="AP7" s="2667"/>
      <c r="AQ7" s="2667"/>
      <c r="AR7" s="2667"/>
      <c r="AS7" s="2667"/>
      <c r="AT7" s="2667"/>
      <c r="AU7" s="2667"/>
      <c r="AV7" s="2667"/>
      <c r="AW7" s="2667"/>
      <c r="AX7" s="2667"/>
      <c r="AY7" s="2667"/>
      <c r="AZ7" s="2667"/>
      <c r="BA7" s="2667"/>
      <c r="BB7" s="2667"/>
      <c r="BC7" s="2667"/>
      <c r="BD7" s="2667"/>
      <c r="BE7" s="2667"/>
      <c r="BF7" s="2667"/>
      <c r="BG7" s="2667"/>
      <c r="BH7" s="2667"/>
      <c r="BI7" s="2667"/>
      <c r="BJ7" s="2667"/>
      <c r="BK7" s="2667"/>
      <c r="BL7" s="2667"/>
      <c r="BM7" s="2667"/>
      <c r="BN7" s="2667"/>
      <c r="BO7" s="2667"/>
      <c r="BP7" s="2667"/>
      <c r="BQ7" s="2667"/>
      <c r="BR7" s="2667"/>
      <c r="BS7" s="2667"/>
      <c r="BT7" s="2667"/>
      <c r="BU7" s="2667"/>
      <c r="BV7" s="2667"/>
      <c r="BW7" s="2667"/>
      <c r="BX7" s="2667"/>
      <c r="BY7" s="2667"/>
      <c r="BZ7" s="2667"/>
      <c r="CA7" s="2667"/>
      <c r="CB7" s="2667"/>
      <c r="CC7" s="2667"/>
      <c r="CD7" s="2667"/>
      <c r="CE7" s="2667"/>
      <c r="CF7" s="2667"/>
      <c r="CG7" s="2667"/>
      <c r="CH7" s="2668"/>
    </row>
    <row r="8" spans="1:151" ht="9.6" customHeight="1">
      <c r="A8" s="1"/>
      <c r="B8" s="2638" t="s">
        <v>45</v>
      </c>
      <c r="C8" s="2639"/>
      <c r="D8" s="2639"/>
      <c r="E8" s="2639"/>
      <c r="F8" s="2639"/>
      <c r="G8" s="2639"/>
      <c r="H8" s="2639"/>
      <c r="I8" s="2639"/>
      <c r="J8" s="2891" t="str">
        <f>IF('Concr. Pg 1'!J8:AC10="","",'Concr. Pg 1'!J8:AC10)</f>
        <v/>
      </c>
      <c r="K8" s="2891"/>
      <c r="L8" s="2891"/>
      <c r="M8" s="2891"/>
      <c r="N8" s="2891"/>
      <c r="O8" s="2891"/>
      <c r="P8" s="2891"/>
      <c r="Q8" s="2891"/>
      <c r="R8" s="2891"/>
      <c r="S8" s="2891"/>
      <c r="T8" s="2891"/>
      <c r="U8" s="2891"/>
      <c r="V8" s="2891"/>
      <c r="W8" s="2891"/>
      <c r="X8" s="2891"/>
      <c r="Y8" s="2891"/>
      <c r="Z8" s="2891"/>
      <c r="AA8" s="2891"/>
      <c r="AB8" s="2891"/>
      <c r="AC8" s="2891"/>
      <c r="AD8" s="1859"/>
      <c r="AE8" s="1859"/>
      <c r="AF8" s="2639" t="s">
        <v>49</v>
      </c>
      <c r="AG8" s="2639"/>
      <c r="AH8" s="2639"/>
      <c r="AI8" s="2639"/>
      <c r="AJ8" s="2639"/>
      <c r="AK8" s="2893" t="str">
        <f>IF('Concr. Pg 1'!AK8:AP10="","",'Concr. Pg 1'!AK8:AP10)</f>
        <v/>
      </c>
      <c r="AL8" s="2893"/>
      <c r="AM8" s="2893"/>
      <c r="AN8" s="2893"/>
      <c r="AO8" s="2893"/>
      <c r="AP8" s="2893"/>
      <c r="AQ8" s="2893"/>
      <c r="AR8" s="2893"/>
      <c r="AS8" s="1859"/>
      <c r="AT8" s="1859"/>
      <c r="AU8" s="2639" t="s">
        <v>152</v>
      </c>
      <c r="AV8" s="2639"/>
      <c r="AW8" s="2639"/>
      <c r="AX8" s="2639"/>
      <c r="AY8" s="2639"/>
      <c r="AZ8" s="2639"/>
      <c r="BA8" s="2639"/>
      <c r="BB8" s="2639"/>
      <c r="BC8" s="2639"/>
      <c r="BD8" s="2639"/>
      <c r="BE8" s="2891" t="str">
        <f>IF('Concr. Pg 1'!BE8="","",'Concr. Pg 1'!BE8)</f>
        <v/>
      </c>
      <c r="BF8" s="2891"/>
      <c r="BG8" s="2891"/>
      <c r="BH8" s="2891"/>
      <c r="BI8" s="2891"/>
      <c r="BJ8" s="2891"/>
      <c r="BK8" s="2891"/>
      <c r="BL8" s="2891"/>
      <c r="BM8" s="2891"/>
      <c r="BN8" s="2891"/>
      <c r="BO8" s="2891"/>
      <c r="BP8" s="2662"/>
      <c r="BQ8" s="2662"/>
      <c r="BR8" s="2662"/>
      <c r="BS8" s="2662"/>
      <c r="BT8" s="2653" t="s">
        <v>10</v>
      </c>
      <c r="BU8" s="2653"/>
      <c r="BV8" s="2653"/>
      <c r="BW8" s="2653"/>
      <c r="BX8" s="2660">
        <v>4</v>
      </c>
      <c r="BY8" s="2660"/>
      <c r="BZ8" s="2660"/>
      <c r="CA8" s="2653" t="s">
        <v>981</v>
      </c>
      <c r="CB8" s="2653"/>
      <c r="CC8" s="2653"/>
      <c r="CD8" s="2660"/>
      <c r="CE8" s="2660"/>
      <c r="CF8" s="2660"/>
      <c r="CG8" s="2669"/>
      <c r="CH8" s="2670"/>
    </row>
    <row r="9" spans="1:151" ht="9.6" customHeight="1">
      <c r="A9" s="1"/>
      <c r="B9" s="2638"/>
      <c r="C9" s="2639"/>
      <c r="D9" s="2639"/>
      <c r="E9" s="2639"/>
      <c r="F9" s="2639"/>
      <c r="G9" s="2639"/>
      <c r="H9" s="2639"/>
      <c r="I9" s="2639"/>
      <c r="J9" s="2891"/>
      <c r="K9" s="2891"/>
      <c r="L9" s="2891"/>
      <c r="M9" s="2891"/>
      <c r="N9" s="2891"/>
      <c r="O9" s="2891"/>
      <c r="P9" s="2891"/>
      <c r="Q9" s="2891"/>
      <c r="R9" s="2891"/>
      <c r="S9" s="2891"/>
      <c r="T9" s="2891"/>
      <c r="U9" s="2891"/>
      <c r="V9" s="2891"/>
      <c r="W9" s="2891"/>
      <c r="X9" s="2891"/>
      <c r="Y9" s="2891"/>
      <c r="Z9" s="2891"/>
      <c r="AA9" s="2891"/>
      <c r="AB9" s="2891"/>
      <c r="AC9" s="2891"/>
      <c r="AD9" s="1859"/>
      <c r="AE9" s="1859"/>
      <c r="AF9" s="2639"/>
      <c r="AG9" s="2639"/>
      <c r="AH9" s="2639"/>
      <c r="AI9" s="2639"/>
      <c r="AJ9" s="2639"/>
      <c r="AK9" s="2893"/>
      <c r="AL9" s="2893"/>
      <c r="AM9" s="2893"/>
      <c r="AN9" s="2893"/>
      <c r="AO9" s="2893"/>
      <c r="AP9" s="2893"/>
      <c r="AQ9" s="2893"/>
      <c r="AR9" s="2893"/>
      <c r="AS9" s="1859"/>
      <c r="AT9" s="1859"/>
      <c r="AU9" s="2639"/>
      <c r="AV9" s="2639"/>
      <c r="AW9" s="2639"/>
      <c r="AX9" s="2639"/>
      <c r="AY9" s="2639"/>
      <c r="AZ9" s="2639"/>
      <c r="BA9" s="2639"/>
      <c r="BB9" s="2639"/>
      <c r="BC9" s="2639"/>
      <c r="BD9" s="2639"/>
      <c r="BE9" s="2891"/>
      <c r="BF9" s="2891"/>
      <c r="BG9" s="2891"/>
      <c r="BH9" s="2891"/>
      <c r="BI9" s="2891"/>
      <c r="BJ9" s="2891"/>
      <c r="BK9" s="2891"/>
      <c r="BL9" s="2891"/>
      <c r="BM9" s="2891"/>
      <c r="BN9" s="2891"/>
      <c r="BO9" s="2891"/>
      <c r="BP9" s="2662"/>
      <c r="BQ9" s="2662"/>
      <c r="BR9" s="2662"/>
      <c r="BS9" s="2662"/>
      <c r="BT9" s="2653"/>
      <c r="BU9" s="2653"/>
      <c r="BV9" s="2653"/>
      <c r="BW9" s="2653"/>
      <c r="BX9" s="2660"/>
      <c r="BY9" s="2660"/>
      <c r="BZ9" s="2660"/>
      <c r="CA9" s="2653"/>
      <c r="CB9" s="2653"/>
      <c r="CC9" s="2653"/>
      <c r="CD9" s="2660"/>
      <c r="CE9" s="2660"/>
      <c r="CF9" s="2660"/>
      <c r="CG9" s="2669"/>
      <c r="CH9" s="2670"/>
    </row>
    <row r="10" spans="1:151" ht="9.6" customHeight="1">
      <c r="A10" s="1"/>
      <c r="B10" s="2638"/>
      <c r="C10" s="2639"/>
      <c r="D10" s="2639"/>
      <c r="E10" s="2639"/>
      <c r="F10" s="2639"/>
      <c r="G10" s="2639"/>
      <c r="H10" s="2639"/>
      <c r="I10" s="2639"/>
      <c r="J10" s="2892"/>
      <c r="K10" s="2892"/>
      <c r="L10" s="2892"/>
      <c r="M10" s="2892"/>
      <c r="N10" s="2892"/>
      <c r="O10" s="2892"/>
      <c r="P10" s="2892"/>
      <c r="Q10" s="2892"/>
      <c r="R10" s="2892"/>
      <c r="S10" s="2892"/>
      <c r="T10" s="2892"/>
      <c r="U10" s="2892"/>
      <c r="V10" s="2892"/>
      <c r="W10" s="2892"/>
      <c r="X10" s="2892"/>
      <c r="Y10" s="2892"/>
      <c r="Z10" s="2892"/>
      <c r="AA10" s="2892"/>
      <c r="AB10" s="2892"/>
      <c r="AC10" s="2892"/>
      <c r="AD10" s="1859"/>
      <c r="AE10" s="1859"/>
      <c r="AF10" s="2639"/>
      <c r="AG10" s="2639"/>
      <c r="AH10" s="2639"/>
      <c r="AI10" s="2639"/>
      <c r="AJ10" s="2639"/>
      <c r="AK10" s="2894"/>
      <c r="AL10" s="2894"/>
      <c r="AM10" s="2894"/>
      <c r="AN10" s="2894"/>
      <c r="AO10" s="2894"/>
      <c r="AP10" s="2894"/>
      <c r="AQ10" s="2894"/>
      <c r="AR10" s="2894"/>
      <c r="AS10" s="1859"/>
      <c r="AT10" s="1859"/>
      <c r="AU10" s="2639"/>
      <c r="AV10" s="2639"/>
      <c r="AW10" s="2639"/>
      <c r="AX10" s="2639"/>
      <c r="AY10" s="2639"/>
      <c r="AZ10" s="2639"/>
      <c r="BA10" s="2639"/>
      <c r="BB10" s="2639"/>
      <c r="BC10" s="2639"/>
      <c r="BD10" s="2639"/>
      <c r="BE10" s="2892"/>
      <c r="BF10" s="2892"/>
      <c r="BG10" s="2892"/>
      <c r="BH10" s="2892"/>
      <c r="BI10" s="2892"/>
      <c r="BJ10" s="2892"/>
      <c r="BK10" s="2892"/>
      <c r="BL10" s="2892"/>
      <c r="BM10" s="2892"/>
      <c r="BN10" s="2892"/>
      <c r="BO10" s="2892"/>
      <c r="BP10" s="2662"/>
      <c r="BQ10" s="2662"/>
      <c r="BR10" s="2662"/>
      <c r="BS10" s="2662"/>
      <c r="BT10" s="2653"/>
      <c r="BU10" s="2653"/>
      <c r="BV10" s="2653"/>
      <c r="BW10" s="2653"/>
      <c r="BX10" s="2661"/>
      <c r="BY10" s="2661"/>
      <c r="BZ10" s="2661"/>
      <c r="CA10" s="2653"/>
      <c r="CB10" s="2653"/>
      <c r="CC10" s="2653"/>
      <c r="CD10" s="2661"/>
      <c r="CE10" s="2661"/>
      <c r="CF10" s="2661"/>
      <c r="CG10" s="2669"/>
      <c r="CH10" s="2670"/>
    </row>
    <row r="11" spans="1:151" ht="9.6" customHeight="1">
      <c r="A11" s="1"/>
      <c r="B11" s="2638" t="s">
        <v>46</v>
      </c>
      <c r="C11" s="2639"/>
      <c r="D11" s="2639"/>
      <c r="E11" s="2639"/>
      <c r="F11" s="2639"/>
      <c r="G11" s="2639"/>
      <c r="H11" s="2639"/>
      <c r="I11" s="2639"/>
      <c r="J11" s="2891" t="str">
        <f>IF('Concr. Pg 1'!J11:AC13="","",'Concr. Pg 1'!J11:AC13)</f>
        <v/>
      </c>
      <c r="K11" s="2891"/>
      <c r="L11" s="2891"/>
      <c r="M11" s="2891"/>
      <c r="N11" s="2891"/>
      <c r="O11" s="2891"/>
      <c r="P11" s="2891"/>
      <c r="Q11" s="2891"/>
      <c r="R11" s="2891"/>
      <c r="S11" s="2891"/>
      <c r="T11" s="2891"/>
      <c r="U11" s="2891"/>
      <c r="V11" s="2891"/>
      <c r="W11" s="2891"/>
      <c r="X11" s="2891"/>
      <c r="Y11" s="2891"/>
      <c r="Z11" s="2891"/>
      <c r="AA11" s="2891"/>
      <c r="AB11" s="2891"/>
      <c r="AC11" s="2891"/>
      <c r="AD11" s="1859"/>
      <c r="AE11" s="1859"/>
      <c r="AF11" s="2653" t="s">
        <v>122</v>
      </c>
      <c r="AG11" s="2653"/>
      <c r="AH11" s="2653"/>
      <c r="AI11" s="2653"/>
      <c r="AJ11" s="2653"/>
      <c r="AK11" s="2900" t="str">
        <f>IF('Concr. Pg 1'!AK11:AP13="","",'Concr. Pg 1'!AK11:AP13)</f>
        <v/>
      </c>
      <c r="AL11" s="2900"/>
      <c r="AM11" s="2900"/>
      <c r="AN11" s="2900"/>
      <c r="AO11" s="2900"/>
      <c r="AP11" s="2900"/>
      <c r="AQ11" s="2900"/>
      <c r="AR11" s="2900"/>
      <c r="AS11" s="1859"/>
      <c r="AT11" s="1859"/>
      <c r="AU11" s="2639" t="s">
        <v>50</v>
      </c>
      <c r="AV11" s="2639"/>
      <c r="AW11" s="2639"/>
      <c r="AX11" s="2639"/>
      <c r="AY11" s="2639"/>
      <c r="AZ11" s="2639"/>
      <c r="BA11" s="2891" t="str">
        <f>IF('Concr. Pg 1'!BA11="","",'Concr. Pg 1'!BA11)</f>
        <v/>
      </c>
      <c r="BB11" s="2891"/>
      <c r="BC11" s="2891"/>
      <c r="BD11" s="2891"/>
      <c r="BE11" s="2891"/>
      <c r="BF11" s="2891"/>
      <c r="BG11" s="2891"/>
      <c r="BH11" s="2891"/>
      <c r="BI11" s="2891"/>
      <c r="BJ11" s="2891"/>
      <c r="BK11" s="2891"/>
      <c r="BL11" s="2891"/>
      <c r="BM11" s="2891"/>
      <c r="BN11" s="2891"/>
      <c r="BO11" s="2891"/>
      <c r="BP11" s="2639" t="s">
        <v>153</v>
      </c>
      <c r="BQ11" s="2639"/>
      <c r="BR11" s="2639"/>
      <c r="BS11" s="2639"/>
      <c r="BT11" s="2639"/>
      <c r="BU11" s="2639"/>
      <c r="BV11" s="2891" t="str">
        <f>IF('Concr. Pg 1'!BV11:CD13="","",'Concr. Pg 1'!BV11:CD13)</f>
        <v/>
      </c>
      <c r="BW11" s="2891"/>
      <c r="BX11" s="2891"/>
      <c r="BY11" s="2891"/>
      <c r="BZ11" s="2891"/>
      <c r="CA11" s="2891"/>
      <c r="CB11" s="2891"/>
      <c r="CC11" s="2891"/>
      <c r="CD11" s="2891"/>
      <c r="CE11" s="2891"/>
      <c r="CF11" s="2891"/>
      <c r="CG11" s="2891"/>
      <c r="CH11" s="758"/>
      <c r="CI11" s="22"/>
      <c r="CJ11" s="22"/>
    </row>
    <row r="12" spans="1:151" ht="9.6" customHeight="1">
      <c r="A12" s="1"/>
      <c r="B12" s="2638"/>
      <c r="C12" s="2639"/>
      <c r="D12" s="2639"/>
      <c r="E12" s="2639"/>
      <c r="F12" s="2639"/>
      <c r="G12" s="2639"/>
      <c r="H12" s="2639"/>
      <c r="I12" s="2639"/>
      <c r="J12" s="2891"/>
      <c r="K12" s="2891"/>
      <c r="L12" s="2891"/>
      <c r="M12" s="2891"/>
      <c r="N12" s="2891"/>
      <c r="O12" s="2891"/>
      <c r="P12" s="2891"/>
      <c r="Q12" s="2891"/>
      <c r="R12" s="2891"/>
      <c r="S12" s="2891"/>
      <c r="T12" s="2891"/>
      <c r="U12" s="2891"/>
      <c r="V12" s="2891"/>
      <c r="W12" s="2891"/>
      <c r="X12" s="2891"/>
      <c r="Y12" s="2891"/>
      <c r="Z12" s="2891"/>
      <c r="AA12" s="2891"/>
      <c r="AB12" s="2891"/>
      <c r="AC12" s="2891"/>
      <c r="AD12" s="1859"/>
      <c r="AE12" s="1859"/>
      <c r="AF12" s="2653"/>
      <c r="AG12" s="2653"/>
      <c r="AH12" s="2653"/>
      <c r="AI12" s="2653"/>
      <c r="AJ12" s="2653"/>
      <c r="AK12" s="2893"/>
      <c r="AL12" s="2893"/>
      <c r="AM12" s="2893"/>
      <c r="AN12" s="2893"/>
      <c r="AO12" s="2893"/>
      <c r="AP12" s="2893"/>
      <c r="AQ12" s="2893"/>
      <c r="AR12" s="2893"/>
      <c r="AS12" s="1859"/>
      <c r="AT12" s="1859"/>
      <c r="AU12" s="2639"/>
      <c r="AV12" s="2639"/>
      <c r="AW12" s="2639"/>
      <c r="AX12" s="2639"/>
      <c r="AY12" s="2639"/>
      <c r="AZ12" s="2639"/>
      <c r="BA12" s="2891"/>
      <c r="BB12" s="2891"/>
      <c r="BC12" s="2891"/>
      <c r="BD12" s="2891"/>
      <c r="BE12" s="2891"/>
      <c r="BF12" s="2891"/>
      <c r="BG12" s="2891"/>
      <c r="BH12" s="2891"/>
      <c r="BI12" s="2891"/>
      <c r="BJ12" s="2891"/>
      <c r="BK12" s="2891"/>
      <c r="BL12" s="2891"/>
      <c r="BM12" s="2891"/>
      <c r="BN12" s="2891"/>
      <c r="BO12" s="2891"/>
      <c r="BP12" s="2639"/>
      <c r="BQ12" s="2639"/>
      <c r="BR12" s="2639"/>
      <c r="BS12" s="2639"/>
      <c r="BT12" s="2639"/>
      <c r="BU12" s="2639"/>
      <c r="BV12" s="2891"/>
      <c r="BW12" s="2891"/>
      <c r="BX12" s="2891"/>
      <c r="BY12" s="2891"/>
      <c r="BZ12" s="2891"/>
      <c r="CA12" s="2891"/>
      <c r="CB12" s="2891"/>
      <c r="CC12" s="2891"/>
      <c r="CD12" s="2891"/>
      <c r="CE12" s="2891"/>
      <c r="CF12" s="2891"/>
      <c r="CG12" s="2891"/>
      <c r="CH12" s="758"/>
      <c r="CI12" s="22"/>
      <c r="CJ12" s="22"/>
      <c r="CK12" s="22"/>
      <c r="CL12" s="22"/>
      <c r="CN12" s="22"/>
    </row>
    <row r="13" spans="1:151" ht="9.6" customHeight="1">
      <c r="A13" s="1"/>
      <c r="B13" s="2638"/>
      <c r="C13" s="2639"/>
      <c r="D13" s="2639"/>
      <c r="E13" s="2639"/>
      <c r="F13" s="2639"/>
      <c r="G13" s="2639"/>
      <c r="H13" s="2639"/>
      <c r="I13" s="2639"/>
      <c r="J13" s="2892"/>
      <c r="K13" s="2892"/>
      <c r="L13" s="2892"/>
      <c r="M13" s="2892"/>
      <c r="N13" s="2892"/>
      <c r="O13" s="2892"/>
      <c r="P13" s="2892"/>
      <c r="Q13" s="2892"/>
      <c r="R13" s="2892"/>
      <c r="S13" s="2892"/>
      <c r="T13" s="2892"/>
      <c r="U13" s="2892"/>
      <c r="V13" s="2892"/>
      <c r="W13" s="2892"/>
      <c r="X13" s="2892"/>
      <c r="Y13" s="2892"/>
      <c r="Z13" s="2892"/>
      <c r="AA13" s="2892"/>
      <c r="AB13" s="2892"/>
      <c r="AC13" s="2892"/>
      <c r="AD13" s="1859"/>
      <c r="AE13" s="1859"/>
      <c r="AF13" s="2653"/>
      <c r="AG13" s="2653"/>
      <c r="AH13" s="2653"/>
      <c r="AI13" s="2653"/>
      <c r="AJ13" s="2653"/>
      <c r="AK13" s="2894"/>
      <c r="AL13" s="2894"/>
      <c r="AM13" s="2894"/>
      <c r="AN13" s="2894"/>
      <c r="AO13" s="2894"/>
      <c r="AP13" s="2894"/>
      <c r="AQ13" s="2894"/>
      <c r="AR13" s="2894"/>
      <c r="AS13" s="1859"/>
      <c r="AT13" s="1859"/>
      <c r="AU13" s="2639"/>
      <c r="AV13" s="2639"/>
      <c r="AW13" s="2639"/>
      <c r="AX13" s="2639"/>
      <c r="AY13" s="2639"/>
      <c r="AZ13" s="2639"/>
      <c r="BA13" s="2892"/>
      <c r="BB13" s="2892"/>
      <c r="BC13" s="2892"/>
      <c r="BD13" s="2892"/>
      <c r="BE13" s="2892"/>
      <c r="BF13" s="2892"/>
      <c r="BG13" s="2892"/>
      <c r="BH13" s="2892"/>
      <c r="BI13" s="2892"/>
      <c r="BJ13" s="2892"/>
      <c r="BK13" s="2892"/>
      <c r="BL13" s="2892"/>
      <c r="BM13" s="2892"/>
      <c r="BN13" s="2892"/>
      <c r="BO13" s="2892"/>
      <c r="BP13" s="2639"/>
      <c r="BQ13" s="2639"/>
      <c r="BR13" s="2639"/>
      <c r="BS13" s="2639"/>
      <c r="BT13" s="2639"/>
      <c r="BU13" s="2639"/>
      <c r="BV13" s="2892"/>
      <c r="BW13" s="2892"/>
      <c r="BX13" s="2892"/>
      <c r="BY13" s="2892"/>
      <c r="BZ13" s="2892"/>
      <c r="CA13" s="2892"/>
      <c r="CB13" s="2892"/>
      <c r="CC13" s="2892"/>
      <c r="CD13" s="2892"/>
      <c r="CE13" s="2892"/>
      <c r="CF13" s="2892"/>
      <c r="CG13" s="2892"/>
      <c r="CH13" s="758"/>
      <c r="CI13" s="22"/>
      <c r="CJ13" s="22"/>
      <c r="CK13" s="22"/>
      <c r="CL13" s="22"/>
      <c r="CN13" s="22"/>
    </row>
    <row r="14" spans="1:151" ht="9.6" customHeight="1">
      <c r="A14" s="1"/>
      <c r="B14" s="2638" t="s">
        <v>48</v>
      </c>
      <c r="C14" s="2639"/>
      <c r="D14" s="2639"/>
      <c r="E14" s="2639"/>
      <c r="F14" s="2639"/>
      <c r="G14" s="2639"/>
      <c r="H14" s="2639"/>
      <c r="I14" s="2639"/>
      <c r="J14" s="2901"/>
      <c r="K14" s="2901"/>
      <c r="L14" s="2901"/>
      <c r="M14" s="2901"/>
      <c r="N14" s="2901"/>
      <c r="O14" s="2901"/>
      <c r="P14" s="2901"/>
      <c r="Q14" s="2901"/>
      <c r="R14" s="2901"/>
      <c r="S14" s="2901"/>
      <c r="T14" s="2901"/>
      <c r="U14" s="2901"/>
      <c r="V14" s="2901"/>
      <c r="W14" s="2901"/>
      <c r="X14" s="2901"/>
      <c r="Y14" s="2640" t="s">
        <v>54</v>
      </c>
      <c r="Z14" s="2640"/>
      <c r="AA14" s="2640"/>
      <c r="AB14" s="2640"/>
      <c r="AC14" s="2896"/>
      <c r="AD14" s="2896"/>
      <c r="AE14" s="2896"/>
      <c r="AF14" s="2896"/>
      <c r="AG14" s="2896"/>
      <c r="AH14" s="2896"/>
      <c r="AI14" s="2896"/>
      <c r="AJ14" s="2896"/>
      <c r="AK14" s="2896"/>
      <c r="AL14" s="2896"/>
      <c r="AM14" s="2896"/>
      <c r="AN14" s="2321" t="s">
        <v>53</v>
      </c>
      <c r="AO14" s="2321"/>
      <c r="AP14" s="2321"/>
      <c r="AQ14" s="2321"/>
      <c r="AR14" s="2898"/>
      <c r="AS14" s="2898"/>
      <c r="AT14" s="2898"/>
      <c r="AU14" s="2898"/>
      <c r="AV14" s="2898"/>
      <c r="AW14" s="2898"/>
      <c r="AX14" s="2898"/>
      <c r="AY14" s="2898"/>
      <c r="AZ14" s="2321" t="s">
        <v>52</v>
      </c>
      <c r="BA14" s="2640"/>
      <c r="BB14" s="2640"/>
      <c r="BC14" s="2640"/>
      <c r="BD14" s="2640"/>
      <c r="BE14" s="2640"/>
      <c r="BF14" s="2640"/>
      <c r="BG14" s="2640"/>
      <c r="BH14" s="2895"/>
      <c r="BI14" s="2895"/>
      <c r="BJ14" s="2895"/>
      <c r="BK14" s="2895"/>
      <c r="BL14" s="2895"/>
      <c r="BM14" s="2895"/>
      <c r="BN14" s="2895"/>
      <c r="BO14" s="2895"/>
      <c r="BP14" s="2896"/>
      <c r="BQ14" s="2896"/>
      <c r="BR14" s="2896"/>
      <c r="BS14" s="2896"/>
      <c r="BT14" s="2896"/>
      <c r="BU14" s="2896"/>
      <c r="BV14" s="2640" t="s">
        <v>53</v>
      </c>
      <c r="BW14" s="2640"/>
      <c r="BX14" s="2640"/>
      <c r="BY14" s="2640"/>
      <c r="BZ14" s="2898"/>
      <c r="CA14" s="2898"/>
      <c r="CB14" s="2898"/>
      <c r="CC14" s="2898"/>
      <c r="CD14" s="2898"/>
      <c r="CE14" s="2898"/>
      <c r="CF14" s="2898"/>
      <c r="CG14" s="2898"/>
      <c r="CH14" s="2634"/>
      <c r="CQ14" s="2873" t="str">
        <f>IF(AND(J14=DJ108,AC14=DJ109,AR14=DJ110,BH14=DJ111,BZ14=DJ112),"","Note:  Fyi - 1 or more inputs (green font) to left on this row do not match corresponding cell drop-down inputs from Pg. 1 tab sheet.")</f>
        <v/>
      </c>
      <c r="CR14" s="2873"/>
      <c r="CS14" s="2873"/>
      <c r="CT14" s="2873"/>
      <c r="CU14" s="2873"/>
      <c r="CV14" s="2873"/>
      <c r="CW14" s="2873"/>
      <c r="CX14" s="2873"/>
      <c r="CY14" s="2873"/>
      <c r="CZ14" s="2873"/>
      <c r="DA14" s="2873"/>
      <c r="DB14" s="2873"/>
      <c r="DC14" s="2873"/>
      <c r="DD14" s="2873"/>
      <c r="DE14" s="2873"/>
      <c r="DF14" s="2873"/>
      <c r="DG14" s="2873"/>
      <c r="DH14" s="2873"/>
      <c r="DI14" s="2873"/>
      <c r="DJ14" s="2873"/>
      <c r="DK14" s="2873"/>
      <c r="DL14" s="2873"/>
      <c r="DM14" s="2873"/>
      <c r="DN14" s="2873"/>
      <c r="DO14" s="2873"/>
      <c r="DP14" s="2873"/>
      <c r="DQ14" s="2873"/>
      <c r="DR14" s="2873"/>
      <c r="DS14" s="2873"/>
      <c r="DT14" s="2873"/>
      <c r="DU14" s="2873"/>
      <c r="DV14" s="2873"/>
      <c r="DW14" s="2873"/>
      <c r="DX14" s="2873"/>
      <c r="DY14" s="2873"/>
      <c r="DZ14" s="2873"/>
      <c r="EA14" s="2873"/>
      <c r="EB14" s="2873"/>
      <c r="EC14" s="2873"/>
      <c r="ED14" s="2873"/>
      <c r="EE14" s="2873"/>
      <c r="EF14" s="2873"/>
      <c r="EG14" s="2873"/>
      <c r="EH14" s="2873"/>
      <c r="EI14" s="2873"/>
      <c r="EJ14" s="2873"/>
      <c r="EK14" s="2873"/>
      <c r="EL14" s="2873"/>
      <c r="EM14" s="2873"/>
      <c r="EN14" s="2873"/>
      <c r="EO14" s="2873"/>
      <c r="EP14" s="2873"/>
      <c r="EQ14" s="2873"/>
      <c r="ER14" s="2873"/>
      <c r="ES14" s="2873"/>
      <c r="ET14" s="2873"/>
      <c r="EU14" s="2873"/>
    </row>
    <row r="15" spans="1:151" ht="9.6" customHeight="1">
      <c r="A15" s="1"/>
      <c r="B15" s="2638"/>
      <c r="C15" s="2639"/>
      <c r="D15" s="2639"/>
      <c r="E15" s="2639"/>
      <c r="F15" s="2639"/>
      <c r="G15" s="2639"/>
      <c r="H15" s="2639"/>
      <c r="I15" s="2639"/>
      <c r="J15" s="2902"/>
      <c r="K15" s="2902"/>
      <c r="L15" s="2902"/>
      <c r="M15" s="2902"/>
      <c r="N15" s="2902"/>
      <c r="O15" s="2902"/>
      <c r="P15" s="2902"/>
      <c r="Q15" s="2902"/>
      <c r="R15" s="2902"/>
      <c r="S15" s="2902"/>
      <c r="T15" s="2902"/>
      <c r="U15" s="2902"/>
      <c r="V15" s="2902"/>
      <c r="W15" s="2902"/>
      <c r="X15" s="2902"/>
      <c r="Y15" s="2321"/>
      <c r="Z15" s="2321"/>
      <c r="AA15" s="2321"/>
      <c r="AB15" s="2321"/>
      <c r="AC15" s="2896"/>
      <c r="AD15" s="2896"/>
      <c r="AE15" s="2896"/>
      <c r="AF15" s="2896"/>
      <c r="AG15" s="2896"/>
      <c r="AH15" s="2896"/>
      <c r="AI15" s="2896"/>
      <c r="AJ15" s="2896"/>
      <c r="AK15" s="2896"/>
      <c r="AL15" s="2896"/>
      <c r="AM15" s="2896"/>
      <c r="AN15" s="2321"/>
      <c r="AO15" s="2321"/>
      <c r="AP15" s="2321"/>
      <c r="AQ15" s="2321"/>
      <c r="AR15" s="2898"/>
      <c r="AS15" s="2898"/>
      <c r="AT15" s="2898"/>
      <c r="AU15" s="2898"/>
      <c r="AV15" s="2898"/>
      <c r="AW15" s="2898"/>
      <c r="AX15" s="2898"/>
      <c r="AY15" s="2898"/>
      <c r="AZ15" s="2321"/>
      <c r="BA15" s="2321"/>
      <c r="BB15" s="2321"/>
      <c r="BC15" s="2321"/>
      <c r="BD15" s="2321"/>
      <c r="BE15" s="2321"/>
      <c r="BF15" s="2321"/>
      <c r="BG15" s="2321"/>
      <c r="BH15" s="2896"/>
      <c r="BI15" s="2896"/>
      <c r="BJ15" s="2896"/>
      <c r="BK15" s="2896"/>
      <c r="BL15" s="2896"/>
      <c r="BM15" s="2896"/>
      <c r="BN15" s="2896"/>
      <c r="BO15" s="2896"/>
      <c r="BP15" s="2896"/>
      <c r="BQ15" s="2896"/>
      <c r="BR15" s="2896"/>
      <c r="BS15" s="2896"/>
      <c r="BT15" s="2896"/>
      <c r="BU15" s="2896"/>
      <c r="BV15" s="2321"/>
      <c r="BW15" s="2321"/>
      <c r="BX15" s="2321"/>
      <c r="BY15" s="2321"/>
      <c r="BZ15" s="2898"/>
      <c r="CA15" s="2898"/>
      <c r="CB15" s="2898"/>
      <c r="CC15" s="2898"/>
      <c r="CD15" s="2898"/>
      <c r="CE15" s="2898"/>
      <c r="CF15" s="2898"/>
      <c r="CG15" s="2898"/>
      <c r="CH15" s="2634"/>
      <c r="CQ15" s="2873"/>
      <c r="CR15" s="2873"/>
      <c r="CS15" s="2873"/>
      <c r="CT15" s="2873"/>
      <c r="CU15" s="2873"/>
      <c r="CV15" s="2873"/>
      <c r="CW15" s="2873"/>
      <c r="CX15" s="2873"/>
      <c r="CY15" s="2873"/>
      <c r="CZ15" s="2873"/>
      <c r="DA15" s="2873"/>
      <c r="DB15" s="2873"/>
      <c r="DC15" s="2873"/>
      <c r="DD15" s="2873"/>
      <c r="DE15" s="2873"/>
      <c r="DF15" s="2873"/>
      <c r="DG15" s="2873"/>
      <c r="DH15" s="2873"/>
      <c r="DI15" s="2873"/>
      <c r="DJ15" s="2873"/>
      <c r="DK15" s="2873"/>
      <c r="DL15" s="2873"/>
      <c r="DM15" s="2873"/>
      <c r="DN15" s="2873"/>
      <c r="DO15" s="2873"/>
      <c r="DP15" s="2873"/>
      <c r="DQ15" s="2873"/>
      <c r="DR15" s="2873"/>
      <c r="DS15" s="2873"/>
      <c r="DT15" s="2873"/>
      <c r="DU15" s="2873"/>
      <c r="DV15" s="2873"/>
      <c r="DW15" s="2873"/>
      <c r="DX15" s="2873"/>
      <c r="DY15" s="2873"/>
      <c r="DZ15" s="2873"/>
      <c r="EA15" s="2873"/>
      <c r="EB15" s="2873"/>
      <c r="EC15" s="2873"/>
      <c r="ED15" s="2873"/>
      <c r="EE15" s="2873"/>
      <c r="EF15" s="2873"/>
      <c r="EG15" s="2873"/>
      <c r="EH15" s="2873"/>
      <c r="EI15" s="2873"/>
      <c r="EJ15" s="2873"/>
      <c r="EK15" s="2873"/>
      <c r="EL15" s="2873"/>
      <c r="EM15" s="2873"/>
      <c r="EN15" s="2873"/>
      <c r="EO15" s="2873"/>
      <c r="EP15" s="2873"/>
      <c r="EQ15" s="2873"/>
      <c r="ER15" s="2873"/>
      <c r="ES15" s="2873"/>
      <c r="ET15" s="2873"/>
      <c r="EU15" s="2873"/>
    </row>
    <row r="16" spans="1:151" ht="9.6" customHeight="1">
      <c r="A16" s="1"/>
      <c r="B16" s="2638"/>
      <c r="C16" s="2639"/>
      <c r="D16" s="2639"/>
      <c r="E16" s="2639"/>
      <c r="F16" s="2639"/>
      <c r="G16" s="2639"/>
      <c r="H16" s="2639"/>
      <c r="I16" s="2639"/>
      <c r="J16" s="2903"/>
      <c r="K16" s="2903"/>
      <c r="L16" s="2903"/>
      <c r="M16" s="2903"/>
      <c r="N16" s="2903"/>
      <c r="O16" s="2903"/>
      <c r="P16" s="2903"/>
      <c r="Q16" s="2903"/>
      <c r="R16" s="2903"/>
      <c r="S16" s="2903"/>
      <c r="T16" s="2903"/>
      <c r="U16" s="2903"/>
      <c r="V16" s="2903"/>
      <c r="W16" s="2903"/>
      <c r="X16" s="2903"/>
      <c r="Y16" s="2321"/>
      <c r="Z16" s="2321"/>
      <c r="AA16" s="2321"/>
      <c r="AB16" s="2321"/>
      <c r="AC16" s="2897"/>
      <c r="AD16" s="2897"/>
      <c r="AE16" s="2897"/>
      <c r="AF16" s="2897"/>
      <c r="AG16" s="2897"/>
      <c r="AH16" s="2897"/>
      <c r="AI16" s="2897"/>
      <c r="AJ16" s="2897"/>
      <c r="AK16" s="2897"/>
      <c r="AL16" s="2897"/>
      <c r="AM16" s="2897"/>
      <c r="AN16" s="2321"/>
      <c r="AO16" s="2321"/>
      <c r="AP16" s="2321"/>
      <c r="AQ16" s="2321"/>
      <c r="AR16" s="2899"/>
      <c r="AS16" s="2899"/>
      <c r="AT16" s="2899"/>
      <c r="AU16" s="2899"/>
      <c r="AV16" s="2899"/>
      <c r="AW16" s="2899"/>
      <c r="AX16" s="2899"/>
      <c r="AY16" s="2899"/>
      <c r="AZ16" s="2321"/>
      <c r="BA16" s="2321"/>
      <c r="BB16" s="2321"/>
      <c r="BC16" s="2321"/>
      <c r="BD16" s="2321"/>
      <c r="BE16" s="2321"/>
      <c r="BF16" s="2321"/>
      <c r="BG16" s="2321"/>
      <c r="BH16" s="2897"/>
      <c r="BI16" s="2897"/>
      <c r="BJ16" s="2897"/>
      <c r="BK16" s="2897"/>
      <c r="BL16" s="2897"/>
      <c r="BM16" s="2897"/>
      <c r="BN16" s="2897"/>
      <c r="BO16" s="2897"/>
      <c r="BP16" s="2897"/>
      <c r="BQ16" s="2897"/>
      <c r="BR16" s="2897"/>
      <c r="BS16" s="2897"/>
      <c r="BT16" s="2897"/>
      <c r="BU16" s="2897"/>
      <c r="BV16" s="2321"/>
      <c r="BW16" s="2321"/>
      <c r="BX16" s="2321"/>
      <c r="BY16" s="2321"/>
      <c r="BZ16" s="2899"/>
      <c r="CA16" s="2899"/>
      <c r="CB16" s="2899"/>
      <c r="CC16" s="2899"/>
      <c r="CD16" s="2899"/>
      <c r="CE16" s="2899"/>
      <c r="CF16" s="2899"/>
      <c r="CG16" s="2899"/>
      <c r="CH16" s="2634"/>
      <c r="CQ16" s="2873"/>
      <c r="CR16" s="2873"/>
      <c r="CS16" s="2873"/>
      <c r="CT16" s="2873"/>
      <c r="CU16" s="2873"/>
      <c r="CV16" s="2873"/>
      <c r="CW16" s="2873"/>
      <c r="CX16" s="2873"/>
      <c r="CY16" s="2873"/>
      <c r="CZ16" s="2873"/>
      <c r="DA16" s="2873"/>
      <c r="DB16" s="2873"/>
      <c r="DC16" s="2873"/>
      <c r="DD16" s="2873"/>
      <c r="DE16" s="2873"/>
      <c r="DF16" s="2873"/>
      <c r="DG16" s="2873"/>
      <c r="DH16" s="2873"/>
      <c r="DI16" s="2873"/>
      <c r="DJ16" s="2873"/>
      <c r="DK16" s="2873"/>
      <c r="DL16" s="2873"/>
      <c r="DM16" s="2873"/>
      <c r="DN16" s="2873"/>
      <c r="DO16" s="2873"/>
      <c r="DP16" s="2873"/>
      <c r="DQ16" s="2873"/>
      <c r="DR16" s="2873"/>
      <c r="DS16" s="2873"/>
      <c r="DT16" s="2873"/>
      <c r="DU16" s="2873"/>
      <c r="DV16" s="2873"/>
      <c r="DW16" s="2873"/>
      <c r="DX16" s="2873"/>
      <c r="DY16" s="2873"/>
      <c r="DZ16" s="2873"/>
      <c r="EA16" s="2873"/>
      <c r="EB16" s="2873"/>
      <c r="EC16" s="2873"/>
      <c r="ED16" s="2873"/>
      <c r="EE16" s="2873"/>
      <c r="EF16" s="2873"/>
      <c r="EG16" s="2873"/>
      <c r="EH16" s="2873"/>
      <c r="EI16" s="2873"/>
      <c r="EJ16" s="2873"/>
      <c r="EK16" s="2873"/>
      <c r="EL16" s="2873"/>
      <c r="EM16" s="2873"/>
      <c r="EN16" s="2873"/>
      <c r="EO16" s="2873"/>
      <c r="EP16" s="2873"/>
      <c r="EQ16" s="2873"/>
      <c r="ER16" s="2873"/>
      <c r="ES16" s="2873"/>
      <c r="ET16" s="2873"/>
      <c r="EU16" s="2873"/>
    </row>
    <row r="17" spans="1:152" ht="9.6" customHeight="1">
      <c r="A17" s="1"/>
      <c r="B17" s="2638" t="s">
        <v>47</v>
      </c>
      <c r="C17" s="2639"/>
      <c r="D17" s="2639"/>
      <c r="E17" s="2639"/>
      <c r="F17" s="2639"/>
      <c r="G17" s="2639"/>
      <c r="H17" s="2639"/>
      <c r="I17" s="2639"/>
      <c r="J17" s="2891" t="str">
        <f>IF('Concr. Pg 1'!J17="","",'Concr. Pg 1'!J17)</f>
        <v/>
      </c>
      <c r="K17" s="2891"/>
      <c r="L17" s="2891"/>
      <c r="M17" s="2891"/>
      <c r="N17" s="2891"/>
      <c r="O17" s="2891"/>
      <c r="P17" s="2891"/>
      <c r="Q17" s="2891"/>
      <c r="R17" s="2891"/>
      <c r="S17" s="2891"/>
      <c r="T17" s="2891"/>
      <c r="U17" s="2891"/>
      <c r="V17" s="2891"/>
      <c r="W17" s="2891"/>
      <c r="X17" s="2891"/>
      <c r="Y17" s="2891"/>
      <c r="Z17" s="2891"/>
      <c r="AA17" s="2891"/>
      <c r="AB17" s="2891"/>
      <c r="AC17" s="2891"/>
      <c r="AD17" s="2909" t="s">
        <v>3</v>
      </c>
      <c r="AE17" s="2909"/>
      <c r="AF17" s="2909"/>
      <c r="AG17" s="2909"/>
      <c r="AH17" s="2641"/>
      <c r="AI17" s="2641"/>
      <c r="AJ17" s="2641"/>
      <c r="AK17" s="2641"/>
      <c r="AL17" s="2641"/>
      <c r="AM17" s="2641"/>
      <c r="AN17" s="2641"/>
      <c r="AO17" s="2641"/>
      <c r="AP17" s="2641"/>
      <c r="AQ17" s="2641"/>
      <c r="AR17" s="2641"/>
      <c r="AS17" s="2641"/>
      <c r="AT17" s="2641"/>
      <c r="AU17" s="2641"/>
      <c r="AV17" s="2641"/>
      <c r="AW17" s="2641"/>
      <c r="AX17" s="2641"/>
      <c r="AY17" s="2641"/>
      <c r="AZ17" s="2641"/>
      <c r="BA17" s="2641"/>
      <c r="BB17" s="2641"/>
      <c r="BC17" s="2641"/>
      <c r="BD17" s="2641"/>
      <c r="BE17" s="2641"/>
      <c r="BF17" s="2641"/>
      <c r="BG17" s="2641"/>
      <c r="BH17" s="2641"/>
      <c r="BI17" s="2641"/>
      <c r="BJ17" s="2641"/>
      <c r="BK17" s="2641"/>
      <c r="BL17" s="2641"/>
      <c r="BM17" s="2641"/>
      <c r="BN17" s="2641"/>
      <c r="BO17" s="2641"/>
      <c r="BP17" s="2641"/>
      <c r="BQ17" s="2641"/>
      <c r="BR17" s="2641"/>
      <c r="BS17" s="2641"/>
      <c r="BT17" s="2641"/>
      <c r="BU17" s="2641"/>
      <c r="BV17" s="2641"/>
      <c r="BW17" s="2641"/>
      <c r="BX17" s="2641"/>
      <c r="BY17" s="2641"/>
      <c r="BZ17" s="2641"/>
      <c r="CA17" s="2641"/>
      <c r="CB17" s="2641"/>
      <c r="CC17" s="2641"/>
      <c r="CD17" s="2641"/>
      <c r="CE17" s="2641"/>
      <c r="CF17" s="2641"/>
      <c r="CG17" s="2641"/>
      <c r="CH17" s="2646"/>
    </row>
    <row r="18" spans="1:152" ht="9.6" customHeight="1">
      <c r="A18" s="1"/>
      <c r="B18" s="2638"/>
      <c r="C18" s="2639"/>
      <c r="D18" s="2639"/>
      <c r="E18" s="2639"/>
      <c r="F18" s="2639"/>
      <c r="G18" s="2639"/>
      <c r="H18" s="2639"/>
      <c r="I18" s="2639"/>
      <c r="J18" s="2891"/>
      <c r="K18" s="2891"/>
      <c r="L18" s="2891"/>
      <c r="M18" s="2891"/>
      <c r="N18" s="2891"/>
      <c r="O18" s="2891"/>
      <c r="P18" s="2891"/>
      <c r="Q18" s="2891"/>
      <c r="R18" s="2891"/>
      <c r="S18" s="2891"/>
      <c r="T18" s="2891"/>
      <c r="U18" s="2891"/>
      <c r="V18" s="2891"/>
      <c r="W18" s="2891"/>
      <c r="X18" s="2891"/>
      <c r="Y18" s="2891"/>
      <c r="Z18" s="2891"/>
      <c r="AA18" s="2891"/>
      <c r="AB18" s="2891"/>
      <c r="AC18" s="2891"/>
      <c r="AD18" s="2909"/>
      <c r="AE18" s="2909"/>
      <c r="AF18" s="2909"/>
      <c r="AG18" s="2909"/>
      <c r="AH18" s="2641"/>
      <c r="AI18" s="2641"/>
      <c r="AJ18" s="2641"/>
      <c r="AK18" s="2641"/>
      <c r="AL18" s="2641"/>
      <c r="AM18" s="2641"/>
      <c r="AN18" s="2641"/>
      <c r="AO18" s="2641"/>
      <c r="AP18" s="2641"/>
      <c r="AQ18" s="2641"/>
      <c r="AR18" s="2641"/>
      <c r="AS18" s="2641"/>
      <c r="AT18" s="2641"/>
      <c r="AU18" s="2641"/>
      <c r="AV18" s="2641"/>
      <c r="AW18" s="2641"/>
      <c r="AX18" s="2641"/>
      <c r="AY18" s="2641"/>
      <c r="AZ18" s="2641"/>
      <c r="BA18" s="2641"/>
      <c r="BB18" s="2641"/>
      <c r="BC18" s="2641"/>
      <c r="BD18" s="2641"/>
      <c r="BE18" s="2641"/>
      <c r="BF18" s="2641"/>
      <c r="BG18" s="2641"/>
      <c r="BH18" s="2641"/>
      <c r="BI18" s="2641"/>
      <c r="BJ18" s="2641"/>
      <c r="BK18" s="2641"/>
      <c r="BL18" s="2641"/>
      <c r="BM18" s="2641"/>
      <c r="BN18" s="2641"/>
      <c r="BO18" s="2641"/>
      <c r="BP18" s="2641"/>
      <c r="BQ18" s="2641"/>
      <c r="BR18" s="2641"/>
      <c r="BS18" s="2641"/>
      <c r="BT18" s="2641"/>
      <c r="BU18" s="2641"/>
      <c r="BV18" s="2641"/>
      <c r="BW18" s="2641"/>
      <c r="BX18" s="2641"/>
      <c r="BY18" s="2641"/>
      <c r="BZ18" s="2641"/>
      <c r="CA18" s="2641"/>
      <c r="CB18" s="2641"/>
      <c r="CC18" s="2641"/>
      <c r="CD18" s="2641"/>
      <c r="CE18" s="2641"/>
      <c r="CF18" s="2641"/>
      <c r="CG18" s="2641"/>
      <c r="CH18" s="2646"/>
      <c r="CL18" s="2"/>
      <c r="CM18" s="2"/>
      <c r="CN18" s="2"/>
      <c r="CO18" s="2"/>
      <c r="CS18" s="2679" t="s">
        <v>333</v>
      </c>
      <c r="CT18" s="2679"/>
      <c r="CU18" s="2679"/>
      <c r="CV18" s="2679"/>
      <c r="CW18" s="2679"/>
      <c r="CX18" s="2679"/>
      <c r="CY18" s="2679"/>
      <c r="CZ18" s="2679"/>
      <c r="DA18" s="2679"/>
      <c r="DB18" s="2679"/>
      <c r="DC18" s="2679"/>
      <c r="DD18" s="2679"/>
      <c r="DE18" s="2679"/>
      <c r="DF18" s="2679"/>
      <c r="DG18" s="2679"/>
      <c r="DH18" s="2679"/>
      <c r="DI18" s="2679"/>
      <c r="DJ18" s="2679"/>
      <c r="DK18" s="2679"/>
      <c r="DL18" s="2679"/>
      <c r="DM18" s="2679"/>
    </row>
    <row r="19" spans="1:152" ht="9.6" customHeight="1">
      <c r="A19" s="1"/>
      <c r="B19" s="2638"/>
      <c r="C19" s="2639"/>
      <c r="D19" s="2639"/>
      <c r="E19" s="2639"/>
      <c r="F19" s="2639"/>
      <c r="G19" s="2639"/>
      <c r="H19" s="2639"/>
      <c r="I19" s="2639"/>
      <c r="J19" s="2892"/>
      <c r="K19" s="2892"/>
      <c r="L19" s="2892"/>
      <c r="M19" s="2892"/>
      <c r="N19" s="2892"/>
      <c r="O19" s="2892"/>
      <c r="P19" s="2892"/>
      <c r="Q19" s="2892"/>
      <c r="R19" s="2892"/>
      <c r="S19" s="2892"/>
      <c r="T19" s="2892"/>
      <c r="U19" s="2892"/>
      <c r="V19" s="2892"/>
      <c r="W19" s="2892"/>
      <c r="X19" s="2892"/>
      <c r="Y19" s="2892"/>
      <c r="Z19" s="2892"/>
      <c r="AA19" s="2892"/>
      <c r="AB19" s="2892"/>
      <c r="AC19" s="2892"/>
      <c r="AD19" s="2909"/>
      <c r="AE19" s="2909"/>
      <c r="AF19" s="2909"/>
      <c r="AG19" s="2909"/>
      <c r="AH19" s="2642"/>
      <c r="AI19" s="2642"/>
      <c r="AJ19" s="2642"/>
      <c r="AK19" s="2642"/>
      <c r="AL19" s="2642"/>
      <c r="AM19" s="2642"/>
      <c r="AN19" s="2642"/>
      <c r="AO19" s="2642"/>
      <c r="AP19" s="2642"/>
      <c r="AQ19" s="2642"/>
      <c r="AR19" s="2642"/>
      <c r="AS19" s="2642"/>
      <c r="AT19" s="2642"/>
      <c r="AU19" s="2642"/>
      <c r="AV19" s="2642"/>
      <c r="AW19" s="2642"/>
      <c r="AX19" s="2642"/>
      <c r="AY19" s="2642"/>
      <c r="AZ19" s="2642"/>
      <c r="BA19" s="2642"/>
      <c r="BB19" s="2642"/>
      <c r="BC19" s="2642"/>
      <c r="BD19" s="2642"/>
      <c r="BE19" s="2642"/>
      <c r="BF19" s="2642"/>
      <c r="BG19" s="2642"/>
      <c r="BH19" s="2642"/>
      <c r="BI19" s="2642"/>
      <c r="BJ19" s="2642"/>
      <c r="BK19" s="2642"/>
      <c r="BL19" s="2642"/>
      <c r="BM19" s="2642"/>
      <c r="BN19" s="2642"/>
      <c r="BO19" s="2642"/>
      <c r="BP19" s="2642"/>
      <c r="BQ19" s="2642"/>
      <c r="BR19" s="2642"/>
      <c r="BS19" s="2642"/>
      <c r="BT19" s="2642"/>
      <c r="BU19" s="2642"/>
      <c r="BV19" s="2642"/>
      <c r="BW19" s="2642"/>
      <c r="BX19" s="2642"/>
      <c r="BY19" s="2642"/>
      <c r="BZ19" s="2642"/>
      <c r="CA19" s="2642"/>
      <c r="CB19" s="2642"/>
      <c r="CC19" s="2642"/>
      <c r="CD19" s="2642"/>
      <c r="CE19" s="2642"/>
      <c r="CF19" s="2642"/>
      <c r="CG19" s="2642"/>
      <c r="CH19" s="2646"/>
      <c r="CQ19" s="2726"/>
      <c r="CR19" s="2727"/>
      <c r="CS19" s="2679"/>
      <c r="CT19" s="2679"/>
      <c r="CU19" s="2679"/>
      <c r="CV19" s="2679"/>
      <c r="CW19" s="2679"/>
      <c r="CX19" s="2679"/>
      <c r="CY19" s="2679"/>
      <c r="CZ19" s="2679"/>
      <c r="DA19" s="2679"/>
      <c r="DB19" s="2679"/>
      <c r="DC19" s="2679"/>
      <c r="DD19" s="2679"/>
      <c r="DE19" s="2679"/>
      <c r="DF19" s="2679"/>
      <c r="DG19" s="2679"/>
      <c r="DH19" s="2679"/>
      <c r="DI19" s="2679"/>
      <c r="DJ19" s="2679"/>
      <c r="DK19" s="2679"/>
      <c r="DL19" s="2679"/>
      <c r="DM19" s="2679"/>
    </row>
    <row r="20" spans="1:152" ht="9.6" customHeight="1" thickBot="1">
      <c r="A20" s="1"/>
      <c r="B20" s="2650"/>
      <c r="C20" s="2651"/>
      <c r="D20" s="2651"/>
      <c r="E20" s="2651"/>
      <c r="F20" s="2651"/>
      <c r="G20" s="2651"/>
      <c r="H20" s="2651"/>
      <c r="I20" s="2651"/>
      <c r="J20" s="2651"/>
      <c r="K20" s="2651"/>
      <c r="L20" s="2651"/>
      <c r="M20" s="2651"/>
      <c r="N20" s="2651"/>
      <c r="O20" s="2651"/>
      <c r="P20" s="2651"/>
      <c r="Q20" s="2651"/>
      <c r="R20" s="2651"/>
      <c r="S20" s="2651"/>
      <c r="T20" s="2651"/>
      <c r="U20" s="2651"/>
      <c r="V20" s="2651"/>
      <c r="W20" s="2651"/>
      <c r="X20" s="2651"/>
      <c r="Y20" s="2651"/>
      <c r="Z20" s="2651"/>
      <c r="AA20" s="2651"/>
      <c r="AB20" s="2651"/>
      <c r="AC20" s="2651"/>
      <c r="AD20" s="2651"/>
      <c r="AE20" s="2651"/>
      <c r="AF20" s="2651"/>
      <c r="AG20" s="2651"/>
      <c r="AH20" s="2651"/>
      <c r="AI20" s="2651"/>
      <c r="AJ20" s="2651"/>
      <c r="AK20" s="2651"/>
      <c r="AL20" s="2651"/>
      <c r="AM20" s="2651"/>
      <c r="AN20" s="2651"/>
      <c r="AO20" s="2651"/>
      <c r="AP20" s="2651"/>
      <c r="AQ20" s="2651"/>
      <c r="AR20" s="2651"/>
      <c r="AS20" s="2651"/>
      <c r="AT20" s="2651"/>
      <c r="AU20" s="2651"/>
      <c r="AV20" s="2651"/>
      <c r="AW20" s="2651"/>
      <c r="AX20" s="2651"/>
      <c r="AY20" s="2651"/>
      <c r="AZ20" s="2651"/>
      <c r="BA20" s="2651"/>
      <c r="BB20" s="2651"/>
      <c r="BC20" s="2651"/>
      <c r="BD20" s="2651"/>
      <c r="BE20" s="2651"/>
      <c r="BF20" s="2651"/>
      <c r="BG20" s="2651"/>
      <c r="BH20" s="2651"/>
      <c r="BI20" s="2651"/>
      <c r="BJ20" s="2651"/>
      <c r="BK20" s="2651"/>
      <c r="BL20" s="2651"/>
      <c r="BM20" s="2651"/>
      <c r="BN20" s="2651"/>
      <c r="BO20" s="2651"/>
      <c r="BP20" s="2651"/>
      <c r="BQ20" s="2651"/>
      <c r="BR20" s="2651"/>
      <c r="BS20" s="2651"/>
      <c r="BT20" s="2651"/>
      <c r="BU20" s="2651"/>
      <c r="BV20" s="2651"/>
      <c r="BW20" s="2651"/>
      <c r="BX20" s="2651"/>
      <c r="BY20" s="2651"/>
      <c r="BZ20" s="2651"/>
      <c r="CA20" s="2651"/>
      <c r="CB20" s="2651"/>
      <c r="CC20" s="2651"/>
      <c r="CD20" s="2651"/>
      <c r="CE20" s="2651"/>
      <c r="CF20" s="2651"/>
      <c r="CG20" s="2651"/>
      <c r="CH20" s="2652"/>
      <c r="CQ20" s="2728"/>
      <c r="CR20" s="2729"/>
      <c r="CS20" s="2679"/>
      <c r="CT20" s="2679"/>
      <c r="CU20" s="2679"/>
      <c r="CV20" s="2679"/>
      <c r="CW20" s="2679"/>
      <c r="CX20" s="2679"/>
      <c r="CY20" s="2679"/>
      <c r="CZ20" s="2679"/>
      <c r="DA20" s="2679"/>
      <c r="DB20" s="2679"/>
      <c r="DC20" s="2679"/>
      <c r="DD20" s="2679"/>
      <c r="DE20" s="2679"/>
      <c r="DF20" s="2679"/>
      <c r="DG20" s="2679"/>
      <c r="DH20" s="2679"/>
      <c r="DI20" s="2679"/>
      <c r="DJ20" s="2679"/>
      <c r="DK20" s="2679"/>
      <c r="DL20" s="2679"/>
      <c r="DM20" s="2679"/>
    </row>
    <row r="21" spans="1:152" ht="9.6" customHeight="1">
      <c r="A21" s="1"/>
      <c r="B21" s="2643"/>
      <c r="C21" s="2644"/>
      <c r="D21" s="2644"/>
      <c r="E21" s="2644"/>
      <c r="F21" s="2644"/>
      <c r="G21" s="2644"/>
      <c r="H21" s="2644"/>
      <c r="I21" s="2644"/>
      <c r="J21" s="2644"/>
      <c r="K21" s="2644"/>
      <c r="L21" s="2644"/>
      <c r="M21" s="2644"/>
      <c r="N21" s="2644"/>
      <c r="O21" s="2644"/>
      <c r="P21" s="2644"/>
      <c r="Q21" s="2644"/>
      <c r="R21" s="2644"/>
      <c r="S21" s="2644"/>
      <c r="T21" s="2644"/>
      <c r="U21" s="2644"/>
      <c r="V21" s="2644"/>
      <c r="W21" s="2644"/>
      <c r="X21" s="2644"/>
      <c r="Y21" s="2644"/>
      <c r="Z21" s="2644"/>
      <c r="AA21" s="2644"/>
      <c r="AB21" s="2644"/>
      <c r="AC21" s="2644"/>
      <c r="AD21" s="2644"/>
      <c r="AE21" s="2644"/>
      <c r="AF21" s="2644"/>
      <c r="AG21" s="2644"/>
      <c r="AH21" s="2644"/>
      <c r="AI21" s="2644"/>
      <c r="AJ21" s="2644"/>
      <c r="AK21" s="2644"/>
      <c r="AL21" s="2644"/>
      <c r="AM21" s="2644"/>
      <c r="AN21" s="2644"/>
      <c r="AO21" s="2644"/>
      <c r="AP21" s="2644"/>
      <c r="AQ21" s="2644"/>
      <c r="AR21" s="2644"/>
      <c r="AS21" s="2644"/>
      <c r="AT21" s="2644"/>
      <c r="AU21" s="2644"/>
      <c r="AV21" s="2644"/>
      <c r="AW21" s="2644"/>
      <c r="AX21" s="2644"/>
      <c r="AY21" s="2644"/>
      <c r="AZ21" s="2644"/>
      <c r="BA21" s="2644"/>
      <c r="BB21" s="2644"/>
      <c r="BC21" s="2644"/>
      <c r="BD21" s="2644"/>
      <c r="BE21" s="2644"/>
      <c r="BF21" s="2644"/>
      <c r="BG21" s="2644"/>
      <c r="BH21" s="2644"/>
      <c r="BI21" s="2644"/>
      <c r="BJ21" s="2644"/>
      <c r="BK21" s="2644"/>
      <c r="BL21" s="2644"/>
      <c r="BM21" s="2644"/>
      <c r="BN21" s="2644"/>
      <c r="BO21" s="2644"/>
      <c r="BP21" s="2644"/>
      <c r="BQ21" s="2644"/>
      <c r="BR21" s="2644"/>
      <c r="BS21" s="2644"/>
      <c r="BT21" s="2644"/>
      <c r="BU21" s="2644"/>
      <c r="BV21" s="2644"/>
      <c r="BW21" s="2644"/>
      <c r="BX21" s="2644"/>
      <c r="BY21" s="2644"/>
      <c r="BZ21" s="2644"/>
      <c r="CA21" s="2644"/>
      <c r="CB21" s="2644"/>
      <c r="CC21" s="2644"/>
      <c r="CD21" s="2644"/>
      <c r="CE21" s="2644"/>
      <c r="CF21" s="2644"/>
      <c r="CG21" s="2644"/>
      <c r="CH21" s="2645"/>
      <c r="CQ21" s="2728"/>
      <c r="CR21" s="2729"/>
      <c r="CS21" s="2679"/>
      <c r="CT21" s="2679"/>
      <c r="CU21" s="2679"/>
      <c r="CV21" s="2679"/>
      <c r="CW21" s="2679"/>
      <c r="CX21" s="2679"/>
      <c r="CY21" s="2679"/>
      <c r="CZ21" s="2679"/>
      <c r="DA21" s="2679"/>
      <c r="DB21" s="2679"/>
      <c r="DC21" s="2679"/>
      <c r="DD21" s="2679"/>
      <c r="DE21" s="2679"/>
      <c r="DF21" s="2679"/>
      <c r="DG21" s="2679"/>
      <c r="DH21" s="2679"/>
      <c r="DI21" s="2679"/>
      <c r="DJ21" s="2679"/>
      <c r="DK21" s="2679"/>
      <c r="DL21" s="2679"/>
      <c r="DM21" s="2679"/>
    </row>
    <row r="22" spans="1:152" ht="9.6" customHeight="1">
      <c r="A22" s="1"/>
      <c r="B22" s="2906"/>
      <c r="C22" s="2905" t="s">
        <v>29</v>
      </c>
      <c r="D22" s="2905"/>
      <c r="E22" s="2905"/>
      <c r="F22" s="2293" t="s">
        <v>27</v>
      </c>
      <c r="G22" s="2293"/>
      <c r="H22" s="2293"/>
      <c r="I22" s="2293"/>
      <c r="J22" s="2293"/>
      <c r="K22" s="2293"/>
      <c r="L22" s="2293"/>
      <c r="M22" s="2293"/>
      <c r="N22" s="2887" t="str">
        <f>IF('Concr. Pg 1'!L28="","",'Concr. Pg 1'!L28)</f>
        <v/>
      </c>
      <c r="O22" s="2887"/>
      <c r="P22" s="2887"/>
      <c r="Q22" s="2887"/>
      <c r="R22" s="2887"/>
      <c r="S22" s="2910" t="s">
        <v>56</v>
      </c>
      <c r="T22" s="2910"/>
      <c r="U22" s="2910"/>
      <c r="V22" s="2910"/>
      <c r="W22" s="2907" t="s">
        <v>3</v>
      </c>
      <c r="X22" s="2907"/>
      <c r="Y22" s="2907"/>
      <c r="Z22" s="2907"/>
      <c r="AA22" s="2641"/>
      <c r="AB22" s="2641"/>
      <c r="AC22" s="2641"/>
      <c r="AD22" s="2641"/>
      <c r="AE22" s="2641"/>
      <c r="AF22" s="2641"/>
      <c r="AG22" s="2641"/>
      <c r="AH22" s="2641"/>
      <c r="AI22" s="2641"/>
      <c r="AJ22" s="2641"/>
      <c r="AK22" s="2641"/>
      <c r="AL22" s="2641"/>
      <c r="AM22" s="2641"/>
      <c r="AN22" s="2641"/>
      <c r="AO22" s="2641"/>
      <c r="AP22" s="2641"/>
      <c r="AQ22" s="2641"/>
      <c r="AR22" s="2641"/>
      <c r="AS22" s="2641"/>
      <c r="AT22" s="2641"/>
      <c r="AU22" s="2641"/>
      <c r="AV22" s="2641"/>
      <c r="AW22" s="2641"/>
      <c r="AX22" s="2641"/>
      <c r="AY22" s="2641"/>
      <c r="AZ22" s="2641"/>
      <c r="BA22" s="2641"/>
      <c r="BB22" s="2641"/>
      <c r="BC22" s="2641"/>
      <c r="BD22" s="2641"/>
      <c r="BE22" s="2641"/>
      <c r="BF22" s="2641"/>
      <c r="BG22" s="2641"/>
      <c r="BH22" s="2641"/>
      <c r="BI22" s="2641"/>
      <c r="BJ22" s="2641"/>
      <c r="BK22" s="2641"/>
      <c r="BL22" s="2641"/>
      <c r="BM22" s="2641"/>
      <c r="BN22" s="2641"/>
      <c r="BO22" s="2641"/>
      <c r="BP22" s="2641"/>
      <c r="BQ22" s="2641"/>
      <c r="BR22" s="2641"/>
      <c r="BS22" s="2641"/>
      <c r="BT22" s="2641"/>
      <c r="BU22" s="2641"/>
      <c r="BV22" s="2641"/>
      <c r="BW22" s="2641"/>
      <c r="BX22" s="2641"/>
      <c r="BY22" s="2641"/>
      <c r="BZ22" s="2641"/>
      <c r="CA22" s="2641"/>
      <c r="CB22" s="2641"/>
      <c r="CC22" s="2641"/>
      <c r="CD22" s="2641"/>
      <c r="CE22" s="2641"/>
      <c r="CF22" s="2641"/>
      <c r="CG22" s="2641"/>
      <c r="CH22" s="2322"/>
      <c r="CQ22" s="2730"/>
      <c r="CR22" s="2731"/>
      <c r="CS22" s="2679"/>
      <c r="CT22" s="2679"/>
      <c r="CU22" s="2679"/>
      <c r="CV22" s="2679"/>
      <c r="CW22" s="2679"/>
      <c r="CX22" s="2679"/>
      <c r="CY22" s="2679"/>
      <c r="CZ22" s="2679"/>
      <c r="DA22" s="2679"/>
      <c r="DB22" s="2679"/>
      <c r="DC22" s="2679"/>
      <c r="DD22" s="2679"/>
      <c r="DE22" s="2679"/>
      <c r="DF22" s="2679"/>
      <c r="DG22" s="2679"/>
      <c r="DH22" s="2679"/>
      <c r="DI22" s="2679"/>
      <c r="DJ22" s="2679"/>
      <c r="DK22" s="2679"/>
      <c r="DL22" s="2679"/>
      <c r="DM22" s="2679"/>
    </row>
    <row r="23" spans="1:152" ht="9.6" customHeight="1">
      <c r="A23" s="1"/>
      <c r="B23" s="2906"/>
      <c r="C23" s="2905"/>
      <c r="D23" s="2905"/>
      <c r="E23" s="2905"/>
      <c r="F23" s="2293"/>
      <c r="G23" s="2293"/>
      <c r="H23" s="2293"/>
      <c r="I23" s="2293"/>
      <c r="J23" s="2293"/>
      <c r="K23" s="2293"/>
      <c r="L23" s="2293"/>
      <c r="M23" s="2293"/>
      <c r="N23" s="2888"/>
      <c r="O23" s="2888"/>
      <c r="P23" s="2888"/>
      <c r="Q23" s="2888"/>
      <c r="R23" s="2888"/>
      <c r="S23" s="2910"/>
      <c r="T23" s="2910"/>
      <c r="U23" s="2910"/>
      <c r="V23" s="2910"/>
      <c r="W23" s="2907"/>
      <c r="X23" s="2907"/>
      <c r="Y23" s="2907"/>
      <c r="Z23" s="2907"/>
      <c r="AA23" s="2641"/>
      <c r="AB23" s="2641"/>
      <c r="AC23" s="2641"/>
      <c r="AD23" s="2641"/>
      <c r="AE23" s="2641"/>
      <c r="AF23" s="2641"/>
      <c r="AG23" s="2641"/>
      <c r="AH23" s="2641"/>
      <c r="AI23" s="2641"/>
      <c r="AJ23" s="2641"/>
      <c r="AK23" s="2641"/>
      <c r="AL23" s="2641"/>
      <c r="AM23" s="2641"/>
      <c r="AN23" s="2641"/>
      <c r="AO23" s="2641"/>
      <c r="AP23" s="2641"/>
      <c r="AQ23" s="2641"/>
      <c r="AR23" s="2641"/>
      <c r="AS23" s="2641"/>
      <c r="AT23" s="2641"/>
      <c r="AU23" s="2641"/>
      <c r="AV23" s="2641"/>
      <c r="AW23" s="2641"/>
      <c r="AX23" s="2641"/>
      <c r="AY23" s="2641"/>
      <c r="AZ23" s="2641"/>
      <c r="BA23" s="2641"/>
      <c r="BB23" s="2641"/>
      <c r="BC23" s="2641"/>
      <c r="BD23" s="2641"/>
      <c r="BE23" s="2641"/>
      <c r="BF23" s="2641"/>
      <c r="BG23" s="2641"/>
      <c r="BH23" s="2641"/>
      <c r="BI23" s="2641"/>
      <c r="BJ23" s="2641"/>
      <c r="BK23" s="2641"/>
      <c r="BL23" s="2641"/>
      <c r="BM23" s="2641"/>
      <c r="BN23" s="2641"/>
      <c r="BO23" s="2641"/>
      <c r="BP23" s="2641"/>
      <c r="BQ23" s="2641"/>
      <c r="BR23" s="2641"/>
      <c r="BS23" s="2641"/>
      <c r="BT23" s="2641"/>
      <c r="BU23" s="2641"/>
      <c r="BV23" s="2641"/>
      <c r="BW23" s="2641"/>
      <c r="BX23" s="2641"/>
      <c r="BY23" s="2641"/>
      <c r="BZ23" s="2641"/>
      <c r="CA23" s="2641"/>
      <c r="CB23" s="2641"/>
      <c r="CC23" s="2641"/>
      <c r="CD23" s="2641"/>
      <c r="CE23" s="2641"/>
      <c r="CF23" s="2641"/>
      <c r="CG23" s="2641"/>
      <c r="CH23" s="2322"/>
      <c r="CS23" s="2679"/>
      <c r="CT23" s="2679"/>
      <c r="CU23" s="2679"/>
      <c r="CV23" s="2679"/>
      <c r="CW23" s="2679"/>
      <c r="CX23" s="2679"/>
      <c r="CY23" s="2679"/>
      <c r="CZ23" s="2679"/>
      <c r="DA23" s="2679"/>
      <c r="DB23" s="2679"/>
      <c r="DC23" s="2679"/>
      <c r="DD23" s="2679"/>
      <c r="DE23" s="2679"/>
      <c r="DF23" s="2679"/>
      <c r="DG23" s="2679"/>
      <c r="DH23" s="2679"/>
      <c r="DI23" s="2679"/>
      <c r="DJ23" s="2679"/>
      <c r="DK23" s="2679"/>
      <c r="DL23" s="2679"/>
      <c r="DM23" s="2679"/>
    </row>
    <row r="24" spans="1:152" ht="9.6" customHeight="1">
      <c r="A24" s="1"/>
      <c r="B24" s="2906"/>
      <c r="C24" s="2905"/>
      <c r="D24" s="2905"/>
      <c r="E24" s="2905"/>
      <c r="F24" s="2293"/>
      <c r="G24" s="2293"/>
      <c r="H24" s="2293"/>
      <c r="I24" s="2293"/>
      <c r="J24" s="2293"/>
      <c r="K24" s="2293"/>
      <c r="L24" s="2293"/>
      <c r="M24" s="2293"/>
      <c r="N24" s="2889"/>
      <c r="O24" s="2889"/>
      <c r="P24" s="2889"/>
      <c r="Q24" s="2889"/>
      <c r="R24" s="2889"/>
      <c r="S24" s="2910"/>
      <c r="T24" s="2910"/>
      <c r="U24" s="2910"/>
      <c r="V24" s="2910"/>
      <c r="W24" s="2908"/>
      <c r="X24" s="2908"/>
      <c r="Y24" s="2908"/>
      <c r="Z24" s="2908"/>
      <c r="AA24" s="2642"/>
      <c r="AB24" s="2642"/>
      <c r="AC24" s="2642"/>
      <c r="AD24" s="2642"/>
      <c r="AE24" s="2642"/>
      <c r="AF24" s="2642"/>
      <c r="AG24" s="2642"/>
      <c r="AH24" s="2642"/>
      <c r="AI24" s="2642"/>
      <c r="AJ24" s="2642"/>
      <c r="AK24" s="2642"/>
      <c r="AL24" s="2642"/>
      <c r="AM24" s="2642"/>
      <c r="AN24" s="2642"/>
      <c r="AO24" s="2642"/>
      <c r="AP24" s="2642"/>
      <c r="AQ24" s="2642"/>
      <c r="AR24" s="2642"/>
      <c r="AS24" s="2642"/>
      <c r="AT24" s="2642"/>
      <c r="AU24" s="2642"/>
      <c r="AV24" s="2642"/>
      <c r="AW24" s="2642"/>
      <c r="AX24" s="2642"/>
      <c r="AY24" s="2642"/>
      <c r="AZ24" s="2642"/>
      <c r="BA24" s="2642"/>
      <c r="BB24" s="2642"/>
      <c r="BC24" s="2642"/>
      <c r="BD24" s="2642"/>
      <c r="BE24" s="2642"/>
      <c r="BF24" s="2642"/>
      <c r="BG24" s="2642"/>
      <c r="BH24" s="2642"/>
      <c r="BI24" s="2642"/>
      <c r="BJ24" s="2642"/>
      <c r="BK24" s="2642"/>
      <c r="BL24" s="2642"/>
      <c r="BM24" s="2642"/>
      <c r="BN24" s="2642"/>
      <c r="BO24" s="2642"/>
      <c r="BP24" s="2642"/>
      <c r="BQ24" s="2642"/>
      <c r="BR24" s="2642"/>
      <c r="BS24" s="2642"/>
      <c r="BT24" s="2642"/>
      <c r="BU24" s="2642"/>
      <c r="BV24" s="2642"/>
      <c r="BW24" s="2642"/>
      <c r="BX24" s="2642"/>
      <c r="BY24" s="2642"/>
      <c r="BZ24" s="2642"/>
      <c r="CA24" s="2642"/>
      <c r="CB24" s="2642"/>
      <c r="CC24" s="2642"/>
      <c r="CD24" s="2642"/>
      <c r="CE24" s="2642"/>
      <c r="CF24" s="2642"/>
      <c r="CG24" s="2642"/>
      <c r="CH24" s="2322"/>
    </row>
    <row r="25" spans="1:152" ht="9.6" customHeight="1">
      <c r="A25" s="1"/>
      <c r="B25" s="2906"/>
      <c r="C25" s="2905"/>
      <c r="D25" s="2905"/>
      <c r="E25" s="2905"/>
      <c r="F25" s="2293" t="s">
        <v>26</v>
      </c>
      <c r="G25" s="2293"/>
      <c r="H25" s="2293"/>
      <c r="I25" s="2293"/>
      <c r="J25" s="2293"/>
      <c r="K25" s="2293"/>
      <c r="L25" s="2293"/>
      <c r="M25" s="2293"/>
      <c r="N25" s="2887" t="str">
        <f>IF('Concr. Pg 1'!L31="","",'Concr. Pg 1'!L31)</f>
        <v/>
      </c>
      <c r="O25" s="2887"/>
      <c r="P25" s="2887"/>
      <c r="Q25" s="2887"/>
      <c r="R25" s="2887"/>
      <c r="S25" s="2910" t="s">
        <v>56</v>
      </c>
      <c r="T25" s="2910"/>
      <c r="U25" s="2910"/>
      <c r="V25" s="2910"/>
      <c r="W25" s="2890"/>
      <c r="X25" s="2890"/>
      <c r="Y25" s="2890"/>
      <c r="Z25" s="2890"/>
      <c r="AA25" s="2890"/>
      <c r="AB25" s="2890"/>
      <c r="AC25" s="2890"/>
      <c r="AD25" s="2890"/>
      <c r="AE25" s="2890"/>
      <c r="AF25" s="2890"/>
      <c r="AG25" s="2890"/>
      <c r="AH25" s="2890"/>
      <c r="AI25" s="2890"/>
      <c r="AJ25" s="2890"/>
      <c r="AK25" s="2890"/>
      <c r="AL25" s="2890"/>
      <c r="AM25" s="2890"/>
      <c r="AN25" s="2890"/>
      <c r="AO25" s="2890"/>
      <c r="AP25" s="2890"/>
      <c r="AQ25" s="2890"/>
      <c r="AR25" s="2890"/>
      <c r="AS25" s="2890"/>
      <c r="AT25" s="2890"/>
      <c r="AU25" s="2890"/>
      <c r="AV25" s="2890"/>
      <c r="AW25" s="2890"/>
      <c r="AX25" s="2890"/>
      <c r="AY25" s="2890"/>
      <c r="AZ25" s="2890"/>
      <c r="BA25" s="2890"/>
      <c r="BB25" s="2890"/>
      <c r="BC25" s="2890"/>
      <c r="BD25" s="2890"/>
      <c r="BE25" s="2890"/>
      <c r="BF25" s="2890"/>
      <c r="BG25" s="2890"/>
      <c r="BH25" s="2890"/>
      <c r="BI25" s="2890"/>
      <c r="BJ25" s="2890"/>
      <c r="BK25" s="2890"/>
      <c r="BL25" s="2890"/>
      <c r="BM25" s="2890"/>
      <c r="BN25" s="2890"/>
      <c r="BO25" s="2890"/>
      <c r="BP25" s="2890"/>
      <c r="BQ25" s="2890"/>
      <c r="BR25" s="2890"/>
      <c r="BS25" s="2890"/>
      <c r="BT25" s="2890"/>
      <c r="BU25" s="2890"/>
      <c r="BV25" s="2890"/>
      <c r="BW25" s="2890"/>
      <c r="BX25" s="2890"/>
      <c r="BY25" s="2890"/>
      <c r="BZ25" s="2890"/>
      <c r="CA25" s="2890"/>
      <c r="CB25" s="2890"/>
      <c r="CC25" s="2890"/>
      <c r="CD25" s="2890"/>
      <c r="CE25" s="2890"/>
      <c r="CF25" s="2890"/>
      <c r="CG25" s="2890"/>
      <c r="CH25" s="2904"/>
      <c r="CS25" s="2732" t="s">
        <v>218</v>
      </c>
      <c r="CT25" s="2732"/>
      <c r="CU25" s="2732"/>
      <c r="CV25" s="2732"/>
      <c r="CW25" s="2732"/>
      <c r="CX25" s="2732"/>
      <c r="CY25" s="2732"/>
      <c r="CZ25" s="2732"/>
      <c r="DA25" s="2732"/>
      <c r="DB25" s="2732"/>
      <c r="DC25" s="2732"/>
      <c r="DD25" s="2732"/>
      <c r="DE25" s="2732"/>
      <c r="DF25" s="2732"/>
      <c r="DG25" s="2732"/>
      <c r="DH25" s="2732"/>
      <c r="DI25" s="2732"/>
      <c r="DJ25" s="2732"/>
      <c r="DK25" s="2732"/>
      <c r="DL25" s="2732"/>
      <c r="DM25" s="2732"/>
      <c r="EC25" s="109"/>
      <c r="ED25" s="109"/>
      <c r="EE25" s="109"/>
      <c r="EF25" s="109"/>
      <c r="EG25" s="109"/>
      <c r="EH25" s="109"/>
      <c r="EI25" s="109"/>
      <c r="EJ25" s="109"/>
      <c r="EK25" s="109"/>
      <c r="EL25" s="109"/>
      <c r="EM25" s="109"/>
      <c r="EN25" s="109"/>
      <c r="EO25" s="109"/>
      <c r="EP25" s="109"/>
      <c r="EQ25" s="109"/>
      <c r="ER25" s="109"/>
      <c r="ES25" s="109"/>
      <c r="ET25" s="109"/>
      <c r="EU25" s="109"/>
      <c r="EV25" s="109"/>
    </row>
    <row r="26" spans="1:152" ht="9.6" customHeight="1">
      <c r="A26" s="1"/>
      <c r="B26" s="2906"/>
      <c r="C26" s="2905"/>
      <c r="D26" s="2905"/>
      <c r="E26" s="2905"/>
      <c r="F26" s="2293"/>
      <c r="G26" s="2293"/>
      <c r="H26" s="2293"/>
      <c r="I26" s="2293"/>
      <c r="J26" s="2293"/>
      <c r="K26" s="2293"/>
      <c r="L26" s="2293"/>
      <c r="M26" s="2293"/>
      <c r="N26" s="2888"/>
      <c r="O26" s="2888"/>
      <c r="P26" s="2888"/>
      <c r="Q26" s="2888"/>
      <c r="R26" s="2888"/>
      <c r="S26" s="2910"/>
      <c r="T26" s="2910"/>
      <c r="U26" s="2910"/>
      <c r="V26" s="2910"/>
      <c r="W26" s="2641"/>
      <c r="X26" s="2641"/>
      <c r="Y26" s="2641"/>
      <c r="Z26" s="2641"/>
      <c r="AA26" s="2641"/>
      <c r="AB26" s="2641"/>
      <c r="AC26" s="2641"/>
      <c r="AD26" s="2641"/>
      <c r="AE26" s="2641"/>
      <c r="AF26" s="2641"/>
      <c r="AG26" s="2641"/>
      <c r="AH26" s="2641"/>
      <c r="AI26" s="2641"/>
      <c r="AJ26" s="2641"/>
      <c r="AK26" s="2641"/>
      <c r="AL26" s="2641"/>
      <c r="AM26" s="2641"/>
      <c r="AN26" s="2641"/>
      <c r="AO26" s="2641"/>
      <c r="AP26" s="2641"/>
      <c r="AQ26" s="2641"/>
      <c r="AR26" s="2641"/>
      <c r="AS26" s="2641"/>
      <c r="AT26" s="2641"/>
      <c r="AU26" s="2641"/>
      <c r="AV26" s="2641"/>
      <c r="AW26" s="2641"/>
      <c r="AX26" s="2641"/>
      <c r="AY26" s="2641"/>
      <c r="AZ26" s="2641"/>
      <c r="BA26" s="2641"/>
      <c r="BB26" s="2641"/>
      <c r="BC26" s="2641"/>
      <c r="BD26" s="2641"/>
      <c r="BE26" s="2641"/>
      <c r="BF26" s="2641"/>
      <c r="BG26" s="2641"/>
      <c r="BH26" s="2641"/>
      <c r="BI26" s="2641"/>
      <c r="BJ26" s="2641"/>
      <c r="BK26" s="2641"/>
      <c r="BL26" s="2641"/>
      <c r="BM26" s="2641"/>
      <c r="BN26" s="2641"/>
      <c r="BO26" s="2641"/>
      <c r="BP26" s="2641"/>
      <c r="BQ26" s="2641"/>
      <c r="BR26" s="2641"/>
      <c r="BS26" s="2641"/>
      <c r="BT26" s="2641"/>
      <c r="BU26" s="2641"/>
      <c r="BV26" s="2641"/>
      <c r="BW26" s="2641"/>
      <c r="BX26" s="2641"/>
      <c r="BY26" s="2641"/>
      <c r="BZ26" s="2641"/>
      <c r="CA26" s="2641"/>
      <c r="CB26" s="2641"/>
      <c r="CC26" s="2641"/>
      <c r="CD26" s="2641"/>
      <c r="CE26" s="2641"/>
      <c r="CF26" s="2641"/>
      <c r="CG26" s="2641"/>
      <c r="CH26" s="2904"/>
      <c r="CQ26" s="2238"/>
      <c r="CR26" s="2240"/>
      <c r="CS26" s="2732"/>
      <c r="CT26" s="2732"/>
      <c r="CU26" s="2732"/>
      <c r="CV26" s="2732"/>
      <c r="CW26" s="2732"/>
      <c r="CX26" s="2732"/>
      <c r="CY26" s="2732"/>
      <c r="CZ26" s="2732"/>
      <c r="DA26" s="2732"/>
      <c r="DB26" s="2732"/>
      <c r="DC26" s="2732"/>
      <c r="DD26" s="2732"/>
      <c r="DE26" s="2732"/>
      <c r="DF26" s="2732"/>
      <c r="DG26" s="2732"/>
      <c r="DH26" s="2732"/>
      <c r="DI26" s="2732"/>
      <c r="DJ26" s="2732"/>
      <c r="DK26" s="2732"/>
      <c r="DL26" s="2732"/>
      <c r="DM26" s="2732"/>
      <c r="EC26" s="109"/>
      <c r="ED26" s="109"/>
      <c r="EE26" s="109"/>
      <c r="EF26" s="109"/>
      <c r="EG26" s="109"/>
      <c r="EH26" s="109"/>
      <c r="EI26" s="109"/>
      <c r="EJ26" s="109"/>
      <c r="EK26" s="109"/>
      <c r="EL26" s="109"/>
      <c r="EM26" s="109"/>
      <c r="EN26" s="109"/>
      <c r="EO26" s="109"/>
      <c r="EP26" s="109"/>
      <c r="EQ26" s="109"/>
      <c r="ER26" s="109"/>
      <c r="ES26" s="109"/>
      <c r="ET26" s="109"/>
      <c r="EU26" s="109"/>
      <c r="EV26" s="109"/>
    </row>
    <row r="27" spans="1:152" ht="9.6" customHeight="1">
      <c r="A27" s="1"/>
      <c r="B27" s="2906"/>
      <c r="C27" s="2905"/>
      <c r="D27" s="2905"/>
      <c r="E27" s="2905"/>
      <c r="F27" s="2293"/>
      <c r="G27" s="2293"/>
      <c r="H27" s="2293"/>
      <c r="I27" s="2293"/>
      <c r="J27" s="2293"/>
      <c r="K27" s="2293"/>
      <c r="L27" s="2293"/>
      <c r="M27" s="2293"/>
      <c r="N27" s="2889"/>
      <c r="O27" s="2889"/>
      <c r="P27" s="2889"/>
      <c r="Q27" s="2889"/>
      <c r="R27" s="2889"/>
      <c r="S27" s="2910"/>
      <c r="T27" s="2910"/>
      <c r="U27" s="2910"/>
      <c r="V27" s="2910"/>
      <c r="W27" s="2642"/>
      <c r="X27" s="2642"/>
      <c r="Y27" s="2642"/>
      <c r="Z27" s="2642"/>
      <c r="AA27" s="2642"/>
      <c r="AB27" s="2642"/>
      <c r="AC27" s="2642"/>
      <c r="AD27" s="2642"/>
      <c r="AE27" s="2642"/>
      <c r="AF27" s="2642"/>
      <c r="AG27" s="2642"/>
      <c r="AH27" s="2642"/>
      <c r="AI27" s="2642"/>
      <c r="AJ27" s="2642"/>
      <c r="AK27" s="2642"/>
      <c r="AL27" s="2642"/>
      <c r="AM27" s="2642"/>
      <c r="AN27" s="2642"/>
      <c r="AO27" s="2642"/>
      <c r="AP27" s="2642"/>
      <c r="AQ27" s="2642"/>
      <c r="AR27" s="2642"/>
      <c r="AS27" s="2642"/>
      <c r="AT27" s="2642"/>
      <c r="AU27" s="2642"/>
      <c r="AV27" s="2642"/>
      <c r="AW27" s="2642"/>
      <c r="AX27" s="2642"/>
      <c r="AY27" s="2642"/>
      <c r="AZ27" s="2642"/>
      <c r="BA27" s="2642"/>
      <c r="BB27" s="2642"/>
      <c r="BC27" s="2642"/>
      <c r="BD27" s="2642"/>
      <c r="BE27" s="2642"/>
      <c r="BF27" s="2642"/>
      <c r="BG27" s="2642"/>
      <c r="BH27" s="2642"/>
      <c r="BI27" s="2642"/>
      <c r="BJ27" s="2642"/>
      <c r="BK27" s="2642"/>
      <c r="BL27" s="2642"/>
      <c r="BM27" s="2642"/>
      <c r="BN27" s="2642"/>
      <c r="BO27" s="2642"/>
      <c r="BP27" s="2642"/>
      <c r="BQ27" s="2642"/>
      <c r="BR27" s="2642"/>
      <c r="BS27" s="2642"/>
      <c r="BT27" s="2642"/>
      <c r="BU27" s="2642"/>
      <c r="BV27" s="2642"/>
      <c r="BW27" s="2642"/>
      <c r="BX27" s="2642"/>
      <c r="BY27" s="2642"/>
      <c r="BZ27" s="2642"/>
      <c r="CA27" s="2642"/>
      <c r="CB27" s="2642"/>
      <c r="CC27" s="2642"/>
      <c r="CD27" s="2642"/>
      <c r="CE27" s="2642"/>
      <c r="CF27" s="2642"/>
      <c r="CG27" s="2642"/>
      <c r="CH27" s="2904"/>
      <c r="CQ27" s="2241"/>
      <c r="CR27" s="2243"/>
      <c r="CS27" s="2732"/>
      <c r="CT27" s="2732"/>
      <c r="CU27" s="2732"/>
      <c r="CV27" s="2732"/>
      <c r="CW27" s="2732"/>
      <c r="CX27" s="2732"/>
      <c r="CY27" s="2732"/>
      <c r="CZ27" s="2732"/>
      <c r="DA27" s="2732"/>
      <c r="DB27" s="2732"/>
      <c r="DC27" s="2732"/>
      <c r="DD27" s="2732"/>
      <c r="DE27" s="2732"/>
      <c r="DF27" s="2732"/>
      <c r="DG27" s="2732"/>
      <c r="DH27" s="2732"/>
      <c r="DI27" s="2732"/>
      <c r="DJ27" s="2732"/>
      <c r="DK27" s="2732"/>
      <c r="DL27" s="2732"/>
      <c r="DM27" s="2732"/>
      <c r="EC27" s="109"/>
      <c r="ED27" s="109"/>
      <c r="EE27" s="109"/>
      <c r="EF27" s="109"/>
      <c r="EG27" s="109"/>
      <c r="EH27" s="109"/>
      <c r="EI27" s="109"/>
      <c r="EJ27" s="109"/>
      <c r="EK27" s="109"/>
      <c r="EL27" s="109"/>
      <c r="EM27" s="109"/>
      <c r="EN27" s="109"/>
      <c r="EO27" s="109"/>
      <c r="EP27" s="109"/>
      <c r="EQ27" s="109"/>
      <c r="ER27" s="109"/>
      <c r="ES27" s="109"/>
      <c r="ET27" s="109"/>
      <c r="EU27" s="109"/>
      <c r="EV27" s="109"/>
    </row>
    <row r="28" spans="1:152" ht="9.6" customHeight="1">
      <c r="A28" s="1"/>
      <c r="B28" s="2906"/>
      <c r="C28" s="2905"/>
      <c r="D28" s="2905"/>
      <c r="E28" s="2905"/>
      <c r="F28" s="2293" t="s">
        <v>28</v>
      </c>
      <c r="G28" s="2293"/>
      <c r="H28" s="2293"/>
      <c r="I28" s="2293"/>
      <c r="J28" s="2293"/>
      <c r="K28" s="2293"/>
      <c r="L28" s="2293"/>
      <c r="M28" s="2293"/>
      <c r="N28" s="2887" t="str">
        <f>IF('Concr. Pg 1'!L34="","",'Concr. Pg 1'!L34)</f>
        <v/>
      </c>
      <c r="O28" s="2887"/>
      <c r="P28" s="2887"/>
      <c r="Q28" s="2887"/>
      <c r="R28" s="2887"/>
      <c r="S28" s="2910" t="s">
        <v>56</v>
      </c>
      <c r="T28" s="2910"/>
      <c r="U28" s="2910"/>
      <c r="V28" s="2910"/>
      <c r="W28" s="2890"/>
      <c r="X28" s="2890"/>
      <c r="Y28" s="2890"/>
      <c r="Z28" s="2890"/>
      <c r="AA28" s="2890"/>
      <c r="AB28" s="2890"/>
      <c r="AC28" s="2890"/>
      <c r="AD28" s="2890"/>
      <c r="AE28" s="2890"/>
      <c r="AF28" s="2890"/>
      <c r="AG28" s="2890"/>
      <c r="AH28" s="2890"/>
      <c r="AI28" s="2890"/>
      <c r="AJ28" s="2890"/>
      <c r="AK28" s="2890"/>
      <c r="AL28" s="2890"/>
      <c r="AM28" s="2890"/>
      <c r="AN28" s="2890"/>
      <c r="AO28" s="2890"/>
      <c r="AP28" s="2890"/>
      <c r="AQ28" s="2890"/>
      <c r="AR28" s="2890"/>
      <c r="AS28" s="2890"/>
      <c r="AT28" s="2890"/>
      <c r="AU28" s="2890"/>
      <c r="AV28" s="2890"/>
      <c r="AW28" s="2890"/>
      <c r="AX28" s="2890"/>
      <c r="AY28" s="2890"/>
      <c r="AZ28" s="2890"/>
      <c r="BA28" s="2890"/>
      <c r="BB28" s="2890"/>
      <c r="BC28" s="2890"/>
      <c r="BD28" s="2890"/>
      <c r="BE28" s="2890"/>
      <c r="BF28" s="2890"/>
      <c r="BG28" s="2890"/>
      <c r="BH28" s="2890"/>
      <c r="BI28" s="2890"/>
      <c r="BJ28" s="2890"/>
      <c r="BK28" s="2890"/>
      <c r="BL28" s="2890"/>
      <c r="BM28" s="2890"/>
      <c r="BN28" s="2890"/>
      <c r="BO28" s="2890"/>
      <c r="BP28" s="2890"/>
      <c r="BQ28" s="2890"/>
      <c r="BR28" s="2890"/>
      <c r="BS28" s="2890"/>
      <c r="BT28" s="2890"/>
      <c r="BU28" s="2890"/>
      <c r="BV28" s="2890"/>
      <c r="BW28" s="2890"/>
      <c r="BX28" s="2890"/>
      <c r="BY28" s="2890"/>
      <c r="BZ28" s="2890"/>
      <c r="CA28" s="2890"/>
      <c r="CB28" s="2890"/>
      <c r="CC28" s="2890"/>
      <c r="CD28" s="2890"/>
      <c r="CE28" s="2890"/>
      <c r="CF28" s="2890"/>
      <c r="CG28" s="2890"/>
      <c r="CH28" s="2904"/>
      <c r="CQ28" s="2241"/>
      <c r="CR28" s="2243"/>
      <c r="CS28" s="2732"/>
      <c r="CT28" s="2732"/>
      <c r="CU28" s="2732"/>
      <c r="CV28" s="2732"/>
      <c r="CW28" s="2732"/>
      <c r="CX28" s="2732"/>
      <c r="CY28" s="2732"/>
      <c r="CZ28" s="2732"/>
      <c r="DA28" s="2732"/>
      <c r="DB28" s="2732"/>
      <c r="DC28" s="2732"/>
      <c r="DD28" s="2732"/>
      <c r="DE28" s="2732"/>
      <c r="DF28" s="2732"/>
      <c r="DG28" s="2732"/>
      <c r="DH28" s="2732"/>
      <c r="DI28" s="2732"/>
      <c r="DJ28" s="2732"/>
      <c r="DK28" s="2732"/>
      <c r="DL28" s="2732"/>
      <c r="DM28" s="2732"/>
      <c r="EC28" s="109"/>
      <c r="ED28" s="109"/>
      <c r="EE28" s="109"/>
      <c r="EF28" s="109"/>
      <c r="EG28" s="109"/>
      <c r="EH28" s="109"/>
      <c r="EI28" s="109"/>
      <c r="EJ28" s="109"/>
      <c r="EK28" s="109"/>
      <c r="EL28" s="109"/>
      <c r="EM28" s="109"/>
      <c r="EN28" s="109"/>
      <c r="EO28" s="109"/>
      <c r="EP28" s="109"/>
      <c r="EQ28" s="109"/>
      <c r="ER28" s="109"/>
      <c r="ES28" s="109"/>
      <c r="ET28" s="109"/>
      <c r="EU28" s="109"/>
      <c r="EV28" s="109"/>
    </row>
    <row r="29" spans="1:152" ht="9.6" customHeight="1">
      <c r="A29" s="1"/>
      <c r="B29" s="2906"/>
      <c r="C29" s="2905"/>
      <c r="D29" s="2905"/>
      <c r="E29" s="2905"/>
      <c r="F29" s="2293"/>
      <c r="G29" s="2293"/>
      <c r="H29" s="2293"/>
      <c r="I29" s="2293"/>
      <c r="J29" s="2293"/>
      <c r="K29" s="2293"/>
      <c r="L29" s="2293"/>
      <c r="M29" s="2293"/>
      <c r="N29" s="2888"/>
      <c r="O29" s="2888"/>
      <c r="P29" s="2888"/>
      <c r="Q29" s="2888"/>
      <c r="R29" s="2888"/>
      <c r="S29" s="2910"/>
      <c r="T29" s="2910"/>
      <c r="U29" s="2910"/>
      <c r="V29" s="2910"/>
      <c r="W29" s="2641"/>
      <c r="X29" s="2641"/>
      <c r="Y29" s="2641"/>
      <c r="Z29" s="2641"/>
      <c r="AA29" s="2641"/>
      <c r="AB29" s="2641"/>
      <c r="AC29" s="2641"/>
      <c r="AD29" s="2641"/>
      <c r="AE29" s="2641"/>
      <c r="AF29" s="2641"/>
      <c r="AG29" s="2641"/>
      <c r="AH29" s="2641"/>
      <c r="AI29" s="2641"/>
      <c r="AJ29" s="2641"/>
      <c r="AK29" s="2641"/>
      <c r="AL29" s="2641"/>
      <c r="AM29" s="2641"/>
      <c r="AN29" s="2641"/>
      <c r="AO29" s="2641"/>
      <c r="AP29" s="2641"/>
      <c r="AQ29" s="2641"/>
      <c r="AR29" s="2641"/>
      <c r="AS29" s="2641"/>
      <c r="AT29" s="2641"/>
      <c r="AU29" s="2641"/>
      <c r="AV29" s="2641"/>
      <c r="AW29" s="2641"/>
      <c r="AX29" s="2641"/>
      <c r="AY29" s="2641"/>
      <c r="AZ29" s="2641"/>
      <c r="BA29" s="2641"/>
      <c r="BB29" s="2641"/>
      <c r="BC29" s="2641"/>
      <c r="BD29" s="2641"/>
      <c r="BE29" s="2641"/>
      <c r="BF29" s="2641"/>
      <c r="BG29" s="2641"/>
      <c r="BH29" s="2641"/>
      <c r="BI29" s="2641"/>
      <c r="BJ29" s="2641"/>
      <c r="BK29" s="2641"/>
      <c r="BL29" s="2641"/>
      <c r="BM29" s="2641"/>
      <c r="BN29" s="2641"/>
      <c r="BO29" s="2641"/>
      <c r="BP29" s="2641"/>
      <c r="BQ29" s="2641"/>
      <c r="BR29" s="2641"/>
      <c r="BS29" s="2641"/>
      <c r="BT29" s="2641"/>
      <c r="BU29" s="2641"/>
      <c r="BV29" s="2641"/>
      <c r="BW29" s="2641"/>
      <c r="BX29" s="2641"/>
      <c r="BY29" s="2641"/>
      <c r="BZ29" s="2641"/>
      <c r="CA29" s="2641"/>
      <c r="CB29" s="2641"/>
      <c r="CC29" s="2641"/>
      <c r="CD29" s="2641"/>
      <c r="CE29" s="2641"/>
      <c r="CF29" s="2641"/>
      <c r="CG29" s="2641"/>
      <c r="CH29" s="2904"/>
      <c r="CQ29" s="2244"/>
      <c r="CR29" s="2246"/>
      <c r="CS29" s="2732"/>
      <c r="CT29" s="2732"/>
      <c r="CU29" s="2732"/>
      <c r="CV29" s="2732"/>
      <c r="CW29" s="2732"/>
      <c r="CX29" s="2732"/>
      <c r="CY29" s="2732"/>
      <c r="CZ29" s="2732"/>
      <c r="DA29" s="2732"/>
      <c r="DB29" s="2732"/>
      <c r="DC29" s="2732"/>
      <c r="DD29" s="2732"/>
      <c r="DE29" s="2732"/>
      <c r="DF29" s="2732"/>
      <c r="DG29" s="2732"/>
      <c r="DH29" s="2732"/>
      <c r="DI29" s="2732"/>
      <c r="DJ29" s="2732"/>
      <c r="DK29" s="2732"/>
      <c r="DL29" s="2732"/>
      <c r="DM29" s="2732"/>
      <c r="EC29" s="109"/>
      <c r="ED29" s="109"/>
      <c r="EE29" s="109"/>
      <c r="EF29" s="109"/>
      <c r="EG29" s="109"/>
      <c r="EH29" s="109"/>
      <c r="EI29" s="109"/>
      <c r="EJ29" s="109"/>
      <c r="EK29" s="109"/>
      <c r="EL29" s="109"/>
      <c r="EM29" s="109"/>
      <c r="EN29" s="109"/>
      <c r="EO29" s="109"/>
      <c r="EP29" s="109"/>
      <c r="EQ29" s="109"/>
      <c r="ER29" s="109"/>
      <c r="ES29" s="109"/>
      <c r="ET29" s="109"/>
      <c r="EU29" s="109"/>
      <c r="EV29" s="109"/>
    </row>
    <row r="30" spans="1:152" ht="9.6" customHeight="1">
      <c r="A30" s="1"/>
      <c r="B30" s="2906"/>
      <c r="C30" s="2905"/>
      <c r="D30" s="2905"/>
      <c r="E30" s="2905"/>
      <c r="F30" s="2293"/>
      <c r="G30" s="2293"/>
      <c r="H30" s="2293"/>
      <c r="I30" s="2293"/>
      <c r="J30" s="2293"/>
      <c r="K30" s="2293"/>
      <c r="L30" s="2293"/>
      <c r="M30" s="2293"/>
      <c r="N30" s="2889"/>
      <c r="O30" s="2889"/>
      <c r="P30" s="2889"/>
      <c r="Q30" s="2889"/>
      <c r="R30" s="2889"/>
      <c r="S30" s="2910"/>
      <c r="T30" s="2910"/>
      <c r="U30" s="2910"/>
      <c r="V30" s="2910"/>
      <c r="W30" s="2642"/>
      <c r="X30" s="2642"/>
      <c r="Y30" s="2642"/>
      <c r="Z30" s="2642"/>
      <c r="AA30" s="2642"/>
      <c r="AB30" s="2642"/>
      <c r="AC30" s="2642"/>
      <c r="AD30" s="2642"/>
      <c r="AE30" s="2642"/>
      <c r="AF30" s="2642"/>
      <c r="AG30" s="2642"/>
      <c r="AH30" s="2642"/>
      <c r="AI30" s="2642"/>
      <c r="AJ30" s="2642"/>
      <c r="AK30" s="2642"/>
      <c r="AL30" s="2642"/>
      <c r="AM30" s="2642"/>
      <c r="AN30" s="2642"/>
      <c r="AO30" s="2642"/>
      <c r="AP30" s="2642"/>
      <c r="AQ30" s="2642"/>
      <c r="AR30" s="2642"/>
      <c r="AS30" s="2642"/>
      <c r="AT30" s="2642"/>
      <c r="AU30" s="2642"/>
      <c r="AV30" s="2642"/>
      <c r="AW30" s="2642"/>
      <c r="AX30" s="2642"/>
      <c r="AY30" s="2642"/>
      <c r="AZ30" s="2642"/>
      <c r="BA30" s="2642"/>
      <c r="BB30" s="2642"/>
      <c r="BC30" s="2642"/>
      <c r="BD30" s="2642"/>
      <c r="BE30" s="2642"/>
      <c r="BF30" s="2642"/>
      <c r="BG30" s="2642"/>
      <c r="BH30" s="2642"/>
      <c r="BI30" s="2642"/>
      <c r="BJ30" s="2642"/>
      <c r="BK30" s="2642"/>
      <c r="BL30" s="2642"/>
      <c r="BM30" s="2642"/>
      <c r="BN30" s="2642"/>
      <c r="BO30" s="2642"/>
      <c r="BP30" s="2642"/>
      <c r="BQ30" s="2642"/>
      <c r="BR30" s="2642"/>
      <c r="BS30" s="2642"/>
      <c r="BT30" s="2642"/>
      <c r="BU30" s="2642"/>
      <c r="BV30" s="2642"/>
      <c r="BW30" s="2642"/>
      <c r="BX30" s="2642"/>
      <c r="BY30" s="2642"/>
      <c r="BZ30" s="2642"/>
      <c r="CA30" s="2642"/>
      <c r="CB30" s="2642"/>
      <c r="CC30" s="2642"/>
      <c r="CD30" s="2642"/>
      <c r="CE30" s="2642"/>
      <c r="CF30" s="2642"/>
      <c r="CG30" s="2642"/>
      <c r="CH30" s="2904"/>
      <c r="CS30" s="2732"/>
      <c r="CT30" s="2732"/>
      <c r="CU30" s="2732"/>
      <c r="CV30" s="2732"/>
      <c r="CW30" s="2732"/>
      <c r="CX30" s="2732"/>
      <c r="CY30" s="2732"/>
      <c r="CZ30" s="2732"/>
      <c r="DA30" s="2732"/>
      <c r="DB30" s="2732"/>
      <c r="DC30" s="2732"/>
      <c r="DD30" s="2732"/>
      <c r="DE30" s="2732"/>
      <c r="DF30" s="2732"/>
      <c r="DG30" s="2732"/>
      <c r="DH30" s="2732"/>
      <c r="DI30" s="2732"/>
      <c r="DJ30" s="2732"/>
      <c r="DK30" s="2732"/>
      <c r="DL30" s="2732"/>
      <c r="DM30" s="2732"/>
      <c r="EC30" s="109"/>
      <c r="ED30" s="109"/>
      <c r="EE30" s="109"/>
      <c r="EF30" s="109"/>
      <c r="EG30" s="109"/>
      <c r="EH30" s="109"/>
      <c r="EI30" s="109"/>
      <c r="EJ30" s="109"/>
      <c r="EK30" s="109"/>
      <c r="EL30" s="109"/>
      <c r="EM30" s="109"/>
      <c r="EN30" s="109"/>
      <c r="EO30" s="109"/>
      <c r="EP30" s="109"/>
      <c r="EQ30" s="109"/>
      <c r="ER30" s="109"/>
      <c r="ES30" s="109"/>
      <c r="ET30" s="109"/>
      <c r="EU30" s="109"/>
      <c r="EV30" s="109"/>
    </row>
    <row r="31" spans="1:152" ht="9.6" customHeight="1" thickBot="1">
      <c r="A31" s="1"/>
      <c r="B31" s="2650"/>
      <c r="C31" s="2651"/>
      <c r="D31" s="2651"/>
      <c r="E31" s="2651"/>
      <c r="F31" s="2651"/>
      <c r="G31" s="2651"/>
      <c r="H31" s="2651"/>
      <c r="I31" s="2651"/>
      <c r="J31" s="2651"/>
      <c r="K31" s="2651"/>
      <c r="L31" s="2651"/>
      <c r="M31" s="2651"/>
      <c r="N31" s="2651"/>
      <c r="O31" s="2651"/>
      <c r="P31" s="2651"/>
      <c r="Q31" s="2651"/>
      <c r="R31" s="2651"/>
      <c r="S31" s="2651"/>
      <c r="T31" s="2651"/>
      <c r="U31" s="2651"/>
      <c r="V31" s="2651"/>
      <c r="W31" s="2651"/>
      <c r="X31" s="2651"/>
      <c r="Y31" s="2651"/>
      <c r="Z31" s="2651"/>
      <c r="AA31" s="2651"/>
      <c r="AB31" s="2651"/>
      <c r="AC31" s="2651"/>
      <c r="AD31" s="2651"/>
      <c r="AE31" s="2651"/>
      <c r="AF31" s="2651"/>
      <c r="AG31" s="2651"/>
      <c r="AH31" s="2651"/>
      <c r="AI31" s="2651"/>
      <c r="AJ31" s="2651"/>
      <c r="AK31" s="2651"/>
      <c r="AL31" s="2651"/>
      <c r="AM31" s="2651"/>
      <c r="AN31" s="2651"/>
      <c r="AO31" s="2651"/>
      <c r="AP31" s="2651"/>
      <c r="AQ31" s="2651"/>
      <c r="AR31" s="2651"/>
      <c r="AS31" s="2651"/>
      <c r="AT31" s="2651"/>
      <c r="AU31" s="2651"/>
      <c r="AV31" s="2651"/>
      <c r="AW31" s="2651"/>
      <c r="AX31" s="2651"/>
      <c r="AY31" s="2651"/>
      <c r="AZ31" s="2651"/>
      <c r="BA31" s="2651"/>
      <c r="BB31" s="2651"/>
      <c r="BC31" s="2651"/>
      <c r="BD31" s="2651"/>
      <c r="BE31" s="2651"/>
      <c r="BF31" s="2651"/>
      <c r="BG31" s="2651"/>
      <c r="BH31" s="2651"/>
      <c r="BI31" s="2651"/>
      <c r="BJ31" s="2651"/>
      <c r="BK31" s="2651"/>
      <c r="BL31" s="2651"/>
      <c r="BM31" s="2651"/>
      <c r="BN31" s="2651"/>
      <c r="BO31" s="2651"/>
      <c r="BP31" s="2651"/>
      <c r="BQ31" s="2651"/>
      <c r="BR31" s="2651"/>
      <c r="BS31" s="2651"/>
      <c r="BT31" s="2651"/>
      <c r="BU31" s="2651"/>
      <c r="BV31" s="2651"/>
      <c r="BW31" s="2651"/>
      <c r="BX31" s="2651"/>
      <c r="BY31" s="2651"/>
      <c r="BZ31" s="2651"/>
      <c r="CA31" s="2651"/>
      <c r="CB31" s="2651"/>
      <c r="CC31" s="2651"/>
      <c r="CD31" s="2651"/>
      <c r="CE31" s="2651"/>
      <c r="CF31" s="2651"/>
      <c r="CG31" s="2651"/>
      <c r="CH31" s="2652"/>
      <c r="CS31" s="2732"/>
      <c r="CT31" s="2732"/>
      <c r="CU31" s="2732"/>
      <c r="CV31" s="2732"/>
      <c r="CW31" s="2732"/>
      <c r="CX31" s="2732"/>
      <c r="CY31" s="2732"/>
      <c r="CZ31" s="2732"/>
      <c r="DA31" s="2732"/>
      <c r="DB31" s="2732"/>
      <c r="DC31" s="2732"/>
      <c r="DD31" s="2732"/>
      <c r="DE31" s="2732"/>
      <c r="DF31" s="2732"/>
      <c r="DG31" s="2732"/>
      <c r="DH31" s="2732"/>
      <c r="DI31" s="2732"/>
      <c r="DJ31" s="2732"/>
      <c r="DK31" s="2732"/>
      <c r="DL31" s="2732"/>
      <c r="DM31" s="2732"/>
      <c r="EC31" s="109"/>
      <c r="ED31" s="109"/>
      <c r="EE31" s="109"/>
      <c r="EF31" s="109"/>
      <c r="EG31" s="109"/>
      <c r="EH31" s="109"/>
      <c r="EI31" s="109"/>
      <c r="EJ31" s="109"/>
      <c r="EK31" s="109"/>
      <c r="EL31" s="109"/>
      <c r="EM31" s="109"/>
      <c r="EN31" s="109"/>
      <c r="EO31" s="109"/>
      <c r="EP31" s="109"/>
      <c r="EQ31" s="109"/>
      <c r="ER31" s="109"/>
      <c r="ES31" s="109"/>
      <c r="ET31" s="109"/>
      <c r="EU31" s="109"/>
      <c r="EV31" s="109"/>
    </row>
    <row r="32" spans="1:152" ht="9.6" customHeight="1">
      <c r="A32" s="1"/>
      <c r="B32" s="2883" t="s">
        <v>0</v>
      </c>
      <c r="C32" s="2616"/>
      <c r="D32" s="2616"/>
      <c r="E32" s="2616"/>
      <c r="F32" s="2616"/>
      <c r="G32" s="2617"/>
      <c r="H32" s="2615" t="s">
        <v>4</v>
      </c>
      <c r="I32" s="2616"/>
      <c r="J32" s="2616"/>
      <c r="K32" s="2617"/>
      <c r="L32" s="2615" t="s">
        <v>194</v>
      </c>
      <c r="M32" s="2836"/>
      <c r="N32" s="2836"/>
      <c r="O32" s="2837"/>
      <c r="P32" s="2615" t="s">
        <v>5</v>
      </c>
      <c r="Q32" s="2616"/>
      <c r="R32" s="2616"/>
      <c r="S32" s="2617"/>
      <c r="T32" s="2615" t="s">
        <v>11</v>
      </c>
      <c r="U32" s="2616"/>
      <c r="V32" s="2616"/>
      <c r="W32" s="2617"/>
      <c r="X32" s="2615" t="s">
        <v>24</v>
      </c>
      <c r="Y32" s="2616"/>
      <c r="Z32" s="2616"/>
      <c r="AA32" s="2616"/>
      <c r="AB32" s="2570" t="s">
        <v>25</v>
      </c>
      <c r="AC32" s="2571"/>
      <c r="AD32" s="2571"/>
      <c r="AE32" s="2571"/>
      <c r="AF32" s="2883" t="s">
        <v>40</v>
      </c>
      <c r="AG32" s="2616"/>
      <c r="AH32" s="2616"/>
      <c r="AI32" s="2828"/>
      <c r="AJ32" s="2605" t="s">
        <v>146</v>
      </c>
      <c r="AK32" s="2605"/>
      <c r="AL32" s="2605"/>
      <c r="AM32" s="2606"/>
      <c r="AN32" s="2624" t="s">
        <v>330</v>
      </c>
      <c r="AO32" s="2624"/>
      <c r="AP32" s="2624"/>
      <c r="AQ32" s="2625"/>
      <c r="AR32" s="2764" t="s">
        <v>143</v>
      </c>
      <c r="AS32" s="2764"/>
      <c r="AT32" s="2764"/>
      <c r="AU32" s="2764"/>
      <c r="AV32" s="2764"/>
      <c r="AW32" s="2764"/>
      <c r="AX32" s="2764"/>
      <c r="AY32" s="2764"/>
      <c r="AZ32" s="2764"/>
      <c r="BA32" s="2764"/>
      <c r="BB32" s="2764"/>
      <c r="BC32" s="2764"/>
      <c r="BD32" s="2764"/>
      <c r="BE32" s="2764"/>
      <c r="BF32" s="2764"/>
      <c r="BG32" s="2765"/>
      <c r="BH32" s="2615" t="s">
        <v>41</v>
      </c>
      <c r="BI32" s="2616"/>
      <c r="BJ32" s="2616"/>
      <c r="BK32" s="2616"/>
      <c r="BL32" s="2883" t="s">
        <v>42</v>
      </c>
      <c r="BM32" s="2616"/>
      <c r="BN32" s="2616"/>
      <c r="BO32" s="2617"/>
      <c r="BP32" s="2687" t="s">
        <v>15</v>
      </c>
      <c r="BQ32" s="2688"/>
      <c r="BR32" s="2688"/>
      <c r="BS32" s="2689"/>
      <c r="BT32" s="2703" t="s">
        <v>9</v>
      </c>
      <c r="BU32" s="2703"/>
      <c r="BV32" s="2703"/>
      <c r="BW32" s="2703"/>
      <c r="BX32" s="2703"/>
      <c r="BY32" s="2703"/>
      <c r="BZ32" s="2703"/>
      <c r="CA32" s="2703"/>
      <c r="CB32" s="2703"/>
      <c r="CC32" s="2703"/>
      <c r="CD32" s="2703"/>
      <c r="CE32" s="2703"/>
      <c r="CF32" s="2703"/>
      <c r="CG32" s="2703"/>
      <c r="CH32" s="2704"/>
      <c r="EC32" s="109"/>
      <c r="ED32" s="109"/>
      <c r="EE32" s="109"/>
      <c r="EF32" s="109"/>
      <c r="EG32" s="109"/>
      <c r="EH32" s="109"/>
      <c r="EI32" s="109"/>
      <c r="EJ32" s="109"/>
      <c r="EK32" s="109"/>
      <c r="EL32" s="109"/>
      <c r="EM32" s="109"/>
      <c r="EN32" s="109"/>
      <c r="EO32" s="109"/>
      <c r="EP32" s="109"/>
      <c r="EQ32" s="109"/>
      <c r="ER32" s="109"/>
      <c r="ES32" s="109"/>
      <c r="ET32" s="109"/>
      <c r="EU32" s="109"/>
      <c r="EV32" s="109"/>
    </row>
    <row r="33" spans="1:152" ht="9.6" customHeight="1">
      <c r="A33" s="1"/>
      <c r="B33" s="2884"/>
      <c r="C33" s="2583"/>
      <c r="D33" s="2583"/>
      <c r="E33" s="2583"/>
      <c r="F33" s="2583"/>
      <c r="G33" s="2618"/>
      <c r="H33" s="2582"/>
      <c r="I33" s="2583"/>
      <c r="J33" s="2583"/>
      <c r="K33" s="2618"/>
      <c r="L33" s="2838"/>
      <c r="M33" s="1617"/>
      <c r="N33" s="1617"/>
      <c r="O33" s="2839"/>
      <c r="P33" s="2582"/>
      <c r="Q33" s="2583"/>
      <c r="R33" s="2583"/>
      <c r="S33" s="2618"/>
      <c r="T33" s="2582"/>
      <c r="U33" s="2583"/>
      <c r="V33" s="2583"/>
      <c r="W33" s="2618"/>
      <c r="X33" s="2582"/>
      <c r="Y33" s="2583"/>
      <c r="Z33" s="2583"/>
      <c r="AA33" s="2583"/>
      <c r="AB33" s="2572"/>
      <c r="AC33" s="2573"/>
      <c r="AD33" s="2573"/>
      <c r="AE33" s="2573"/>
      <c r="AF33" s="2884"/>
      <c r="AG33" s="2583"/>
      <c r="AH33" s="2583"/>
      <c r="AI33" s="2829"/>
      <c r="AJ33" s="2608"/>
      <c r="AK33" s="2608"/>
      <c r="AL33" s="2608"/>
      <c r="AM33" s="2609"/>
      <c r="AN33" s="2626"/>
      <c r="AO33" s="2626"/>
      <c r="AP33" s="2626"/>
      <c r="AQ33" s="2627"/>
      <c r="AR33" s="2766"/>
      <c r="AS33" s="2766"/>
      <c r="AT33" s="2766"/>
      <c r="AU33" s="2766"/>
      <c r="AV33" s="2766"/>
      <c r="AW33" s="2766"/>
      <c r="AX33" s="2766"/>
      <c r="AY33" s="2766"/>
      <c r="AZ33" s="2766"/>
      <c r="BA33" s="2766"/>
      <c r="BB33" s="2766"/>
      <c r="BC33" s="2766"/>
      <c r="BD33" s="2766"/>
      <c r="BE33" s="2766"/>
      <c r="BF33" s="2766"/>
      <c r="BG33" s="2767"/>
      <c r="BH33" s="2582"/>
      <c r="BI33" s="2583"/>
      <c r="BJ33" s="2583"/>
      <c r="BK33" s="2583"/>
      <c r="BL33" s="2884"/>
      <c r="BM33" s="2583"/>
      <c r="BN33" s="2583"/>
      <c r="BO33" s="2618"/>
      <c r="BP33" s="2690"/>
      <c r="BQ33" s="2691"/>
      <c r="BR33" s="2691"/>
      <c r="BS33" s="2692"/>
      <c r="BT33" s="2340"/>
      <c r="BU33" s="2340"/>
      <c r="BV33" s="2340"/>
      <c r="BW33" s="2340"/>
      <c r="BX33" s="2340"/>
      <c r="BY33" s="2340"/>
      <c r="BZ33" s="2340"/>
      <c r="CA33" s="2340"/>
      <c r="CB33" s="2340"/>
      <c r="CC33" s="2340"/>
      <c r="CD33" s="2340"/>
      <c r="CE33" s="2340"/>
      <c r="CF33" s="2340"/>
      <c r="CG33" s="2340"/>
      <c r="CH33" s="2705"/>
      <c r="CO33" s="2768" t="s">
        <v>1198</v>
      </c>
      <c r="CP33" s="2769"/>
      <c r="CQ33" s="2769"/>
      <c r="CR33" s="2769"/>
      <c r="CS33" s="2769"/>
      <c r="CT33" s="2769"/>
      <c r="CU33" s="2769"/>
      <c r="CV33" s="2770"/>
      <c r="EC33" s="109"/>
      <c r="ED33" s="109"/>
      <c r="EE33" s="109"/>
      <c r="EF33" s="109"/>
      <c r="EG33" s="109"/>
      <c r="EH33" s="109"/>
      <c r="EI33" s="109"/>
      <c r="EJ33" s="109"/>
      <c r="EK33" s="109"/>
      <c r="EL33" s="109"/>
      <c r="EM33" s="109"/>
      <c r="EN33" s="109"/>
      <c r="EO33" s="109"/>
      <c r="EP33" s="109"/>
      <c r="EQ33" s="109"/>
      <c r="ER33" s="109"/>
      <c r="ES33" s="109"/>
      <c r="ET33" s="109"/>
      <c r="EU33" s="109"/>
      <c r="EV33" s="109"/>
    </row>
    <row r="34" spans="1:152" ht="9.6" customHeight="1">
      <c r="A34" s="1"/>
      <c r="B34" s="2884"/>
      <c r="C34" s="2583"/>
      <c r="D34" s="2583"/>
      <c r="E34" s="2583"/>
      <c r="F34" s="2583"/>
      <c r="G34" s="2618"/>
      <c r="H34" s="2582"/>
      <c r="I34" s="2583"/>
      <c r="J34" s="2583"/>
      <c r="K34" s="2618"/>
      <c r="L34" s="2838"/>
      <c r="M34" s="1617"/>
      <c r="N34" s="1617"/>
      <c r="O34" s="2839"/>
      <c r="P34" s="2582"/>
      <c r="Q34" s="2583"/>
      <c r="R34" s="2583"/>
      <c r="S34" s="2618"/>
      <c r="T34" s="2582"/>
      <c r="U34" s="2583"/>
      <c r="V34" s="2583"/>
      <c r="W34" s="2618"/>
      <c r="X34" s="2582"/>
      <c r="Y34" s="2583"/>
      <c r="Z34" s="2583"/>
      <c r="AA34" s="2583"/>
      <c r="AB34" s="2572"/>
      <c r="AC34" s="2573"/>
      <c r="AD34" s="2573"/>
      <c r="AE34" s="2573"/>
      <c r="AF34" s="2884"/>
      <c r="AG34" s="2583"/>
      <c r="AH34" s="2583"/>
      <c r="AI34" s="2829"/>
      <c r="AJ34" s="2855" t="s">
        <v>136</v>
      </c>
      <c r="AK34" s="2855"/>
      <c r="AL34" s="2855"/>
      <c r="AM34" s="2855"/>
      <c r="AN34" s="2855"/>
      <c r="AO34" s="2855"/>
      <c r="AP34" s="2855"/>
      <c r="AQ34" s="2856"/>
      <c r="AR34" s="2582" t="s">
        <v>1</v>
      </c>
      <c r="AS34" s="2583"/>
      <c r="AT34" s="2583"/>
      <c r="AU34" s="2583"/>
      <c r="AV34" s="2582" t="s">
        <v>2</v>
      </c>
      <c r="AW34" s="2583"/>
      <c r="AX34" s="2583"/>
      <c r="AY34" s="2583"/>
      <c r="AZ34" s="2582" t="s">
        <v>38</v>
      </c>
      <c r="BA34" s="2583"/>
      <c r="BB34" s="2583"/>
      <c r="BC34" s="2583"/>
      <c r="BD34" s="2582" t="s">
        <v>14</v>
      </c>
      <c r="BE34" s="2583"/>
      <c r="BF34" s="2583"/>
      <c r="BG34" s="2583"/>
      <c r="BH34" s="2582"/>
      <c r="BI34" s="2583"/>
      <c r="BJ34" s="2583"/>
      <c r="BK34" s="2583"/>
      <c r="BL34" s="2884"/>
      <c r="BM34" s="2583"/>
      <c r="BN34" s="2583"/>
      <c r="BO34" s="2618"/>
      <c r="BP34" s="2690"/>
      <c r="BQ34" s="2691"/>
      <c r="BR34" s="2691"/>
      <c r="BS34" s="2692"/>
      <c r="BT34" s="2340"/>
      <c r="BU34" s="2340"/>
      <c r="BV34" s="2340"/>
      <c r="BW34" s="2340"/>
      <c r="BX34" s="2340"/>
      <c r="BY34" s="2340"/>
      <c r="BZ34" s="2340"/>
      <c r="CA34" s="2340"/>
      <c r="CB34" s="2340"/>
      <c r="CC34" s="2340"/>
      <c r="CD34" s="2340"/>
      <c r="CE34" s="2340"/>
      <c r="CF34" s="2340"/>
      <c r="CG34" s="2340"/>
      <c r="CH34" s="2705"/>
      <c r="CO34" s="2771"/>
      <c r="CP34" s="2463"/>
      <c r="CQ34" s="2463"/>
      <c r="CR34" s="2463"/>
      <c r="CS34" s="2463"/>
      <c r="CT34" s="2463"/>
      <c r="CU34" s="2463"/>
      <c r="CV34" s="2585"/>
      <c r="EC34" s="109"/>
      <c r="ED34" s="109"/>
      <c r="EE34" s="109"/>
      <c r="EF34" s="109"/>
      <c r="EG34" s="109"/>
      <c r="EH34" s="109"/>
      <c r="EI34" s="109"/>
      <c r="EJ34" s="109"/>
      <c r="EK34" s="109"/>
      <c r="EL34" s="109"/>
      <c r="EM34" s="109"/>
      <c r="EN34" s="109"/>
      <c r="EO34" s="109"/>
      <c r="EP34" s="109"/>
      <c r="EQ34" s="109"/>
      <c r="ER34" s="109"/>
      <c r="ES34" s="109"/>
      <c r="ET34" s="109"/>
      <c r="EU34" s="109"/>
      <c r="EV34" s="109"/>
    </row>
    <row r="35" spans="1:152" ht="9.6" customHeight="1">
      <c r="A35" s="1"/>
      <c r="B35" s="2884"/>
      <c r="C35" s="2583"/>
      <c r="D35" s="2583"/>
      <c r="E35" s="2583"/>
      <c r="F35" s="2583"/>
      <c r="G35" s="2618"/>
      <c r="H35" s="2582"/>
      <c r="I35" s="2583"/>
      <c r="J35" s="2583"/>
      <c r="K35" s="2618"/>
      <c r="L35" s="2840"/>
      <c r="M35" s="2841"/>
      <c r="N35" s="2841"/>
      <c r="O35" s="2842"/>
      <c r="P35" s="2582"/>
      <c r="Q35" s="2583"/>
      <c r="R35" s="2583"/>
      <c r="S35" s="2618"/>
      <c r="T35" s="2582"/>
      <c r="U35" s="2583"/>
      <c r="V35" s="2583"/>
      <c r="W35" s="2618"/>
      <c r="X35" s="2582"/>
      <c r="Y35" s="2583"/>
      <c r="Z35" s="2583"/>
      <c r="AA35" s="2583"/>
      <c r="AB35" s="2572"/>
      <c r="AC35" s="2573"/>
      <c r="AD35" s="2573"/>
      <c r="AE35" s="2573"/>
      <c r="AF35" s="2884"/>
      <c r="AG35" s="2583"/>
      <c r="AH35" s="2583"/>
      <c r="AI35" s="2829"/>
      <c r="AJ35" s="2855"/>
      <c r="AK35" s="2855"/>
      <c r="AL35" s="2855"/>
      <c r="AM35" s="2855"/>
      <c r="AN35" s="2855"/>
      <c r="AO35" s="2855"/>
      <c r="AP35" s="2855"/>
      <c r="AQ35" s="2856"/>
      <c r="AR35" s="2582"/>
      <c r="AS35" s="2583"/>
      <c r="AT35" s="2583"/>
      <c r="AU35" s="2583"/>
      <c r="AV35" s="2582"/>
      <c r="AW35" s="2583"/>
      <c r="AX35" s="2583"/>
      <c r="AY35" s="2583"/>
      <c r="AZ35" s="2582"/>
      <c r="BA35" s="2583"/>
      <c r="BB35" s="2583"/>
      <c r="BC35" s="2583"/>
      <c r="BD35" s="2582"/>
      <c r="BE35" s="2583"/>
      <c r="BF35" s="2583"/>
      <c r="BG35" s="2583"/>
      <c r="BH35" s="2582"/>
      <c r="BI35" s="2583"/>
      <c r="BJ35" s="2583"/>
      <c r="BK35" s="2583"/>
      <c r="BL35" s="2884"/>
      <c r="BM35" s="2583"/>
      <c r="BN35" s="2583"/>
      <c r="BO35" s="2618"/>
      <c r="BP35" s="2690"/>
      <c r="BQ35" s="2691"/>
      <c r="BR35" s="2691"/>
      <c r="BS35" s="2692"/>
      <c r="BT35" s="2340"/>
      <c r="BU35" s="2340"/>
      <c r="BV35" s="2340"/>
      <c r="BW35" s="2340"/>
      <c r="BX35" s="2340"/>
      <c r="BY35" s="2340"/>
      <c r="BZ35" s="2340"/>
      <c r="CA35" s="2340"/>
      <c r="CB35" s="2340"/>
      <c r="CC35" s="2340"/>
      <c r="CD35" s="2340"/>
      <c r="CE35" s="2340"/>
      <c r="CF35" s="2340"/>
      <c r="CG35" s="2340"/>
      <c r="CH35" s="2705"/>
      <c r="CO35" s="2771" t="s">
        <v>1199</v>
      </c>
      <c r="CP35" s="2463"/>
      <c r="CQ35" s="2463"/>
      <c r="CR35" s="2463"/>
      <c r="CS35" s="2463"/>
      <c r="CT35" s="2463"/>
      <c r="CU35" s="2463"/>
      <c r="CV35" s="2585"/>
      <c r="EC35" s="109"/>
      <c r="ED35" s="109"/>
      <c r="EE35" s="109"/>
      <c r="EF35" s="109"/>
      <c r="EG35" s="109"/>
      <c r="EH35" s="109"/>
      <c r="EI35" s="109"/>
      <c r="EJ35" s="109"/>
      <c r="EK35" s="109"/>
      <c r="EL35" s="109"/>
      <c r="EM35" s="109"/>
      <c r="EN35" s="109"/>
      <c r="EO35" s="109"/>
      <c r="EP35" s="109"/>
      <c r="EQ35" s="109"/>
      <c r="ER35" s="109"/>
      <c r="ES35" s="109"/>
      <c r="ET35" s="109"/>
      <c r="EU35" s="109"/>
      <c r="EV35" s="109"/>
    </row>
    <row r="36" spans="1:152" ht="9.6" customHeight="1">
      <c r="A36" s="1"/>
      <c r="B36" s="2884"/>
      <c r="C36" s="2583"/>
      <c r="D36" s="2583"/>
      <c r="E36" s="2583"/>
      <c r="F36" s="2583"/>
      <c r="G36" s="2618"/>
      <c r="H36" s="2582"/>
      <c r="I36" s="2583"/>
      <c r="J36" s="2583"/>
      <c r="K36" s="2618"/>
      <c r="L36" s="2822" t="s">
        <v>148</v>
      </c>
      <c r="M36" s="2823"/>
      <c r="N36" s="2823"/>
      <c r="O36" s="2824"/>
      <c r="P36" s="2582"/>
      <c r="Q36" s="2583"/>
      <c r="R36" s="2583"/>
      <c r="S36" s="2618"/>
      <c r="T36" s="2582"/>
      <c r="U36" s="2583"/>
      <c r="V36" s="2583"/>
      <c r="W36" s="2618"/>
      <c r="X36" s="2582"/>
      <c r="Y36" s="2583"/>
      <c r="Z36" s="2583"/>
      <c r="AA36" s="2583"/>
      <c r="AB36" s="2572"/>
      <c r="AC36" s="2573"/>
      <c r="AD36" s="2573"/>
      <c r="AE36" s="2573"/>
      <c r="AF36" s="2884"/>
      <c r="AG36" s="2583"/>
      <c r="AH36" s="2583"/>
      <c r="AI36" s="2829"/>
      <c r="AJ36" s="2855"/>
      <c r="AK36" s="2855"/>
      <c r="AL36" s="2855"/>
      <c r="AM36" s="2855"/>
      <c r="AN36" s="2855"/>
      <c r="AO36" s="2855"/>
      <c r="AP36" s="2855"/>
      <c r="AQ36" s="2856"/>
      <c r="AR36" s="2582"/>
      <c r="AS36" s="2583"/>
      <c r="AT36" s="2583"/>
      <c r="AU36" s="2583"/>
      <c r="AV36" s="2582"/>
      <c r="AW36" s="2583"/>
      <c r="AX36" s="2583"/>
      <c r="AY36" s="2583"/>
      <c r="AZ36" s="2582"/>
      <c r="BA36" s="2583"/>
      <c r="BB36" s="2583"/>
      <c r="BC36" s="2583"/>
      <c r="BD36" s="2582"/>
      <c r="BE36" s="2583"/>
      <c r="BF36" s="2583"/>
      <c r="BG36" s="2583"/>
      <c r="BH36" s="2582"/>
      <c r="BI36" s="2583"/>
      <c r="BJ36" s="2583"/>
      <c r="BK36" s="2583"/>
      <c r="BL36" s="2884"/>
      <c r="BM36" s="2583"/>
      <c r="BN36" s="2583"/>
      <c r="BO36" s="2618"/>
      <c r="BP36" s="2690"/>
      <c r="BQ36" s="2691"/>
      <c r="BR36" s="2691"/>
      <c r="BS36" s="2692"/>
      <c r="BT36" s="2368"/>
      <c r="BU36" s="2368"/>
      <c r="BV36" s="2368"/>
      <c r="BW36" s="2368"/>
      <c r="BX36" s="2368"/>
      <c r="BY36" s="2368"/>
      <c r="BZ36" s="2368"/>
      <c r="CA36" s="2368"/>
      <c r="CB36" s="2368"/>
      <c r="CC36" s="2368"/>
      <c r="CD36" s="2368"/>
      <c r="CE36" s="2368"/>
      <c r="CF36" s="2368"/>
      <c r="CG36" s="2368"/>
      <c r="CH36" s="2369"/>
      <c r="CO36" s="2771"/>
      <c r="CP36" s="2463"/>
      <c r="CQ36" s="2463"/>
      <c r="CR36" s="2463"/>
      <c r="CS36" s="2463"/>
      <c r="CT36" s="2463"/>
      <c r="CU36" s="2463"/>
      <c r="CV36" s="2585"/>
      <c r="EC36" s="109"/>
      <c r="ED36" s="109"/>
      <c r="EE36" s="109"/>
      <c r="EF36" s="109"/>
      <c r="EG36" s="109"/>
      <c r="EH36" s="109"/>
      <c r="EI36" s="109"/>
      <c r="EJ36" s="109"/>
      <c r="EK36" s="109"/>
      <c r="EL36" s="109"/>
      <c r="EM36" s="109"/>
      <c r="EN36" s="109"/>
      <c r="EO36" s="109"/>
      <c r="EP36" s="109"/>
      <c r="EQ36" s="109"/>
      <c r="ER36" s="109"/>
      <c r="ES36" s="109"/>
      <c r="ET36" s="109"/>
      <c r="EU36" s="109"/>
      <c r="EV36" s="109"/>
    </row>
    <row r="37" spans="1:152" ht="9.6" customHeight="1">
      <c r="A37" s="1"/>
      <c r="B37" s="2884"/>
      <c r="C37" s="2583"/>
      <c r="D37" s="2583"/>
      <c r="E37" s="2583"/>
      <c r="F37" s="2583"/>
      <c r="G37" s="2618"/>
      <c r="H37" s="2582"/>
      <c r="I37" s="2583"/>
      <c r="J37" s="2583"/>
      <c r="K37" s="2618"/>
      <c r="L37" s="2822"/>
      <c r="M37" s="2823"/>
      <c r="N37" s="2823"/>
      <c r="O37" s="2824"/>
      <c r="P37" s="2582"/>
      <c r="Q37" s="2583"/>
      <c r="R37" s="2583"/>
      <c r="S37" s="2618"/>
      <c r="T37" s="2582"/>
      <c r="U37" s="2583"/>
      <c r="V37" s="2583"/>
      <c r="W37" s="2618"/>
      <c r="X37" s="2582"/>
      <c r="Y37" s="2583"/>
      <c r="Z37" s="2583"/>
      <c r="AA37" s="2583"/>
      <c r="AB37" s="2572"/>
      <c r="AC37" s="2573"/>
      <c r="AD37" s="2573"/>
      <c r="AE37" s="2573"/>
      <c r="AF37" s="2884"/>
      <c r="AG37" s="2583"/>
      <c r="AH37" s="2583"/>
      <c r="AI37" s="2829"/>
      <c r="AJ37" s="2855"/>
      <c r="AK37" s="2855"/>
      <c r="AL37" s="2855"/>
      <c r="AM37" s="2855"/>
      <c r="AN37" s="2855"/>
      <c r="AO37" s="2855"/>
      <c r="AP37" s="2855"/>
      <c r="AQ37" s="2856"/>
      <c r="AR37" s="2582"/>
      <c r="AS37" s="2583"/>
      <c r="AT37" s="2583"/>
      <c r="AU37" s="2583"/>
      <c r="AV37" s="2582"/>
      <c r="AW37" s="2583"/>
      <c r="AX37" s="2583"/>
      <c r="AY37" s="2583"/>
      <c r="AZ37" s="2582"/>
      <c r="BA37" s="2583"/>
      <c r="BB37" s="2583"/>
      <c r="BC37" s="2583"/>
      <c r="BD37" s="2582"/>
      <c r="BE37" s="2583"/>
      <c r="BF37" s="2583"/>
      <c r="BG37" s="2583"/>
      <c r="BH37" s="2582"/>
      <c r="BI37" s="2583"/>
      <c r="BJ37" s="2583"/>
      <c r="BK37" s="2583"/>
      <c r="BL37" s="2884"/>
      <c r="BM37" s="2583"/>
      <c r="BN37" s="2583"/>
      <c r="BO37" s="2618"/>
      <c r="BP37" s="2690"/>
      <c r="BQ37" s="2691"/>
      <c r="BR37" s="2691"/>
      <c r="BS37" s="2692"/>
      <c r="BT37" s="2370"/>
      <c r="BU37" s="2370"/>
      <c r="BV37" s="2370"/>
      <c r="BW37" s="2370"/>
      <c r="BX37" s="2370"/>
      <c r="BY37" s="2370"/>
      <c r="BZ37" s="2370"/>
      <c r="CA37" s="2370"/>
      <c r="CB37" s="2370"/>
      <c r="CC37" s="2370"/>
      <c r="CD37" s="2370"/>
      <c r="CE37" s="2370"/>
      <c r="CF37" s="2370"/>
      <c r="CG37" s="2370"/>
      <c r="CH37" s="2371"/>
      <c r="CO37" s="2771" t="s">
        <v>1200</v>
      </c>
      <c r="CP37" s="2463"/>
      <c r="CQ37" s="2463"/>
      <c r="CR37" s="2463"/>
      <c r="CS37" s="2463"/>
      <c r="CT37" s="2463"/>
      <c r="CU37" s="2463"/>
      <c r="CV37" s="2585"/>
      <c r="EC37" s="109"/>
      <c r="ED37" s="109"/>
      <c r="EE37" s="109"/>
      <c r="EF37" s="109"/>
      <c r="EG37" s="109"/>
      <c r="EH37" s="109"/>
      <c r="EI37" s="109"/>
      <c r="EJ37" s="109"/>
      <c r="EK37" s="109"/>
      <c r="EL37" s="109"/>
      <c r="EM37" s="109"/>
      <c r="EN37" s="109"/>
      <c r="EO37" s="109"/>
      <c r="EP37" s="109"/>
      <c r="EQ37" s="109"/>
      <c r="ER37" s="109"/>
      <c r="ES37" s="109"/>
      <c r="ET37" s="109"/>
      <c r="EU37" s="109"/>
      <c r="EV37" s="109"/>
    </row>
    <row r="38" spans="1:152" ht="9.6" customHeight="1">
      <c r="A38" s="1"/>
      <c r="B38" s="2884"/>
      <c r="C38" s="2583"/>
      <c r="D38" s="2583"/>
      <c r="E38" s="2583"/>
      <c r="F38" s="2583"/>
      <c r="G38" s="2618"/>
      <c r="H38" s="2582"/>
      <c r="I38" s="2583"/>
      <c r="J38" s="2583"/>
      <c r="K38" s="2618"/>
      <c r="L38" s="2822" t="s">
        <v>434</v>
      </c>
      <c r="M38" s="2823"/>
      <c r="N38" s="2823"/>
      <c r="O38" s="2824"/>
      <c r="P38" s="2582"/>
      <c r="Q38" s="2583"/>
      <c r="R38" s="2583"/>
      <c r="S38" s="2618"/>
      <c r="T38" s="2582"/>
      <c r="U38" s="2583"/>
      <c r="V38" s="2583"/>
      <c r="W38" s="2618"/>
      <c r="X38" s="2582"/>
      <c r="Y38" s="2583"/>
      <c r="Z38" s="2583"/>
      <c r="AA38" s="2583"/>
      <c r="AB38" s="2572"/>
      <c r="AC38" s="2573"/>
      <c r="AD38" s="2573"/>
      <c r="AE38" s="2573"/>
      <c r="AF38" s="2884"/>
      <c r="AG38" s="2583"/>
      <c r="AH38" s="2583"/>
      <c r="AI38" s="2829"/>
      <c r="AJ38" s="2578" t="s">
        <v>127</v>
      </c>
      <c r="AK38" s="2579"/>
      <c r="AL38" s="2579"/>
      <c r="AM38" s="2579"/>
      <c r="AN38" s="2578" t="s">
        <v>128</v>
      </c>
      <c r="AO38" s="2579"/>
      <c r="AP38" s="2579"/>
      <c r="AQ38" s="2579"/>
      <c r="AR38" s="2582"/>
      <c r="AS38" s="2583"/>
      <c r="AT38" s="2583"/>
      <c r="AU38" s="2583"/>
      <c r="AV38" s="2582"/>
      <c r="AW38" s="2583"/>
      <c r="AX38" s="2583"/>
      <c r="AY38" s="2583"/>
      <c r="AZ38" s="2582"/>
      <c r="BA38" s="2583"/>
      <c r="BB38" s="2583"/>
      <c r="BC38" s="2583"/>
      <c r="BD38" s="2582"/>
      <c r="BE38" s="2583"/>
      <c r="BF38" s="2583"/>
      <c r="BG38" s="2583"/>
      <c r="BH38" s="2582"/>
      <c r="BI38" s="2583"/>
      <c r="BJ38" s="2583"/>
      <c r="BK38" s="2583"/>
      <c r="BL38" s="2884"/>
      <c r="BM38" s="2583"/>
      <c r="BN38" s="2583"/>
      <c r="BO38" s="2618"/>
      <c r="BP38" s="2690"/>
      <c r="BQ38" s="2691"/>
      <c r="BR38" s="2691"/>
      <c r="BS38" s="2692"/>
      <c r="BT38" s="2370"/>
      <c r="BU38" s="2370"/>
      <c r="BV38" s="2370"/>
      <c r="BW38" s="2370"/>
      <c r="BX38" s="2370"/>
      <c r="BY38" s="2370"/>
      <c r="BZ38" s="2370"/>
      <c r="CA38" s="2370"/>
      <c r="CB38" s="2370"/>
      <c r="CC38" s="2370"/>
      <c r="CD38" s="2370"/>
      <c r="CE38" s="2370"/>
      <c r="CF38" s="2370"/>
      <c r="CG38" s="2370"/>
      <c r="CH38" s="2371"/>
      <c r="CI38" s="23"/>
      <c r="CK38" s="2858" t="s">
        <v>334</v>
      </c>
      <c r="CL38" s="2858"/>
      <c r="CM38" s="2858"/>
      <c r="CO38" s="2771"/>
      <c r="CP38" s="2463"/>
      <c r="CQ38" s="2463"/>
      <c r="CR38" s="2463"/>
      <c r="CS38" s="2463"/>
      <c r="CT38" s="2463"/>
      <c r="CU38" s="2463"/>
      <c r="CV38" s="2585"/>
      <c r="EC38" s="109"/>
      <c r="ED38" s="109"/>
      <c r="EE38" s="109"/>
      <c r="EF38" s="109"/>
      <c r="EG38" s="109"/>
      <c r="EH38" s="109"/>
      <c r="EI38" s="109"/>
      <c r="EJ38" s="109"/>
      <c r="EK38" s="109"/>
      <c r="EL38" s="109"/>
      <c r="EM38" s="109"/>
      <c r="EN38" s="109"/>
      <c r="EO38" s="109"/>
      <c r="EP38" s="109"/>
      <c r="EQ38" s="109"/>
      <c r="ER38" s="109"/>
      <c r="ES38" s="109"/>
      <c r="ET38" s="109"/>
      <c r="EU38" s="109"/>
      <c r="EV38" s="109"/>
    </row>
    <row r="39" spans="1:152" ht="9.6" customHeight="1">
      <c r="A39" s="1"/>
      <c r="B39" s="2884"/>
      <c r="C39" s="2583"/>
      <c r="D39" s="2583"/>
      <c r="E39" s="2583"/>
      <c r="F39" s="2583"/>
      <c r="G39" s="2618"/>
      <c r="H39" s="2582"/>
      <c r="I39" s="2583"/>
      <c r="J39" s="2583"/>
      <c r="K39" s="2618"/>
      <c r="L39" s="2822"/>
      <c r="M39" s="2823"/>
      <c r="N39" s="2823"/>
      <c r="O39" s="2824"/>
      <c r="P39" s="2582"/>
      <c r="Q39" s="2583"/>
      <c r="R39" s="2583"/>
      <c r="S39" s="2618"/>
      <c r="T39" s="2771" t="s">
        <v>13</v>
      </c>
      <c r="U39" s="2463"/>
      <c r="V39" s="2463"/>
      <c r="W39" s="2463"/>
      <c r="X39" s="2771" t="s">
        <v>13</v>
      </c>
      <c r="Y39" s="2463"/>
      <c r="Z39" s="2463"/>
      <c r="AA39" s="2463"/>
      <c r="AB39" s="2806" t="s">
        <v>13</v>
      </c>
      <c r="AC39" s="2807"/>
      <c r="AD39" s="2807"/>
      <c r="AE39" s="2807"/>
      <c r="AF39" s="2802" t="s">
        <v>12</v>
      </c>
      <c r="AG39" s="2463"/>
      <c r="AH39" s="2463"/>
      <c r="AI39" s="2803"/>
      <c r="AJ39" s="2580"/>
      <c r="AK39" s="2581"/>
      <c r="AL39" s="2581"/>
      <c r="AM39" s="2581"/>
      <c r="AN39" s="2580"/>
      <c r="AO39" s="2581"/>
      <c r="AP39" s="2581"/>
      <c r="AQ39" s="2581"/>
      <c r="AR39" s="2582"/>
      <c r="AS39" s="2583"/>
      <c r="AT39" s="2583"/>
      <c r="AU39" s="2583"/>
      <c r="AV39" s="2582"/>
      <c r="AW39" s="2583"/>
      <c r="AX39" s="2583"/>
      <c r="AY39" s="2583"/>
      <c r="AZ39" s="2582"/>
      <c r="BA39" s="2583"/>
      <c r="BB39" s="2583"/>
      <c r="BC39" s="2583"/>
      <c r="BD39" s="2582"/>
      <c r="BE39" s="2583"/>
      <c r="BF39" s="2583"/>
      <c r="BG39" s="2583"/>
      <c r="BH39" s="2771" t="s">
        <v>12</v>
      </c>
      <c r="BI39" s="2463"/>
      <c r="BJ39" s="2463"/>
      <c r="BK39" s="2463"/>
      <c r="BL39" s="2802" t="s">
        <v>12</v>
      </c>
      <c r="BM39" s="2463"/>
      <c r="BN39" s="2463"/>
      <c r="BO39" s="2585"/>
      <c r="BP39" s="2771" t="s">
        <v>12</v>
      </c>
      <c r="BQ39" s="2463"/>
      <c r="BR39" s="2463"/>
      <c r="BS39" s="2803"/>
      <c r="BT39" s="2370"/>
      <c r="BU39" s="2370"/>
      <c r="BV39" s="2370"/>
      <c r="BW39" s="2370"/>
      <c r="BX39" s="2370"/>
      <c r="BY39" s="2370"/>
      <c r="BZ39" s="2370"/>
      <c r="CA39" s="2370"/>
      <c r="CB39" s="2370"/>
      <c r="CC39" s="2370"/>
      <c r="CD39" s="2370"/>
      <c r="CE39" s="2370"/>
      <c r="CF39" s="2370"/>
      <c r="CG39" s="2370"/>
      <c r="CH39" s="2371"/>
      <c r="CI39" s="23"/>
      <c r="CK39" s="2858"/>
      <c r="CL39" s="2858"/>
      <c r="CM39" s="2858"/>
      <c r="CO39" s="2771" t="s">
        <v>1201</v>
      </c>
      <c r="CP39" s="2463"/>
      <c r="CQ39" s="2463"/>
      <c r="CR39" s="2463"/>
      <c r="CS39" s="2463"/>
      <c r="CT39" s="2463"/>
      <c r="CU39" s="2463"/>
      <c r="CV39" s="2585"/>
      <c r="EC39" s="109"/>
      <c r="ED39" s="109"/>
      <c r="EE39" s="109"/>
      <c r="EF39" s="109"/>
      <c r="EG39" s="109"/>
      <c r="EH39" s="109"/>
      <c r="EI39" s="109"/>
      <c r="EJ39" s="109"/>
      <c r="EK39" s="109"/>
      <c r="EL39" s="109"/>
      <c r="EM39" s="109"/>
      <c r="EN39" s="109"/>
      <c r="EO39" s="109"/>
      <c r="EP39" s="109"/>
      <c r="EQ39" s="109"/>
      <c r="ER39" s="109"/>
      <c r="ES39" s="109"/>
      <c r="ET39" s="109"/>
      <c r="EU39" s="109"/>
      <c r="EV39" s="109"/>
    </row>
    <row r="40" spans="1:152" ht="9.6" customHeight="1">
      <c r="A40" s="1"/>
      <c r="B40" s="2884"/>
      <c r="C40" s="2583"/>
      <c r="D40" s="2583"/>
      <c r="E40" s="2583"/>
      <c r="F40" s="2583"/>
      <c r="G40" s="2618"/>
      <c r="H40" s="2582"/>
      <c r="I40" s="2583"/>
      <c r="J40" s="2583"/>
      <c r="K40" s="2618"/>
      <c r="L40" s="2822" t="s">
        <v>433</v>
      </c>
      <c r="M40" s="2823"/>
      <c r="N40" s="2823"/>
      <c r="O40" s="2824"/>
      <c r="P40" s="2582"/>
      <c r="Q40" s="2583"/>
      <c r="R40" s="2583"/>
      <c r="S40" s="2618"/>
      <c r="T40" s="2771"/>
      <c r="U40" s="2463"/>
      <c r="V40" s="2463"/>
      <c r="W40" s="2463"/>
      <c r="X40" s="2771"/>
      <c r="Y40" s="2463"/>
      <c r="Z40" s="2463"/>
      <c r="AA40" s="2463"/>
      <c r="AB40" s="2806"/>
      <c r="AC40" s="2807"/>
      <c r="AD40" s="2807"/>
      <c r="AE40" s="2807"/>
      <c r="AF40" s="2802"/>
      <c r="AG40" s="2463"/>
      <c r="AH40" s="2463"/>
      <c r="AI40" s="2803"/>
      <c r="AJ40" s="2619" t="s">
        <v>129</v>
      </c>
      <c r="AK40" s="2620"/>
      <c r="AL40" s="2620"/>
      <c r="AM40" s="2620"/>
      <c r="AN40" s="2620"/>
      <c r="AO40" s="2620"/>
      <c r="AP40" s="2620"/>
      <c r="AQ40" s="2621"/>
      <c r="AR40" s="2582"/>
      <c r="AS40" s="2583"/>
      <c r="AT40" s="2583"/>
      <c r="AU40" s="2583"/>
      <c r="AV40" s="2582"/>
      <c r="AW40" s="2583"/>
      <c r="AX40" s="2583"/>
      <c r="AY40" s="2583"/>
      <c r="AZ40" s="2582"/>
      <c r="BA40" s="2583"/>
      <c r="BB40" s="2583"/>
      <c r="BC40" s="2583"/>
      <c r="BD40" s="2582"/>
      <c r="BE40" s="2583"/>
      <c r="BF40" s="2583"/>
      <c r="BG40" s="2583"/>
      <c r="BH40" s="2771"/>
      <c r="BI40" s="2463"/>
      <c r="BJ40" s="2463"/>
      <c r="BK40" s="2463"/>
      <c r="BL40" s="2802"/>
      <c r="BM40" s="2463"/>
      <c r="BN40" s="2463"/>
      <c r="BO40" s="2585"/>
      <c r="BP40" s="2771"/>
      <c r="BQ40" s="2463"/>
      <c r="BR40" s="2463"/>
      <c r="BS40" s="2803"/>
      <c r="BT40" s="2370"/>
      <c r="BU40" s="2370"/>
      <c r="BV40" s="2370"/>
      <c r="BW40" s="2370"/>
      <c r="BX40" s="2370"/>
      <c r="BY40" s="2370"/>
      <c r="BZ40" s="2370"/>
      <c r="CA40" s="2370"/>
      <c r="CB40" s="2370"/>
      <c r="CC40" s="2370"/>
      <c r="CD40" s="2370"/>
      <c r="CE40" s="2370"/>
      <c r="CF40" s="2370"/>
      <c r="CG40" s="2370"/>
      <c r="CH40" s="2371"/>
      <c r="CI40" s="23"/>
      <c r="CK40" s="2858"/>
      <c r="CL40" s="2858"/>
      <c r="CM40" s="2858"/>
      <c r="CO40" s="2771"/>
      <c r="CP40" s="2463"/>
      <c r="CQ40" s="2463"/>
      <c r="CR40" s="2463"/>
      <c r="CS40" s="2463"/>
      <c r="CT40" s="2463"/>
      <c r="CU40" s="2463"/>
      <c r="CV40" s="2585"/>
      <c r="EC40" s="109"/>
      <c r="ED40" s="109"/>
      <c r="EE40" s="109"/>
      <c r="EF40" s="109"/>
      <c r="EG40" s="109"/>
      <c r="EH40" s="109"/>
      <c r="EI40" s="109"/>
      <c r="EJ40" s="109"/>
      <c r="EK40" s="109"/>
      <c r="EL40" s="109"/>
      <c r="EM40" s="109"/>
      <c r="EN40" s="109"/>
      <c r="EO40" s="109"/>
      <c r="EP40" s="109"/>
      <c r="EQ40" s="109"/>
      <c r="ER40" s="109"/>
      <c r="ES40" s="109"/>
      <c r="ET40" s="109"/>
      <c r="EU40" s="109"/>
      <c r="EV40" s="109"/>
    </row>
    <row r="41" spans="1:152" ht="9.6" customHeight="1">
      <c r="A41" s="1"/>
      <c r="B41" s="2884"/>
      <c r="C41" s="2583"/>
      <c r="D41" s="2583"/>
      <c r="E41" s="2583"/>
      <c r="F41" s="2583"/>
      <c r="G41" s="2618"/>
      <c r="H41" s="2582"/>
      <c r="I41" s="2583"/>
      <c r="J41" s="2583"/>
      <c r="K41" s="2618"/>
      <c r="L41" s="2825"/>
      <c r="M41" s="2826"/>
      <c r="N41" s="2826"/>
      <c r="O41" s="2827"/>
      <c r="P41" s="2584"/>
      <c r="Q41" s="2536"/>
      <c r="R41" s="2536"/>
      <c r="S41" s="2537"/>
      <c r="T41" s="2772"/>
      <c r="U41" s="2586"/>
      <c r="V41" s="2586"/>
      <c r="W41" s="2586"/>
      <c r="X41" s="2772"/>
      <c r="Y41" s="2586"/>
      <c r="Z41" s="2586"/>
      <c r="AA41" s="2586"/>
      <c r="AB41" s="2808"/>
      <c r="AC41" s="2809"/>
      <c r="AD41" s="2809"/>
      <c r="AE41" s="2809"/>
      <c r="AF41" s="2804"/>
      <c r="AG41" s="2586"/>
      <c r="AH41" s="2586"/>
      <c r="AI41" s="2805"/>
      <c r="AJ41" s="2622"/>
      <c r="AK41" s="2622"/>
      <c r="AL41" s="2622"/>
      <c r="AM41" s="2622"/>
      <c r="AN41" s="2622"/>
      <c r="AO41" s="2622"/>
      <c r="AP41" s="2622"/>
      <c r="AQ41" s="2623"/>
      <c r="AR41" s="2584"/>
      <c r="AS41" s="2536"/>
      <c r="AT41" s="2536"/>
      <c r="AU41" s="2536"/>
      <c r="AV41" s="2584"/>
      <c r="AW41" s="2536"/>
      <c r="AX41" s="2536"/>
      <c r="AY41" s="2536"/>
      <c r="AZ41" s="2584"/>
      <c r="BA41" s="2536"/>
      <c r="BB41" s="2536"/>
      <c r="BC41" s="2536"/>
      <c r="BD41" s="2584"/>
      <c r="BE41" s="2536"/>
      <c r="BF41" s="2536"/>
      <c r="BG41" s="2536"/>
      <c r="BH41" s="2772"/>
      <c r="BI41" s="2586"/>
      <c r="BJ41" s="2586"/>
      <c r="BK41" s="2586"/>
      <c r="BL41" s="2804"/>
      <c r="BM41" s="2586"/>
      <c r="BN41" s="2586"/>
      <c r="BO41" s="2587"/>
      <c r="BP41" s="2772"/>
      <c r="BQ41" s="2586"/>
      <c r="BR41" s="2586"/>
      <c r="BS41" s="2805"/>
      <c r="BT41" s="2372"/>
      <c r="BU41" s="2372"/>
      <c r="BV41" s="2372"/>
      <c r="BW41" s="2372"/>
      <c r="BX41" s="2372"/>
      <c r="BY41" s="2372"/>
      <c r="BZ41" s="2372"/>
      <c r="CA41" s="2372"/>
      <c r="CB41" s="2372"/>
      <c r="CC41" s="2372"/>
      <c r="CD41" s="2372"/>
      <c r="CE41" s="2372"/>
      <c r="CF41" s="2372"/>
      <c r="CG41" s="2372"/>
      <c r="CH41" s="2373"/>
      <c r="CI41" s="23"/>
      <c r="CJ41" s="23"/>
      <c r="CK41" s="2858"/>
      <c r="CL41" s="2858"/>
      <c r="CM41" s="2858"/>
      <c r="CO41" s="2772"/>
      <c r="CP41" s="2586"/>
      <c r="CQ41" s="2586"/>
      <c r="CR41" s="2586"/>
      <c r="CS41" s="2586"/>
      <c r="CT41" s="2586"/>
      <c r="CU41" s="2586"/>
      <c r="CV41" s="2587"/>
      <c r="EC41" s="109"/>
      <c r="ED41" s="109"/>
      <c r="EE41" s="109"/>
      <c r="EF41" s="109"/>
      <c r="EG41" s="109"/>
      <c r="EH41" s="109"/>
      <c r="EI41" s="109"/>
      <c r="EJ41" s="109"/>
      <c r="EK41" s="109"/>
      <c r="EL41" s="109"/>
      <c r="EM41" s="109"/>
      <c r="EN41" s="109"/>
      <c r="EO41" s="109"/>
      <c r="EP41" s="109"/>
      <c r="EQ41" s="109"/>
      <c r="ER41" s="109"/>
      <c r="ES41" s="109"/>
      <c r="ET41" s="109"/>
      <c r="EU41" s="109"/>
      <c r="EV41" s="109"/>
    </row>
    <row r="42" spans="1:152" ht="9.6" customHeight="1">
      <c r="A42" s="2518">
        <v>11</v>
      </c>
      <c r="B42" s="2525"/>
      <c r="C42" s="2520"/>
      <c r="D42" s="2520"/>
      <c r="E42" s="2520"/>
      <c r="F42" s="2520"/>
      <c r="G42" s="2529"/>
      <c r="H42" s="2503"/>
      <c r="I42" s="2504"/>
      <c r="J42" s="2504"/>
      <c r="K42" s="2505"/>
      <c r="L42" s="2474"/>
      <c r="M42" s="2475"/>
      <c r="N42" s="2475"/>
      <c r="O42" s="2476"/>
      <c r="P42" s="2503"/>
      <c r="Q42" s="2504"/>
      <c r="R42" s="2504"/>
      <c r="S42" s="2505"/>
      <c r="T42" s="2420"/>
      <c r="U42" s="2421"/>
      <c r="V42" s="2421"/>
      <c r="W42" s="2450"/>
      <c r="X42" s="2420"/>
      <c r="Y42" s="2421"/>
      <c r="Z42" s="2421"/>
      <c r="AA42" s="2450"/>
      <c r="AB42" s="2881" t="str">
        <f>IF(L42="REJECTED",'Concr. Pg 1'!AB87,IF(X42="","",IF(N$22="","",N$22-X42)))</f>
        <v/>
      </c>
      <c r="AC42" s="2881"/>
      <c r="AD42" s="2881"/>
      <c r="AE42" s="2882"/>
      <c r="AF42" s="2440"/>
      <c r="AG42" s="2421"/>
      <c r="AH42" s="2421"/>
      <c r="AI42" s="2441"/>
      <c r="AJ42" s="2438"/>
      <c r="AK42" s="2356"/>
      <c r="AL42" s="2356"/>
      <c r="AM42" s="2356"/>
      <c r="AN42" s="2438"/>
      <c r="AO42" s="2356"/>
      <c r="AP42" s="2356"/>
      <c r="AQ42" s="2356"/>
      <c r="AR42" s="2356"/>
      <c r="AS42" s="2356"/>
      <c r="AT42" s="2356"/>
      <c r="AU42" s="2356"/>
      <c r="AV42" s="2356"/>
      <c r="AW42" s="2356"/>
      <c r="AX42" s="2356"/>
      <c r="AY42" s="2880"/>
      <c r="AZ42" s="2356"/>
      <c r="BA42" s="2356"/>
      <c r="BB42" s="2356"/>
      <c r="BC42" s="2880"/>
      <c r="BD42" s="2356"/>
      <c r="BE42" s="2356"/>
      <c r="BF42" s="2356"/>
      <c r="BG42" s="2880"/>
      <c r="BH42" s="2356"/>
      <c r="BI42" s="2356"/>
      <c r="BJ42" s="2356"/>
      <c r="BK42" s="2880"/>
      <c r="BL42" s="2885" t="str">
        <f>IF(OR(L42="REJECTED",L42="Not Placed"),0,IF(AF42="","",SUM(AF42:AM45)-SUM(AN42:BK45)))</f>
        <v/>
      </c>
      <c r="BM42" s="2375"/>
      <c r="BN42" s="2375"/>
      <c r="BO42" s="2375"/>
      <c r="BP42" s="2375" t="str">
        <f>IF(L42="REJECTED",'Concr. Pg 1'!BP87,IF(AF42="","",BL42+'Concr. Pg 1'!BP87))</f>
        <v/>
      </c>
      <c r="BQ42" s="2375"/>
      <c r="BR42" s="2375"/>
      <c r="BS42" s="2376"/>
      <c r="BT42" s="2577"/>
      <c r="BU42" s="2368"/>
      <c r="BV42" s="2368"/>
      <c r="BW42" s="2368"/>
      <c r="BX42" s="2368"/>
      <c r="BY42" s="2368"/>
      <c r="BZ42" s="2368"/>
      <c r="CA42" s="2368"/>
      <c r="CB42" s="2368"/>
      <c r="CC42" s="2368"/>
      <c r="CD42" s="2368"/>
      <c r="CE42" s="2368"/>
      <c r="CF42" s="2368"/>
      <c r="CG42" s="2368"/>
      <c r="CH42" s="2369"/>
      <c r="CI42" s="2886">
        <v>11</v>
      </c>
      <c r="CJ42" s="2886"/>
      <c r="CK42" s="2857" t="e">
        <f>'Concr. Curve'!BL45</f>
        <v>#DIV/0!</v>
      </c>
      <c r="CL42" s="2857"/>
      <c r="CM42" s="2857"/>
      <c r="CQ42" s="2742" t="str">
        <f t="shared" ref="CQ42" si="0">IF(OR(P42="",H42=""),"",MOD(P42-H42,1)*24*60)</f>
        <v/>
      </c>
      <c r="CR42" s="2743"/>
      <c r="CS42" s="2743"/>
      <c r="CT42" s="2744"/>
      <c r="EC42" s="109"/>
      <c r="ED42" s="109"/>
      <c r="EE42" s="109"/>
      <c r="EF42" s="109"/>
      <c r="EG42" s="109"/>
      <c r="EH42" s="109"/>
      <c r="EI42" s="109"/>
      <c r="EJ42" s="109"/>
      <c r="EK42" s="109"/>
      <c r="EL42" s="109"/>
      <c r="EM42" s="109"/>
      <c r="EN42" s="109"/>
      <c r="EO42" s="109"/>
      <c r="EP42" s="109"/>
      <c r="EQ42" s="109"/>
      <c r="ER42" s="109"/>
      <c r="ES42" s="109"/>
      <c r="ET42" s="109"/>
      <c r="EU42" s="109"/>
      <c r="EV42" s="109"/>
    </row>
    <row r="43" spans="1:152" ht="9.6" customHeight="1">
      <c r="A43" s="2518"/>
      <c r="B43" s="2530"/>
      <c r="C43" s="2522"/>
      <c r="D43" s="2522"/>
      <c r="E43" s="2522"/>
      <c r="F43" s="2522"/>
      <c r="G43" s="2527"/>
      <c r="H43" s="2506"/>
      <c r="I43" s="2507"/>
      <c r="J43" s="2507"/>
      <c r="K43" s="2508"/>
      <c r="L43" s="2477"/>
      <c r="M43" s="2478"/>
      <c r="N43" s="2478"/>
      <c r="O43" s="2479"/>
      <c r="P43" s="2506"/>
      <c r="Q43" s="2507"/>
      <c r="R43" s="2507"/>
      <c r="S43" s="2508"/>
      <c r="T43" s="2422"/>
      <c r="U43" s="2297"/>
      <c r="V43" s="2297"/>
      <c r="W43" s="2451"/>
      <c r="X43" s="2422"/>
      <c r="Y43" s="2297"/>
      <c r="Z43" s="2297"/>
      <c r="AA43" s="2451"/>
      <c r="AB43" s="2881"/>
      <c r="AC43" s="2881"/>
      <c r="AD43" s="2881"/>
      <c r="AE43" s="2882"/>
      <c r="AF43" s="2446"/>
      <c r="AG43" s="2297"/>
      <c r="AH43" s="2297"/>
      <c r="AI43" s="2447"/>
      <c r="AJ43" s="2438"/>
      <c r="AK43" s="2356"/>
      <c r="AL43" s="2356"/>
      <c r="AM43" s="2356"/>
      <c r="AN43" s="2438"/>
      <c r="AO43" s="2356"/>
      <c r="AP43" s="2356"/>
      <c r="AQ43" s="2356"/>
      <c r="AR43" s="2356"/>
      <c r="AS43" s="2356"/>
      <c r="AT43" s="2356"/>
      <c r="AU43" s="2356"/>
      <c r="AV43" s="2356"/>
      <c r="AW43" s="2356"/>
      <c r="AX43" s="2356"/>
      <c r="AY43" s="2880"/>
      <c r="AZ43" s="2356"/>
      <c r="BA43" s="2356"/>
      <c r="BB43" s="2356"/>
      <c r="BC43" s="2880"/>
      <c r="BD43" s="2356"/>
      <c r="BE43" s="2356"/>
      <c r="BF43" s="2356"/>
      <c r="BG43" s="2880"/>
      <c r="BH43" s="2356"/>
      <c r="BI43" s="2356"/>
      <c r="BJ43" s="2356"/>
      <c r="BK43" s="2880"/>
      <c r="BL43" s="2885"/>
      <c r="BM43" s="2375"/>
      <c r="BN43" s="2375"/>
      <c r="BO43" s="2375"/>
      <c r="BP43" s="2375"/>
      <c r="BQ43" s="2375"/>
      <c r="BR43" s="2375"/>
      <c r="BS43" s="2376"/>
      <c r="BT43" s="2370"/>
      <c r="BU43" s="2370"/>
      <c r="BV43" s="2370"/>
      <c r="BW43" s="2370"/>
      <c r="BX43" s="2370"/>
      <c r="BY43" s="2370"/>
      <c r="BZ43" s="2370"/>
      <c r="CA43" s="2370"/>
      <c r="CB43" s="2370"/>
      <c r="CC43" s="2370"/>
      <c r="CD43" s="2370"/>
      <c r="CE43" s="2370"/>
      <c r="CF43" s="2370"/>
      <c r="CG43" s="2370"/>
      <c r="CH43" s="2371"/>
      <c r="CI43" s="2886"/>
      <c r="CJ43" s="2886"/>
      <c r="CK43" s="2857"/>
      <c r="CL43" s="2857"/>
      <c r="CM43" s="2857"/>
      <c r="CQ43" s="2742"/>
      <c r="CR43" s="2743"/>
      <c r="CS43" s="2743"/>
      <c r="CT43" s="2744"/>
      <c r="EC43" s="109"/>
      <c r="ED43" s="109"/>
      <c r="EE43" s="109"/>
      <c r="EF43" s="109"/>
      <c r="EG43" s="109"/>
      <c r="EH43" s="109"/>
      <c r="EI43" s="109"/>
      <c r="EJ43" s="109"/>
      <c r="EK43" s="109"/>
      <c r="EL43" s="109"/>
      <c r="EM43" s="109"/>
      <c r="EN43" s="109"/>
      <c r="EO43" s="109"/>
      <c r="EP43" s="109"/>
      <c r="EQ43" s="109"/>
      <c r="ER43" s="109"/>
      <c r="ES43" s="109"/>
      <c r="ET43" s="109"/>
      <c r="EU43" s="109"/>
      <c r="EV43" s="109"/>
    </row>
    <row r="44" spans="1:152" ht="9.6" customHeight="1">
      <c r="A44" s="2518"/>
      <c r="B44" s="2530"/>
      <c r="C44" s="2522"/>
      <c r="D44" s="2522"/>
      <c r="E44" s="2522"/>
      <c r="F44" s="2522"/>
      <c r="G44" s="2527"/>
      <c r="H44" s="2506"/>
      <c r="I44" s="2507"/>
      <c r="J44" s="2507"/>
      <c r="K44" s="2508"/>
      <c r="L44" s="2477"/>
      <c r="M44" s="2478"/>
      <c r="N44" s="2478"/>
      <c r="O44" s="2479"/>
      <c r="P44" s="2506"/>
      <c r="Q44" s="2507"/>
      <c r="R44" s="2507"/>
      <c r="S44" s="2508"/>
      <c r="T44" s="2422"/>
      <c r="U44" s="2297"/>
      <c r="V44" s="2297"/>
      <c r="W44" s="2451"/>
      <c r="X44" s="2422"/>
      <c r="Y44" s="2297"/>
      <c r="Z44" s="2297"/>
      <c r="AA44" s="2451"/>
      <c r="AB44" s="2881"/>
      <c r="AC44" s="2881"/>
      <c r="AD44" s="2881"/>
      <c r="AE44" s="2882"/>
      <c r="AF44" s="2446"/>
      <c r="AG44" s="2297"/>
      <c r="AH44" s="2297"/>
      <c r="AI44" s="2447"/>
      <c r="AJ44" s="2438"/>
      <c r="AK44" s="2356"/>
      <c r="AL44" s="2356"/>
      <c r="AM44" s="2356"/>
      <c r="AN44" s="2438"/>
      <c r="AO44" s="2356"/>
      <c r="AP44" s="2356"/>
      <c r="AQ44" s="2356"/>
      <c r="AR44" s="2356"/>
      <c r="AS44" s="2356"/>
      <c r="AT44" s="2356"/>
      <c r="AU44" s="2356"/>
      <c r="AV44" s="2356"/>
      <c r="AW44" s="2356"/>
      <c r="AX44" s="2356"/>
      <c r="AY44" s="2880"/>
      <c r="AZ44" s="2356"/>
      <c r="BA44" s="2356"/>
      <c r="BB44" s="2356"/>
      <c r="BC44" s="2880"/>
      <c r="BD44" s="2356"/>
      <c r="BE44" s="2356"/>
      <c r="BF44" s="2356"/>
      <c r="BG44" s="2880"/>
      <c r="BH44" s="2356"/>
      <c r="BI44" s="2356"/>
      <c r="BJ44" s="2356"/>
      <c r="BK44" s="2880"/>
      <c r="BL44" s="2885"/>
      <c r="BM44" s="2375"/>
      <c r="BN44" s="2375"/>
      <c r="BO44" s="2375"/>
      <c r="BP44" s="2375"/>
      <c r="BQ44" s="2375"/>
      <c r="BR44" s="2375"/>
      <c r="BS44" s="2376"/>
      <c r="BT44" s="2370"/>
      <c r="BU44" s="2370"/>
      <c r="BV44" s="2370"/>
      <c r="BW44" s="2370"/>
      <c r="BX44" s="2370"/>
      <c r="BY44" s="2370"/>
      <c r="BZ44" s="2370"/>
      <c r="CA44" s="2370"/>
      <c r="CB44" s="2370"/>
      <c r="CC44" s="2370"/>
      <c r="CD44" s="2370"/>
      <c r="CE44" s="2370"/>
      <c r="CF44" s="2370"/>
      <c r="CG44" s="2370"/>
      <c r="CH44" s="2371"/>
      <c r="CI44" s="2886"/>
      <c r="CJ44" s="2886"/>
      <c r="CK44" s="2857"/>
      <c r="CL44" s="2857"/>
      <c r="CM44" s="2857"/>
      <c r="CQ44" s="2742"/>
      <c r="CR44" s="2743"/>
      <c r="CS44" s="2743"/>
      <c r="CT44" s="2744"/>
      <c r="EC44" s="109"/>
      <c r="ED44" s="109"/>
      <c r="EE44" s="109"/>
      <c r="EF44" s="109"/>
      <c r="EG44" s="109"/>
      <c r="EH44" s="109"/>
      <c r="EI44" s="109"/>
      <c r="EJ44" s="109"/>
      <c r="EK44" s="109"/>
      <c r="EL44" s="109"/>
      <c r="EM44" s="109"/>
      <c r="EN44" s="109"/>
      <c r="EO44" s="109"/>
      <c r="EP44" s="109"/>
      <c r="EQ44" s="109"/>
      <c r="ER44" s="109"/>
      <c r="ES44" s="109"/>
      <c r="ET44" s="109"/>
      <c r="EU44" s="109"/>
      <c r="EV44" s="109"/>
    </row>
    <row r="45" spans="1:152" ht="9.6" customHeight="1">
      <c r="A45" s="2518"/>
      <c r="B45" s="2523"/>
      <c r="C45" s="2524"/>
      <c r="D45" s="2524"/>
      <c r="E45" s="2524"/>
      <c r="F45" s="2524"/>
      <c r="G45" s="2528"/>
      <c r="H45" s="2509"/>
      <c r="I45" s="2510"/>
      <c r="J45" s="2510"/>
      <c r="K45" s="2511"/>
      <c r="L45" s="2480"/>
      <c r="M45" s="2481"/>
      <c r="N45" s="2481"/>
      <c r="O45" s="2482"/>
      <c r="P45" s="2509"/>
      <c r="Q45" s="2510"/>
      <c r="R45" s="2510"/>
      <c r="S45" s="2511"/>
      <c r="T45" s="2439"/>
      <c r="U45" s="2298"/>
      <c r="V45" s="2298"/>
      <c r="W45" s="2452"/>
      <c r="X45" s="2439"/>
      <c r="Y45" s="2298"/>
      <c r="Z45" s="2298"/>
      <c r="AA45" s="2452"/>
      <c r="AB45" s="2881"/>
      <c r="AC45" s="2881"/>
      <c r="AD45" s="2881"/>
      <c r="AE45" s="2882"/>
      <c r="AF45" s="2444"/>
      <c r="AG45" s="2298"/>
      <c r="AH45" s="2298"/>
      <c r="AI45" s="2445"/>
      <c r="AJ45" s="2438"/>
      <c r="AK45" s="2356"/>
      <c r="AL45" s="2356"/>
      <c r="AM45" s="2356"/>
      <c r="AN45" s="2438"/>
      <c r="AO45" s="2356"/>
      <c r="AP45" s="2356"/>
      <c r="AQ45" s="2356"/>
      <c r="AR45" s="2356"/>
      <c r="AS45" s="2356"/>
      <c r="AT45" s="2356"/>
      <c r="AU45" s="2356"/>
      <c r="AV45" s="2356"/>
      <c r="AW45" s="2356"/>
      <c r="AX45" s="2356"/>
      <c r="AY45" s="2880"/>
      <c r="AZ45" s="2356"/>
      <c r="BA45" s="2356"/>
      <c r="BB45" s="2356"/>
      <c r="BC45" s="2880"/>
      <c r="BD45" s="2356"/>
      <c r="BE45" s="2356"/>
      <c r="BF45" s="2356"/>
      <c r="BG45" s="2880"/>
      <c r="BH45" s="2356"/>
      <c r="BI45" s="2356"/>
      <c r="BJ45" s="2356"/>
      <c r="BK45" s="2880"/>
      <c r="BL45" s="2885"/>
      <c r="BM45" s="2375"/>
      <c r="BN45" s="2375"/>
      <c r="BO45" s="2375"/>
      <c r="BP45" s="2375"/>
      <c r="BQ45" s="2375"/>
      <c r="BR45" s="2375"/>
      <c r="BS45" s="2376"/>
      <c r="BT45" s="2372"/>
      <c r="BU45" s="2372"/>
      <c r="BV45" s="2372"/>
      <c r="BW45" s="2372"/>
      <c r="BX45" s="2372"/>
      <c r="BY45" s="2372"/>
      <c r="BZ45" s="2372"/>
      <c r="CA45" s="2372"/>
      <c r="CB45" s="2372"/>
      <c r="CC45" s="2372"/>
      <c r="CD45" s="2372"/>
      <c r="CE45" s="2372"/>
      <c r="CF45" s="2372"/>
      <c r="CG45" s="2372"/>
      <c r="CH45" s="2373"/>
      <c r="CI45" s="2886"/>
      <c r="CJ45" s="2886"/>
      <c r="CK45" s="2857"/>
      <c r="CL45" s="2857"/>
      <c r="CM45" s="2857"/>
      <c r="CQ45" s="2745"/>
      <c r="CR45" s="2746"/>
      <c r="CS45" s="2746"/>
      <c r="CT45" s="2747"/>
      <c r="EC45" s="109"/>
      <c r="ED45" s="109"/>
      <c r="EE45" s="109"/>
      <c r="EF45" s="109"/>
      <c r="EG45" s="109"/>
      <c r="EH45" s="109"/>
      <c r="EI45" s="109"/>
      <c r="EJ45" s="109"/>
      <c r="EK45" s="109"/>
      <c r="EL45" s="109"/>
      <c r="EM45" s="109"/>
      <c r="EN45" s="109"/>
      <c r="EO45" s="109"/>
      <c r="EP45" s="109"/>
      <c r="EQ45" s="109"/>
      <c r="ER45" s="109"/>
      <c r="ES45" s="109"/>
      <c r="ET45" s="109"/>
      <c r="EU45" s="109"/>
      <c r="EV45" s="109"/>
    </row>
    <row r="46" spans="1:152" ht="9.6" customHeight="1">
      <c r="A46" s="2518">
        <v>12</v>
      </c>
      <c r="B46" s="2525"/>
      <c r="C46" s="2520"/>
      <c r="D46" s="2520"/>
      <c r="E46" s="2520"/>
      <c r="F46" s="2520"/>
      <c r="G46" s="2529"/>
      <c r="H46" s="2503"/>
      <c r="I46" s="2504"/>
      <c r="J46" s="2504"/>
      <c r="K46" s="2505"/>
      <c r="L46" s="2474"/>
      <c r="M46" s="2475"/>
      <c r="N46" s="2475"/>
      <c r="O46" s="2476"/>
      <c r="P46" s="2503"/>
      <c r="Q46" s="2504"/>
      <c r="R46" s="2504"/>
      <c r="S46" s="2505"/>
      <c r="T46" s="2420"/>
      <c r="U46" s="2421"/>
      <c r="V46" s="2421"/>
      <c r="W46" s="2450"/>
      <c r="X46" s="2420"/>
      <c r="Y46" s="2421"/>
      <c r="Z46" s="2421"/>
      <c r="AA46" s="2450"/>
      <c r="AB46" s="2881" t="str">
        <f>IF(L46="REJECTED",AB42,IF(X46="","",IF(N$22="","",N$22-X46)))</f>
        <v/>
      </c>
      <c r="AC46" s="2881"/>
      <c r="AD46" s="2881"/>
      <c r="AE46" s="2882"/>
      <c r="AF46" s="2440"/>
      <c r="AG46" s="2421"/>
      <c r="AH46" s="2421"/>
      <c r="AI46" s="2441"/>
      <c r="AJ46" s="2421"/>
      <c r="AK46" s="2421"/>
      <c r="AL46" s="2421"/>
      <c r="AM46" s="2483"/>
      <c r="AN46" s="2421"/>
      <c r="AO46" s="2421"/>
      <c r="AP46" s="2421"/>
      <c r="AQ46" s="2483"/>
      <c r="AR46" s="2420"/>
      <c r="AS46" s="2421"/>
      <c r="AT46" s="2421"/>
      <c r="AU46" s="2483"/>
      <c r="AV46" s="2356"/>
      <c r="AW46" s="2356"/>
      <c r="AX46" s="2356"/>
      <c r="AY46" s="2880"/>
      <c r="AZ46" s="2356"/>
      <c r="BA46" s="2356"/>
      <c r="BB46" s="2356"/>
      <c r="BC46" s="2880"/>
      <c r="BD46" s="2356"/>
      <c r="BE46" s="2356"/>
      <c r="BF46" s="2356"/>
      <c r="BG46" s="2880"/>
      <c r="BH46" s="2356"/>
      <c r="BI46" s="2356"/>
      <c r="BJ46" s="2356"/>
      <c r="BK46" s="2880"/>
      <c r="BL46" s="2885" t="str">
        <f t="shared" ref="BL46" si="1">IF(OR(L46="REJECTED",L46="Not Placed"),0,IF(AF46="","",SUM(AF46:AM49)-SUM(AN46:BK49)))</f>
        <v/>
      </c>
      <c r="BM46" s="2375"/>
      <c r="BN46" s="2375"/>
      <c r="BO46" s="2375"/>
      <c r="BP46" s="2375" t="str">
        <f>IF(L46="REJECTED",BP42,IF(AF46="","",BP42+BL46))</f>
        <v/>
      </c>
      <c r="BQ46" s="2375"/>
      <c r="BR46" s="2375"/>
      <c r="BS46" s="2376"/>
      <c r="BT46" s="2368"/>
      <c r="BU46" s="2368"/>
      <c r="BV46" s="2368"/>
      <c r="BW46" s="2368"/>
      <c r="BX46" s="2368"/>
      <c r="BY46" s="2368"/>
      <c r="BZ46" s="2368"/>
      <c r="CA46" s="2368"/>
      <c r="CB46" s="2368"/>
      <c r="CC46" s="2368"/>
      <c r="CD46" s="2368"/>
      <c r="CE46" s="2368"/>
      <c r="CF46" s="2368"/>
      <c r="CG46" s="2368"/>
      <c r="CH46" s="2369"/>
      <c r="CI46" s="2886">
        <v>12</v>
      </c>
      <c r="CJ46" s="2886"/>
      <c r="CK46" s="2857" t="e">
        <f>'Concr. Curve'!BL44</f>
        <v>#DIV/0!</v>
      </c>
      <c r="CL46" s="2857"/>
      <c r="CM46" s="2857"/>
      <c r="CQ46" s="2967" t="str">
        <f t="shared" ref="CQ46" si="2">IF(OR(P46="",H46=""),"",MOD(P46-H46,1)*24*60)</f>
        <v/>
      </c>
      <c r="CR46" s="2968"/>
      <c r="CS46" s="2968"/>
      <c r="CT46" s="2969"/>
      <c r="EC46" s="109"/>
      <c r="ED46" s="109"/>
      <c r="EE46" s="109"/>
      <c r="EF46" s="109"/>
      <c r="EG46" s="109"/>
      <c r="EH46" s="109"/>
      <c r="EI46" s="109"/>
      <c r="EJ46" s="109"/>
      <c r="EK46" s="109"/>
      <c r="EL46" s="109"/>
      <c r="EM46" s="109"/>
      <c r="EN46" s="109"/>
      <c r="EO46" s="109"/>
      <c r="EP46" s="109"/>
      <c r="EQ46" s="109"/>
      <c r="ER46" s="109"/>
      <c r="ES46" s="109"/>
      <c r="ET46" s="109"/>
      <c r="EU46" s="109"/>
      <c r="EV46" s="109"/>
    </row>
    <row r="47" spans="1:152" ht="9.6" customHeight="1">
      <c r="A47" s="2518"/>
      <c r="B47" s="2530"/>
      <c r="C47" s="2522"/>
      <c r="D47" s="2522"/>
      <c r="E47" s="2522"/>
      <c r="F47" s="2522"/>
      <c r="G47" s="2527"/>
      <c r="H47" s="2506"/>
      <c r="I47" s="2507"/>
      <c r="J47" s="2507"/>
      <c r="K47" s="2508"/>
      <c r="L47" s="2477"/>
      <c r="M47" s="2478"/>
      <c r="N47" s="2478"/>
      <c r="O47" s="2479"/>
      <c r="P47" s="2506"/>
      <c r="Q47" s="2507"/>
      <c r="R47" s="2507"/>
      <c r="S47" s="2508"/>
      <c r="T47" s="2422"/>
      <c r="U47" s="2297"/>
      <c r="V47" s="2297"/>
      <c r="W47" s="2451"/>
      <c r="X47" s="2422"/>
      <c r="Y47" s="2297"/>
      <c r="Z47" s="2297"/>
      <c r="AA47" s="2451"/>
      <c r="AB47" s="2881"/>
      <c r="AC47" s="2881"/>
      <c r="AD47" s="2881"/>
      <c r="AE47" s="2882"/>
      <c r="AF47" s="2446"/>
      <c r="AG47" s="2297"/>
      <c r="AH47" s="2297"/>
      <c r="AI47" s="2447"/>
      <c r="AJ47" s="2297"/>
      <c r="AK47" s="2297"/>
      <c r="AL47" s="2297"/>
      <c r="AM47" s="2451"/>
      <c r="AN47" s="2297"/>
      <c r="AO47" s="2297"/>
      <c r="AP47" s="2297"/>
      <c r="AQ47" s="2451"/>
      <c r="AR47" s="2422"/>
      <c r="AS47" s="2297"/>
      <c r="AT47" s="2297"/>
      <c r="AU47" s="2451"/>
      <c r="AV47" s="2356"/>
      <c r="AW47" s="2356"/>
      <c r="AX47" s="2356"/>
      <c r="AY47" s="2880"/>
      <c r="AZ47" s="2356"/>
      <c r="BA47" s="2356"/>
      <c r="BB47" s="2356"/>
      <c r="BC47" s="2880"/>
      <c r="BD47" s="2356"/>
      <c r="BE47" s="2356"/>
      <c r="BF47" s="2356"/>
      <c r="BG47" s="2880"/>
      <c r="BH47" s="2356"/>
      <c r="BI47" s="2356"/>
      <c r="BJ47" s="2356"/>
      <c r="BK47" s="2880"/>
      <c r="BL47" s="2885"/>
      <c r="BM47" s="2375"/>
      <c r="BN47" s="2375"/>
      <c r="BO47" s="2375"/>
      <c r="BP47" s="2375"/>
      <c r="BQ47" s="2375"/>
      <c r="BR47" s="2375"/>
      <c r="BS47" s="2376"/>
      <c r="BT47" s="2370"/>
      <c r="BU47" s="2370"/>
      <c r="BV47" s="2370"/>
      <c r="BW47" s="2370"/>
      <c r="BX47" s="2370"/>
      <c r="BY47" s="2370"/>
      <c r="BZ47" s="2370"/>
      <c r="CA47" s="2370"/>
      <c r="CB47" s="2370"/>
      <c r="CC47" s="2370"/>
      <c r="CD47" s="2370"/>
      <c r="CE47" s="2370"/>
      <c r="CF47" s="2370"/>
      <c r="CG47" s="2370"/>
      <c r="CH47" s="2371"/>
      <c r="CI47" s="2886"/>
      <c r="CJ47" s="2886"/>
      <c r="CK47" s="2857"/>
      <c r="CL47" s="2857"/>
      <c r="CM47" s="2857"/>
      <c r="CQ47" s="2742"/>
      <c r="CR47" s="2743"/>
      <c r="CS47" s="2743"/>
      <c r="CT47" s="2744"/>
      <c r="EC47" s="109"/>
      <c r="ED47" s="109"/>
      <c r="EE47" s="109"/>
      <c r="EF47" s="109"/>
      <c r="EG47" s="109"/>
      <c r="EH47" s="109"/>
      <c r="EI47" s="109"/>
      <c r="EJ47" s="109"/>
      <c r="EK47" s="109"/>
      <c r="EL47" s="109"/>
      <c r="EM47" s="109"/>
      <c r="EN47" s="109"/>
      <c r="EO47" s="109"/>
      <c r="EP47" s="109"/>
      <c r="EQ47" s="109"/>
      <c r="ER47" s="109"/>
      <c r="ES47" s="109"/>
      <c r="ET47" s="109"/>
      <c r="EU47" s="109"/>
      <c r="EV47" s="109"/>
    </row>
    <row r="48" spans="1:152" ht="9.6" customHeight="1">
      <c r="A48" s="2518"/>
      <c r="B48" s="2530"/>
      <c r="C48" s="2522"/>
      <c r="D48" s="2522"/>
      <c r="E48" s="2522"/>
      <c r="F48" s="2522"/>
      <c r="G48" s="2527"/>
      <c r="H48" s="2506"/>
      <c r="I48" s="2507"/>
      <c r="J48" s="2507"/>
      <c r="K48" s="2508"/>
      <c r="L48" s="2477"/>
      <c r="M48" s="2478"/>
      <c r="N48" s="2478"/>
      <c r="O48" s="2479"/>
      <c r="P48" s="2506"/>
      <c r="Q48" s="2507"/>
      <c r="R48" s="2507"/>
      <c r="S48" s="2508"/>
      <c r="T48" s="2422"/>
      <c r="U48" s="2297"/>
      <c r="V48" s="2297"/>
      <c r="W48" s="2451"/>
      <c r="X48" s="2422"/>
      <c r="Y48" s="2297"/>
      <c r="Z48" s="2297"/>
      <c r="AA48" s="2451"/>
      <c r="AB48" s="2881"/>
      <c r="AC48" s="2881"/>
      <c r="AD48" s="2881"/>
      <c r="AE48" s="2882"/>
      <c r="AF48" s="2446"/>
      <c r="AG48" s="2297"/>
      <c r="AH48" s="2297"/>
      <c r="AI48" s="2447"/>
      <c r="AJ48" s="2297"/>
      <c r="AK48" s="2297"/>
      <c r="AL48" s="2297"/>
      <c r="AM48" s="2451"/>
      <c r="AN48" s="2297"/>
      <c r="AO48" s="2297"/>
      <c r="AP48" s="2297"/>
      <c r="AQ48" s="2451"/>
      <c r="AR48" s="2422"/>
      <c r="AS48" s="2297"/>
      <c r="AT48" s="2297"/>
      <c r="AU48" s="2451"/>
      <c r="AV48" s="2356"/>
      <c r="AW48" s="2356"/>
      <c r="AX48" s="2356"/>
      <c r="AY48" s="2880"/>
      <c r="AZ48" s="2356"/>
      <c r="BA48" s="2356"/>
      <c r="BB48" s="2356"/>
      <c r="BC48" s="2880"/>
      <c r="BD48" s="2356"/>
      <c r="BE48" s="2356"/>
      <c r="BF48" s="2356"/>
      <c r="BG48" s="2880"/>
      <c r="BH48" s="2356"/>
      <c r="BI48" s="2356"/>
      <c r="BJ48" s="2356"/>
      <c r="BK48" s="2880"/>
      <c r="BL48" s="2885"/>
      <c r="BM48" s="2375"/>
      <c r="BN48" s="2375"/>
      <c r="BO48" s="2375"/>
      <c r="BP48" s="2375"/>
      <c r="BQ48" s="2375"/>
      <c r="BR48" s="2375"/>
      <c r="BS48" s="2376"/>
      <c r="BT48" s="2370"/>
      <c r="BU48" s="2370"/>
      <c r="BV48" s="2370"/>
      <c r="BW48" s="2370"/>
      <c r="BX48" s="2370"/>
      <c r="BY48" s="2370"/>
      <c r="BZ48" s="2370"/>
      <c r="CA48" s="2370"/>
      <c r="CB48" s="2370"/>
      <c r="CC48" s="2370"/>
      <c r="CD48" s="2370"/>
      <c r="CE48" s="2370"/>
      <c r="CF48" s="2370"/>
      <c r="CG48" s="2370"/>
      <c r="CH48" s="2371"/>
      <c r="CI48" s="2886"/>
      <c r="CJ48" s="2886"/>
      <c r="CK48" s="2857"/>
      <c r="CL48" s="2857"/>
      <c r="CM48" s="2857"/>
      <c r="CQ48" s="2742"/>
      <c r="CR48" s="2743"/>
      <c r="CS48" s="2743"/>
      <c r="CT48" s="2744"/>
      <c r="EC48" s="109"/>
      <c r="ED48" s="109"/>
      <c r="EE48" s="109"/>
      <c r="EF48" s="109"/>
      <c r="EG48" s="109"/>
      <c r="EH48" s="109"/>
      <c r="EI48" s="109"/>
      <c r="EJ48" s="109"/>
      <c r="EK48" s="109"/>
      <c r="EL48" s="109"/>
      <c r="EM48" s="109"/>
      <c r="EN48" s="109"/>
      <c r="EO48" s="109"/>
      <c r="EP48" s="109"/>
      <c r="EQ48" s="109"/>
      <c r="ER48" s="109"/>
      <c r="ES48" s="109"/>
      <c r="ET48" s="109"/>
      <c r="EU48" s="109"/>
      <c r="EV48" s="109"/>
    </row>
    <row r="49" spans="1:152" ht="9.6" customHeight="1">
      <c r="A49" s="2518"/>
      <c r="B49" s="2523"/>
      <c r="C49" s="2524"/>
      <c r="D49" s="2524"/>
      <c r="E49" s="2524"/>
      <c r="F49" s="2524"/>
      <c r="G49" s="2528"/>
      <c r="H49" s="2509"/>
      <c r="I49" s="2510"/>
      <c r="J49" s="2510"/>
      <c r="K49" s="2511"/>
      <c r="L49" s="2480"/>
      <c r="M49" s="2481"/>
      <c r="N49" s="2481"/>
      <c r="O49" s="2482"/>
      <c r="P49" s="2509"/>
      <c r="Q49" s="2510"/>
      <c r="R49" s="2510"/>
      <c r="S49" s="2511"/>
      <c r="T49" s="2439"/>
      <c r="U49" s="2298"/>
      <c r="V49" s="2298"/>
      <c r="W49" s="2452"/>
      <c r="X49" s="2439"/>
      <c r="Y49" s="2298"/>
      <c r="Z49" s="2298"/>
      <c r="AA49" s="2452"/>
      <c r="AB49" s="2881"/>
      <c r="AC49" s="2881"/>
      <c r="AD49" s="2881"/>
      <c r="AE49" s="2882"/>
      <c r="AF49" s="2444"/>
      <c r="AG49" s="2298"/>
      <c r="AH49" s="2298"/>
      <c r="AI49" s="2445"/>
      <c r="AJ49" s="2298"/>
      <c r="AK49" s="2298"/>
      <c r="AL49" s="2298"/>
      <c r="AM49" s="2452"/>
      <c r="AN49" s="2298"/>
      <c r="AO49" s="2298"/>
      <c r="AP49" s="2298"/>
      <c r="AQ49" s="2452"/>
      <c r="AR49" s="2439"/>
      <c r="AS49" s="2298"/>
      <c r="AT49" s="2298"/>
      <c r="AU49" s="2452"/>
      <c r="AV49" s="2356"/>
      <c r="AW49" s="2356"/>
      <c r="AX49" s="2356"/>
      <c r="AY49" s="2880"/>
      <c r="AZ49" s="2356"/>
      <c r="BA49" s="2356"/>
      <c r="BB49" s="2356"/>
      <c r="BC49" s="2880"/>
      <c r="BD49" s="2356"/>
      <c r="BE49" s="2356"/>
      <c r="BF49" s="2356"/>
      <c r="BG49" s="2880"/>
      <c r="BH49" s="2356"/>
      <c r="BI49" s="2356"/>
      <c r="BJ49" s="2356"/>
      <c r="BK49" s="2880"/>
      <c r="BL49" s="2885"/>
      <c r="BM49" s="2375"/>
      <c r="BN49" s="2375"/>
      <c r="BO49" s="2375"/>
      <c r="BP49" s="2375"/>
      <c r="BQ49" s="2375"/>
      <c r="BR49" s="2375"/>
      <c r="BS49" s="2376"/>
      <c r="BT49" s="2372"/>
      <c r="BU49" s="2372"/>
      <c r="BV49" s="2372"/>
      <c r="BW49" s="2372"/>
      <c r="BX49" s="2372"/>
      <c r="BY49" s="2372"/>
      <c r="BZ49" s="2372"/>
      <c r="CA49" s="2372"/>
      <c r="CB49" s="2372"/>
      <c r="CC49" s="2372"/>
      <c r="CD49" s="2372"/>
      <c r="CE49" s="2372"/>
      <c r="CF49" s="2372"/>
      <c r="CG49" s="2372"/>
      <c r="CH49" s="2373"/>
      <c r="CI49" s="2886"/>
      <c r="CJ49" s="2886"/>
      <c r="CK49" s="2857"/>
      <c r="CL49" s="2857"/>
      <c r="CM49" s="2857"/>
      <c r="CQ49" s="2745"/>
      <c r="CR49" s="2746"/>
      <c r="CS49" s="2746"/>
      <c r="CT49" s="2747"/>
      <c r="EC49" s="109"/>
      <c r="ED49" s="109"/>
      <c r="EE49" s="109"/>
      <c r="EF49" s="109"/>
      <c r="EG49" s="109"/>
      <c r="EH49" s="109"/>
      <c r="EI49" s="109"/>
      <c r="EJ49" s="109"/>
      <c r="EK49" s="109"/>
      <c r="EL49" s="109"/>
      <c r="EM49" s="109"/>
      <c r="EN49" s="109"/>
      <c r="EO49" s="109"/>
      <c r="EP49" s="109"/>
      <c r="EQ49" s="109"/>
      <c r="ER49" s="109"/>
      <c r="ES49" s="109"/>
      <c r="ET49" s="109"/>
      <c r="EU49" s="109"/>
      <c r="EV49" s="109"/>
    </row>
    <row r="50" spans="1:152" ht="9.6" customHeight="1">
      <c r="A50" s="2518">
        <v>13</v>
      </c>
      <c r="B50" s="2525"/>
      <c r="C50" s="2520"/>
      <c r="D50" s="2520"/>
      <c r="E50" s="2520"/>
      <c r="F50" s="2520"/>
      <c r="G50" s="2529"/>
      <c r="H50" s="2503"/>
      <c r="I50" s="2504"/>
      <c r="J50" s="2504"/>
      <c r="K50" s="2505"/>
      <c r="L50" s="2474"/>
      <c r="M50" s="2475"/>
      <c r="N50" s="2475"/>
      <c r="O50" s="2476"/>
      <c r="P50" s="2503"/>
      <c r="Q50" s="2504"/>
      <c r="R50" s="2504"/>
      <c r="S50" s="2505"/>
      <c r="T50" s="2420"/>
      <c r="U50" s="2421"/>
      <c r="V50" s="2421"/>
      <c r="W50" s="2450"/>
      <c r="X50" s="2420"/>
      <c r="Y50" s="2421"/>
      <c r="Z50" s="2421"/>
      <c r="AA50" s="2450"/>
      <c r="AB50" s="2881" t="str">
        <f t="shared" ref="AB50" si="3">IF(L50="REJECTED",AB46,IF(X50="","",IF(N$22="","",N$22-X50)))</f>
        <v/>
      </c>
      <c r="AC50" s="2881"/>
      <c r="AD50" s="2881"/>
      <c r="AE50" s="2882"/>
      <c r="AF50" s="2440"/>
      <c r="AG50" s="2421"/>
      <c r="AH50" s="2421"/>
      <c r="AI50" s="2441"/>
      <c r="AJ50" s="2421"/>
      <c r="AK50" s="2421"/>
      <c r="AL50" s="2421"/>
      <c r="AM50" s="2483"/>
      <c r="AN50" s="2421"/>
      <c r="AO50" s="2421"/>
      <c r="AP50" s="2421"/>
      <c r="AQ50" s="2483"/>
      <c r="AR50" s="2420"/>
      <c r="AS50" s="2421"/>
      <c r="AT50" s="2421"/>
      <c r="AU50" s="2483"/>
      <c r="AV50" s="2356"/>
      <c r="AW50" s="2356"/>
      <c r="AX50" s="2356"/>
      <c r="AY50" s="2880"/>
      <c r="AZ50" s="2356"/>
      <c r="BA50" s="2356"/>
      <c r="BB50" s="2356"/>
      <c r="BC50" s="2880"/>
      <c r="BD50" s="2356"/>
      <c r="BE50" s="2356"/>
      <c r="BF50" s="2356"/>
      <c r="BG50" s="2880"/>
      <c r="BH50" s="2356"/>
      <c r="BI50" s="2356"/>
      <c r="BJ50" s="2356"/>
      <c r="BK50" s="2880"/>
      <c r="BL50" s="2885" t="str">
        <f t="shared" ref="BL50" si="4">IF(OR(L50="REJECTED",L50="Not Placed"),0,IF(AF50="","",SUM(AF50:AM53)-SUM(AN50:BK53)))</f>
        <v/>
      </c>
      <c r="BM50" s="2375"/>
      <c r="BN50" s="2375"/>
      <c r="BO50" s="2375"/>
      <c r="BP50" s="2375" t="str">
        <f t="shared" ref="BP50" si="5">IF(L50="REJECTED",BP46,IF(AF50="","",BP46+BL50))</f>
        <v/>
      </c>
      <c r="BQ50" s="2375"/>
      <c r="BR50" s="2375"/>
      <c r="BS50" s="2376"/>
      <c r="BT50" s="2368"/>
      <c r="BU50" s="2368"/>
      <c r="BV50" s="2368"/>
      <c r="BW50" s="2368"/>
      <c r="BX50" s="2368"/>
      <c r="BY50" s="2368"/>
      <c r="BZ50" s="2368"/>
      <c r="CA50" s="2368"/>
      <c r="CB50" s="2368"/>
      <c r="CC50" s="2368"/>
      <c r="CD50" s="2368"/>
      <c r="CE50" s="2368"/>
      <c r="CF50" s="2368"/>
      <c r="CG50" s="2368"/>
      <c r="CH50" s="2369"/>
      <c r="CI50" s="2886">
        <v>13</v>
      </c>
      <c r="CJ50" s="2886"/>
      <c r="CK50" s="2857" t="e">
        <f>'Concr. Curve'!BL43</f>
        <v>#DIV/0!</v>
      </c>
      <c r="CL50" s="2857"/>
      <c r="CM50" s="2857"/>
      <c r="CQ50" s="2967" t="str">
        <f t="shared" ref="CQ50" si="6">IF(OR(P50="",H50=""),"",MOD(P50-H50,1)*24*60)</f>
        <v/>
      </c>
      <c r="CR50" s="2968"/>
      <c r="CS50" s="2968"/>
      <c r="CT50" s="2969"/>
      <c r="EC50" s="109"/>
      <c r="ED50" s="109"/>
      <c r="EE50" s="109"/>
      <c r="EF50" s="109"/>
      <c r="EG50" s="109"/>
      <c r="EH50" s="109"/>
      <c r="EI50" s="109"/>
      <c r="EJ50" s="109"/>
      <c r="EK50" s="109"/>
      <c r="EL50" s="109"/>
      <c r="EM50" s="109"/>
      <c r="EN50" s="109"/>
      <c r="EO50" s="109"/>
      <c r="EP50" s="109"/>
      <c r="EQ50" s="109"/>
      <c r="ER50" s="109"/>
      <c r="ES50" s="109"/>
      <c r="ET50" s="109"/>
      <c r="EU50" s="109"/>
      <c r="EV50" s="109"/>
    </row>
    <row r="51" spans="1:152" ht="8.85" customHeight="1">
      <c r="A51" s="2518"/>
      <c r="B51" s="2530"/>
      <c r="C51" s="2522"/>
      <c r="D51" s="2522"/>
      <c r="E51" s="2522"/>
      <c r="F51" s="2522"/>
      <c r="G51" s="2527"/>
      <c r="H51" s="2506"/>
      <c r="I51" s="2507"/>
      <c r="J51" s="2507"/>
      <c r="K51" s="2508"/>
      <c r="L51" s="2477"/>
      <c r="M51" s="2478"/>
      <c r="N51" s="2478"/>
      <c r="O51" s="2479"/>
      <c r="P51" s="2506"/>
      <c r="Q51" s="2507"/>
      <c r="R51" s="2507"/>
      <c r="S51" s="2508"/>
      <c r="T51" s="2422"/>
      <c r="U51" s="2297"/>
      <c r="V51" s="2297"/>
      <c r="W51" s="2451"/>
      <c r="X51" s="2422"/>
      <c r="Y51" s="2297"/>
      <c r="Z51" s="2297"/>
      <c r="AA51" s="2451"/>
      <c r="AB51" s="2881"/>
      <c r="AC51" s="2881"/>
      <c r="AD51" s="2881"/>
      <c r="AE51" s="2882"/>
      <c r="AF51" s="2446"/>
      <c r="AG51" s="2297"/>
      <c r="AH51" s="2297"/>
      <c r="AI51" s="2447"/>
      <c r="AJ51" s="2297"/>
      <c r="AK51" s="2297"/>
      <c r="AL51" s="2297"/>
      <c r="AM51" s="2451"/>
      <c r="AN51" s="2297"/>
      <c r="AO51" s="2297"/>
      <c r="AP51" s="2297"/>
      <c r="AQ51" s="2451"/>
      <c r="AR51" s="2422"/>
      <c r="AS51" s="2297"/>
      <c r="AT51" s="2297"/>
      <c r="AU51" s="2451"/>
      <c r="AV51" s="2356"/>
      <c r="AW51" s="2356"/>
      <c r="AX51" s="2356"/>
      <c r="AY51" s="2880"/>
      <c r="AZ51" s="2356"/>
      <c r="BA51" s="2356"/>
      <c r="BB51" s="2356"/>
      <c r="BC51" s="2880"/>
      <c r="BD51" s="2356"/>
      <c r="BE51" s="2356"/>
      <c r="BF51" s="2356"/>
      <c r="BG51" s="2880"/>
      <c r="BH51" s="2356"/>
      <c r="BI51" s="2356"/>
      <c r="BJ51" s="2356"/>
      <c r="BK51" s="2880"/>
      <c r="BL51" s="2885"/>
      <c r="BM51" s="2375"/>
      <c r="BN51" s="2375"/>
      <c r="BO51" s="2375"/>
      <c r="BP51" s="2375"/>
      <c r="BQ51" s="2375"/>
      <c r="BR51" s="2375"/>
      <c r="BS51" s="2376"/>
      <c r="BT51" s="2370"/>
      <c r="BU51" s="2370"/>
      <c r="BV51" s="2370"/>
      <c r="BW51" s="2370"/>
      <c r="BX51" s="2370"/>
      <c r="BY51" s="2370"/>
      <c r="BZ51" s="2370"/>
      <c r="CA51" s="2370"/>
      <c r="CB51" s="2370"/>
      <c r="CC51" s="2370"/>
      <c r="CD51" s="2370"/>
      <c r="CE51" s="2370"/>
      <c r="CF51" s="2370"/>
      <c r="CG51" s="2370"/>
      <c r="CH51" s="2371"/>
      <c r="CI51" s="2886"/>
      <c r="CJ51" s="2886"/>
      <c r="CK51" s="2857"/>
      <c r="CL51" s="2857"/>
      <c r="CM51" s="2857"/>
      <c r="CQ51" s="2742"/>
      <c r="CR51" s="2743"/>
      <c r="CS51" s="2743"/>
      <c r="CT51" s="2744"/>
      <c r="EC51" s="109"/>
      <c r="ED51" s="109"/>
      <c r="EE51" s="109"/>
      <c r="EF51" s="109"/>
      <c r="EG51" s="109"/>
      <c r="EH51" s="109"/>
      <c r="EI51" s="109"/>
      <c r="EJ51" s="109"/>
      <c r="EK51" s="109"/>
      <c r="EL51" s="109"/>
      <c r="EM51" s="109"/>
      <c r="EN51" s="109"/>
      <c r="EO51" s="109"/>
      <c r="EP51" s="109"/>
      <c r="EQ51" s="109"/>
      <c r="ER51" s="109"/>
      <c r="ES51" s="109"/>
      <c r="ET51" s="109"/>
      <c r="EU51" s="109"/>
      <c r="EV51" s="109"/>
    </row>
    <row r="52" spans="1:152" ht="8.85" customHeight="1">
      <c r="A52" s="2518"/>
      <c r="B52" s="2530"/>
      <c r="C52" s="2522"/>
      <c r="D52" s="2522"/>
      <c r="E52" s="2522"/>
      <c r="F52" s="2522"/>
      <c r="G52" s="2527"/>
      <c r="H52" s="2506"/>
      <c r="I52" s="2507"/>
      <c r="J52" s="2507"/>
      <c r="K52" s="2508"/>
      <c r="L52" s="2477"/>
      <c r="M52" s="2478"/>
      <c r="N52" s="2478"/>
      <c r="O52" s="2479"/>
      <c r="P52" s="2506"/>
      <c r="Q52" s="2507"/>
      <c r="R52" s="2507"/>
      <c r="S52" s="2508"/>
      <c r="T52" s="2422"/>
      <c r="U52" s="2297"/>
      <c r="V52" s="2297"/>
      <c r="W52" s="2451"/>
      <c r="X52" s="2422"/>
      <c r="Y52" s="2297"/>
      <c r="Z52" s="2297"/>
      <c r="AA52" s="2451"/>
      <c r="AB52" s="2881"/>
      <c r="AC52" s="2881"/>
      <c r="AD52" s="2881"/>
      <c r="AE52" s="2882"/>
      <c r="AF52" s="2446"/>
      <c r="AG52" s="2297"/>
      <c r="AH52" s="2297"/>
      <c r="AI52" s="2447"/>
      <c r="AJ52" s="2297"/>
      <c r="AK52" s="2297"/>
      <c r="AL52" s="2297"/>
      <c r="AM52" s="2451"/>
      <c r="AN52" s="2297"/>
      <c r="AO52" s="2297"/>
      <c r="AP52" s="2297"/>
      <c r="AQ52" s="2451"/>
      <c r="AR52" s="2422"/>
      <c r="AS52" s="2297"/>
      <c r="AT52" s="2297"/>
      <c r="AU52" s="2451"/>
      <c r="AV52" s="2356"/>
      <c r="AW52" s="2356"/>
      <c r="AX52" s="2356"/>
      <c r="AY52" s="2880"/>
      <c r="AZ52" s="2356"/>
      <c r="BA52" s="2356"/>
      <c r="BB52" s="2356"/>
      <c r="BC52" s="2880"/>
      <c r="BD52" s="2356"/>
      <c r="BE52" s="2356"/>
      <c r="BF52" s="2356"/>
      <c r="BG52" s="2880"/>
      <c r="BH52" s="2356"/>
      <c r="BI52" s="2356"/>
      <c r="BJ52" s="2356"/>
      <c r="BK52" s="2880"/>
      <c r="BL52" s="2885"/>
      <c r="BM52" s="2375"/>
      <c r="BN52" s="2375"/>
      <c r="BO52" s="2375"/>
      <c r="BP52" s="2375"/>
      <c r="BQ52" s="2375"/>
      <c r="BR52" s="2375"/>
      <c r="BS52" s="2376"/>
      <c r="BT52" s="2370"/>
      <c r="BU52" s="2370"/>
      <c r="BV52" s="2370"/>
      <c r="BW52" s="2370"/>
      <c r="BX52" s="2370"/>
      <c r="BY52" s="2370"/>
      <c r="BZ52" s="2370"/>
      <c r="CA52" s="2370"/>
      <c r="CB52" s="2370"/>
      <c r="CC52" s="2370"/>
      <c r="CD52" s="2370"/>
      <c r="CE52" s="2370"/>
      <c r="CF52" s="2370"/>
      <c r="CG52" s="2370"/>
      <c r="CH52" s="2371"/>
      <c r="CI52" s="2886"/>
      <c r="CJ52" s="2886"/>
      <c r="CK52" s="2857"/>
      <c r="CL52" s="2857"/>
      <c r="CM52" s="2857"/>
      <c r="CQ52" s="2742"/>
      <c r="CR52" s="2743"/>
      <c r="CS52" s="2743"/>
      <c r="CT52" s="2744"/>
      <c r="EC52" s="109"/>
      <c r="ED52" s="109"/>
      <c r="EE52" s="109"/>
      <c r="EF52" s="109"/>
      <c r="EG52" s="109"/>
      <c r="EH52" s="109"/>
      <c r="EI52" s="109"/>
      <c r="EJ52" s="109"/>
      <c r="EK52" s="109"/>
      <c r="EL52" s="109"/>
      <c r="EM52" s="109"/>
      <c r="EN52" s="109"/>
      <c r="EO52" s="109"/>
      <c r="EP52" s="109"/>
      <c r="EQ52" s="109"/>
      <c r="ER52" s="109"/>
      <c r="ES52" s="109"/>
      <c r="ET52" s="109"/>
      <c r="EU52" s="109"/>
      <c r="EV52" s="109"/>
    </row>
    <row r="53" spans="1:152" ht="8.85" customHeight="1">
      <c r="A53" s="2518"/>
      <c r="B53" s="2523"/>
      <c r="C53" s="2524"/>
      <c r="D53" s="2524"/>
      <c r="E53" s="2524"/>
      <c r="F53" s="2524"/>
      <c r="G53" s="2528"/>
      <c r="H53" s="2509"/>
      <c r="I53" s="2510"/>
      <c r="J53" s="2510"/>
      <c r="K53" s="2511"/>
      <c r="L53" s="2480"/>
      <c r="M53" s="2481"/>
      <c r="N53" s="2481"/>
      <c r="O53" s="2482"/>
      <c r="P53" s="2509"/>
      <c r="Q53" s="2510"/>
      <c r="R53" s="2510"/>
      <c r="S53" s="2511"/>
      <c r="T53" s="2439"/>
      <c r="U53" s="2298"/>
      <c r="V53" s="2298"/>
      <c r="W53" s="2452"/>
      <c r="X53" s="2439"/>
      <c r="Y53" s="2298"/>
      <c r="Z53" s="2298"/>
      <c r="AA53" s="2452"/>
      <c r="AB53" s="2881"/>
      <c r="AC53" s="2881"/>
      <c r="AD53" s="2881"/>
      <c r="AE53" s="2882"/>
      <c r="AF53" s="2444"/>
      <c r="AG53" s="2298"/>
      <c r="AH53" s="2298"/>
      <c r="AI53" s="2445"/>
      <c r="AJ53" s="2298"/>
      <c r="AK53" s="2298"/>
      <c r="AL53" s="2298"/>
      <c r="AM53" s="2452"/>
      <c r="AN53" s="2298"/>
      <c r="AO53" s="2298"/>
      <c r="AP53" s="2298"/>
      <c r="AQ53" s="2452"/>
      <c r="AR53" s="2439"/>
      <c r="AS53" s="2298"/>
      <c r="AT53" s="2298"/>
      <c r="AU53" s="2452"/>
      <c r="AV53" s="2356"/>
      <c r="AW53" s="2356"/>
      <c r="AX53" s="2356"/>
      <c r="AY53" s="2880"/>
      <c r="AZ53" s="2356"/>
      <c r="BA53" s="2356"/>
      <c r="BB53" s="2356"/>
      <c r="BC53" s="2880"/>
      <c r="BD53" s="2356"/>
      <c r="BE53" s="2356"/>
      <c r="BF53" s="2356"/>
      <c r="BG53" s="2880"/>
      <c r="BH53" s="2356"/>
      <c r="BI53" s="2356"/>
      <c r="BJ53" s="2356"/>
      <c r="BK53" s="2880"/>
      <c r="BL53" s="2885"/>
      <c r="BM53" s="2375"/>
      <c r="BN53" s="2375"/>
      <c r="BO53" s="2375"/>
      <c r="BP53" s="2375"/>
      <c r="BQ53" s="2375"/>
      <c r="BR53" s="2375"/>
      <c r="BS53" s="2376"/>
      <c r="BT53" s="2372"/>
      <c r="BU53" s="2372"/>
      <c r="BV53" s="2372"/>
      <c r="BW53" s="2372"/>
      <c r="BX53" s="2372"/>
      <c r="BY53" s="2372"/>
      <c r="BZ53" s="2372"/>
      <c r="CA53" s="2372"/>
      <c r="CB53" s="2372"/>
      <c r="CC53" s="2372"/>
      <c r="CD53" s="2372"/>
      <c r="CE53" s="2372"/>
      <c r="CF53" s="2372"/>
      <c r="CG53" s="2372"/>
      <c r="CH53" s="2373"/>
      <c r="CI53" s="2886"/>
      <c r="CJ53" s="2886"/>
      <c r="CK53" s="2857"/>
      <c r="CL53" s="2857"/>
      <c r="CM53" s="2857"/>
      <c r="CQ53" s="2745"/>
      <c r="CR53" s="2746"/>
      <c r="CS53" s="2746"/>
      <c r="CT53" s="2747"/>
      <c r="EC53" s="109"/>
      <c r="ED53" s="109"/>
      <c r="EE53" s="109"/>
      <c r="EF53" s="109"/>
      <c r="EG53" s="109"/>
      <c r="EH53" s="109"/>
      <c r="EI53" s="109"/>
      <c r="EJ53" s="109"/>
      <c r="EK53" s="109"/>
      <c r="EL53" s="109"/>
      <c r="EM53" s="109"/>
      <c r="EN53" s="109"/>
      <c r="EO53" s="109"/>
      <c r="EP53" s="109"/>
      <c r="EQ53" s="109"/>
      <c r="ER53" s="109"/>
      <c r="ES53" s="109"/>
      <c r="ET53" s="109"/>
      <c r="EU53" s="109"/>
      <c r="EV53" s="109"/>
    </row>
    <row r="54" spans="1:152" ht="8.85" customHeight="1">
      <c r="A54" s="2518">
        <v>14</v>
      </c>
      <c r="B54" s="2525"/>
      <c r="C54" s="2520"/>
      <c r="D54" s="2520"/>
      <c r="E54" s="2520"/>
      <c r="F54" s="2520"/>
      <c r="G54" s="2529"/>
      <c r="H54" s="2503"/>
      <c r="I54" s="2504"/>
      <c r="J54" s="2504"/>
      <c r="K54" s="2505"/>
      <c r="L54" s="2474"/>
      <c r="M54" s="2475"/>
      <c r="N54" s="2475"/>
      <c r="O54" s="2476"/>
      <c r="P54" s="2503"/>
      <c r="Q54" s="2504"/>
      <c r="R54" s="2504"/>
      <c r="S54" s="2505"/>
      <c r="T54" s="2420"/>
      <c r="U54" s="2421"/>
      <c r="V54" s="2421"/>
      <c r="W54" s="2450"/>
      <c r="X54" s="2420"/>
      <c r="Y54" s="2421"/>
      <c r="Z54" s="2421"/>
      <c r="AA54" s="2450"/>
      <c r="AB54" s="2881" t="str">
        <f t="shared" ref="AB54" si="7">IF(L54="REJECTED",AB50,IF(X54="","",IF(N$22="","",N$22-X54)))</f>
        <v/>
      </c>
      <c r="AC54" s="2881"/>
      <c r="AD54" s="2881"/>
      <c r="AE54" s="2882"/>
      <c r="AF54" s="2440"/>
      <c r="AG54" s="2421"/>
      <c r="AH54" s="2421"/>
      <c r="AI54" s="2441"/>
      <c r="AJ54" s="2421"/>
      <c r="AK54" s="2421"/>
      <c r="AL54" s="2421"/>
      <c r="AM54" s="2483"/>
      <c r="AN54" s="2421"/>
      <c r="AO54" s="2421"/>
      <c r="AP54" s="2421"/>
      <c r="AQ54" s="2483"/>
      <c r="AR54" s="2420"/>
      <c r="AS54" s="2421"/>
      <c r="AT54" s="2421"/>
      <c r="AU54" s="2483"/>
      <c r="AV54" s="2356"/>
      <c r="AW54" s="2356"/>
      <c r="AX54" s="2356"/>
      <c r="AY54" s="2880"/>
      <c r="AZ54" s="2356"/>
      <c r="BA54" s="2356"/>
      <c r="BB54" s="2356"/>
      <c r="BC54" s="2880"/>
      <c r="BD54" s="2356"/>
      <c r="BE54" s="2356"/>
      <c r="BF54" s="2356"/>
      <c r="BG54" s="2880"/>
      <c r="BH54" s="2356"/>
      <c r="BI54" s="2356"/>
      <c r="BJ54" s="2356"/>
      <c r="BK54" s="2880"/>
      <c r="BL54" s="2885" t="str">
        <f t="shared" ref="BL54" si="8">IF(OR(L54="REJECTED",L54="Not Placed"),0,IF(AF54="","",SUM(AF54:AM57)-SUM(AN54:BK57)))</f>
        <v/>
      </c>
      <c r="BM54" s="2375"/>
      <c r="BN54" s="2375"/>
      <c r="BO54" s="2375"/>
      <c r="BP54" s="2375" t="str">
        <f t="shared" ref="BP54" si="9">IF(L54="REJECTED",BP50,IF(AF54="","",BP50+BL54))</f>
        <v/>
      </c>
      <c r="BQ54" s="2375"/>
      <c r="BR54" s="2375"/>
      <c r="BS54" s="2376"/>
      <c r="BT54" s="2368"/>
      <c r="BU54" s="2368"/>
      <c r="BV54" s="2368"/>
      <c r="BW54" s="2368"/>
      <c r="BX54" s="2368"/>
      <c r="BY54" s="2368"/>
      <c r="BZ54" s="2368"/>
      <c r="CA54" s="2368"/>
      <c r="CB54" s="2368"/>
      <c r="CC54" s="2368"/>
      <c r="CD54" s="2368"/>
      <c r="CE54" s="2368"/>
      <c r="CF54" s="2368"/>
      <c r="CG54" s="2368"/>
      <c r="CH54" s="2369"/>
      <c r="CI54" s="2886">
        <v>14</v>
      </c>
      <c r="CJ54" s="2886"/>
      <c r="CK54" s="2857" t="e">
        <f>'Concr. Curve'!BL42</f>
        <v>#DIV/0!</v>
      </c>
      <c r="CL54" s="2857"/>
      <c r="CM54" s="2857"/>
      <c r="CQ54" s="2967" t="str">
        <f t="shared" ref="CQ54" si="10">IF(OR(P54="",H54=""),"",MOD(P54-H54,1)*24*60)</f>
        <v/>
      </c>
      <c r="CR54" s="2968"/>
      <c r="CS54" s="2968"/>
      <c r="CT54" s="2969"/>
      <c r="EC54" s="109"/>
      <c r="ED54" s="109"/>
      <c r="EE54" s="109"/>
      <c r="EF54" s="109"/>
      <c r="EG54" s="109"/>
      <c r="EH54" s="109"/>
      <c r="EI54" s="109"/>
      <c r="EJ54" s="109"/>
      <c r="EK54" s="109"/>
      <c r="EL54" s="109"/>
      <c r="EM54" s="109"/>
      <c r="EN54" s="109"/>
      <c r="EO54" s="109"/>
      <c r="EP54" s="109"/>
      <c r="EQ54" s="109"/>
      <c r="ER54" s="109"/>
      <c r="ES54" s="109"/>
      <c r="ET54" s="109"/>
      <c r="EU54" s="109"/>
      <c r="EV54" s="109"/>
    </row>
    <row r="55" spans="1:152" ht="8.85" customHeight="1">
      <c r="A55" s="2518"/>
      <c r="B55" s="2530"/>
      <c r="C55" s="2522"/>
      <c r="D55" s="2522"/>
      <c r="E55" s="2522"/>
      <c r="F55" s="2522"/>
      <c r="G55" s="2527"/>
      <c r="H55" s="2506"/>
      <c r="I55" s="2507"/>
      <c r="J55" s="2507"/>
      <c r="K55" s="2508"/>
      <c r="L55" s="2477"/>
      <c r="M55" s="2478"/>
      <c r="N55" s="2478"/>
      <c r="O55" s="2479"/>
      <c r="P55" s="2506"/>
      <c r="Q55" s="2507"/>
      <c r="R55" s="2507"/>
      <c r="S55" s="2508"/>
      <c r="T55" s="2422"/>
      <c r="U55" s="2297"/>
      <c r="V55" s="2297"/>
      <c r="W55" s="2451"/>
      <c r="X55" s="2422"/>
      <c r="Y55" s="2297"/>
      <c r="Z55" s="2297"/>
      <c r="AA55" s="2451"/>
      <c r="AB55" s="2881"/>
      <c r="AC55" s="2881"/>
      <c r="AD55" s="2881"/>
      <c r="AE55" s="2882"/>
      <c r="AF55" s="2446"/>
      <c r="AG55" s="2297"/>
      <c r="AH55" s="2297"/>
      <c r="AI55" s="2447"/>
      <c r="AJ55" s="2297"/>
      <c r="AK55" s="2297"/>
      <c r="AL55" s="2297"/>
      <c r="AM55" s="2451"/>
      <c r="AN55" s="2297"/>
      <c r="AO55" s="2297"/>
      <c r="AP55" s="2297"/>
      <c r="AQ55" s="2451"/>
      <c r="AR55" s="2422"/>
      <c r="AS55" s="2297"/>
      <c r="AT55" s="2297"/>
      <c r="AU55" s="2451"/>
      <c r="AV55" s="2356"/>
      <c r="AW55" s="2356"/>
      <c r="AX55" s="2356"/>
      <c r="AY55" s="2880"/>
      <c r="AZ55" s="2356"/>
      <c r="BA55" s="2356"/>
      <c r="BB55" s="2356"/>
      <c r="BC55" s="2880"/>
      <c r="BD55" s="2356"/>
      <c r="BE55" s="2356"/>
      <c r="BF55" s="2356"/>
      <c r="BG55" s="2880"/>
      <c r="BH55" s="2356"/>
      <c r="BI55" s="2356"/>
      <c r="BJ55" s="2356"/>
      <c r="BK55" s="2880"/>
      <c r="BL55" s="2885"/>
      <c r="BM55" s="2375"/>
      <c r="BN55" s="2375"/>
      <c r="BO55" s="2375"/>
      <c r="BP55" s="2375"/>
      <c r="BQ55" s="2375"/>
      <c r="BR55" s="2375"/>
      <c r="BS55" s="2376"/>
      <c r="BT55" s="2370"/>
      <c r="BU55" s="2370"/>
      <c r="BV55" s="2370"/>
      <c r="BW55" s="2370"/>
      <c r="BX55" s="2370"/>
      <c r="BY55" s="2370"/>
      <c r="BZ55" s="2370"/>
      <c r="CA55" s="2370"/>
      <c r="CB55" s="2370"/>
      <c r="CC55" s="2370"/>
      <c r="CD55" s="2370"/>
      <c r="CE55" s="2370"/>
      <c r="CF55" s="2370"/>
      <c r="CG55" s="2370"/>
      <c r="CH55" s="2371"/>
      <c r="CI55" s="2886"/>
      <c r="CJ55" s="2886"/>
      <c r="CK55" s="2857"/>
      <c r="CL55" s="2857"/>
      <c r="CM55" s="2857"/>
      <c r="CQ55" s="2742"/>
      <c r="CR55" s="2743"/>
      <c r="CS55" s="2743"/>
      <c r="CT55" s="2744"/>
      <c r="EC55" s="109"/>
      <c r="ED55" s="109"/>
      <c r="EE55" s="109"/>
      <c r="EF55" s="109"/>
      <c r="EG55" s="109"/>
      <c r="EH55" s="109"/>
      <c r="EI55" s="109"/>
      <c r="EJ55" s="109"/>
      <c r="EK55" s="109"/>
      <c r="EL55" s="109"/>
      <c r="EM55" s="109"/>
      <c r="EN55" s="109"/>
      <c r="EO55" s="109"/>
      <c r="EP55" s="109"/>
      <c r="EQ55" s="109"/>
      <c r="ER55" s="109"/>
      <c r="ES55" s="109"/>
      <c r="ET55" s="109"/>
      <c r="EU55" s="109"/>
      <c r="EV55" s="109"/>
    </row>
    <row r="56" spans="1:152" ht="8.85" customHeight="1">
      <c r="A56" s="2518"/>
      <c r="B56" s="2530"/>
      <c r="C56" s="2522"/>
      <c r="D56" s="2522"/>
      <c r="E56" s="2522"/>
      <c r="F56" s="2522"/>
      <c r="G56" s="2527"/>
      <c r="H56" s="2506"/>
      <c r="I56" s="2507"/>
      <c r="J56" s="2507"/>
      <c r="K56" s="2508"/>
      <c r="L56" s="2477"/>
      <c r="M56" s="2478"/>
      <c r="N56" s="2478"/>
      <c r="O56" s="2479"/>
      <c r="P56" s="2506"/>
      <c r="Q56" s="2507"/>
      <c r="R56" s="2507"/>
      <c r="S56" s="2508"/>
      <c r="T56" s="2422"/>
      <c r="U56" s="2297"/>
      <c r="V56" s="2297"/>
      <c r="W56" s="2451"/>
      <c r="X56" s="2422"/>
      <c r="Y56" s="2297"/>
      <c r="Z56" s="2297"/>
      <c r="AA56" s="2451"/>
      <c r="AB56" s="2881"/>
      <c r="AC56" s="2881"/>
      <c r="AD56" s="2881"/>
      <c r="AE56" s="2882"/>
      <c r="AF56" s="2446"/>
      <c r="AG56" s="2297"/>
      <c r="AH56" s="2297"/>
      <c r="AI56" s="2447"/>
      <c r="AJ56" s="2297"/>
      <c r="AK56" s="2297"/>
      <c r="AL56" s="2297"/>
      <c r="AM56" s="2451"/>
      <c r="AN56" s="2297"/>
      <c r="AO56" s="2297"/>
      <c r="AP56" s="2297"/>
      <c r="AQ56" s="2451"/>
      <c r="AR56" s="2422"/>
      <c r="AS56" s="2297"/>
      <c r="AT56" s="2297"/>
      <c r="AU56" s="2451"/>
      <c r="AV56" s="2356"/>
      <c r="AW56" s="2356"/>
      <c r="AX56" s="2356"/>
      <c r="AY56" s="2880"/>
      <c r="AZ56" s="2356"/>
      <c r="BA56" s="2356"/>
      <c r="BB56" s="2356"/>
      <c r="BC56" s="2880"/>
      <c r="BD56" s="2356"/>
      <c r="BE56" s="2356"/>
      <c r="BF56" s="2356"/>
      <c r="BG56" s="2880"/>
      <c r="BH56" s="2356"/>
      <c r="BI56" s="2356"/>
      <c r="BJ56" s="2356"/>
      <c r="BK56" s="2880"/>
      <c r="BL56" s="2885"/>
      <c r="BM56" s="2375"/>
      <c r="BN56" s="2375"/>
      <c r="BO56" s="2375"/>
      <c r="BP56" s="2375"/>
      <c r="BQ56" s="2375"/>
      <c r="BR56" s="2375"/>
      <c r="BS56" s="2376"/>
      <c r="BT56" s="2370"/>
      <c r="BU56" s="2370"/>
      <c r="BV56" s="2370"/>
      <c r="BW56" s="2370"/>
      <c r="BX56" s="2370"/>
      <c r="BY56" s="2370"/>
      <c r="BZ56" s="2370"/>
      <c r="CA56" s="2370"/>
      <c r="CB56" s="2370"/>
      <c r="CC56" s="2370"/>
      <c r="CD56" s="2370"/>
      <c r="CE56" s="2370"/>
      <c r="CF56" s="2370"/>
      <c r="CG56" s="2370"/>
      <c r="CH56" s="2371"/>
      <c r="CI56" s="2886"/>
      <c r="CJ56" s="2886"/>
      <c r="CK56" s="2857"/>
      <c r="CL56" s="2857"/>
      <c r="CM56" s="2857"/>
      <c r="CQ56" s="2742"/>
      <c r="CR56" s="2743"/>
      <c r="CS56" s="2743"/>
      <c r="CT56" s="2744"/>
      <c r="EC56" s="109"/>
      <c r="ED56" s="109"/>
      <c r="EE56" s="109"/>
      <c r="EF56" s="109"/>
      <c r="EG56" s="109"/>
      <c r="EH56" s="109"/>
      <c r="EI56" s="109"/>
      <c r="EJ56" s="109"/>
      <c r="EK56" s="109"/>
      <c r="EL56" s="109"/>
      <c r="EM56" s="109"/>
      <c r="EN56" s="109"/>
      <c r="EO56" s="109"/>
      <c r="EP56" s="109"/>
      <c r="EQ56" s="109"/>
      <c r="ER56" s="109"/>
      <c r="ES56" s="109"/>
      <c r="ET56" s="109"/>
      <c r="EU56" s="109"/>
      <c r="EV56" s="109"/>
    </row>
    <row r="57" spans="1:152" ht="8.85" customHeight="1">
      <c r="A57" s="2518"/>
      <c r="B57" s="2523"/>
      <c r="C57" s="2524"/>
      <c r="D57" s="2524"/>
      <c r="E57" s="2524"/>
      <c r="F57" s="2524"/>
      <c r="G57" s="2528"/>
      <c r="H57" s="2509"/>
      <c r="I57" s="2510"/>
      <c r="J57" s="2510"/>
      <c r="K57" s="2511"/>
      <c r="L57" s="2480"/>
      <c r="M57" s="2481"/>
      <c r="N57" s="2481"/>
      <c r="O57" s="2482"/>
      <c r="P57" s="2509"/>
      <c r="Q57" s="2510"/>
      <c r="R57" s="2510"/>
      <c r="S57" s="2511"/>
      <c r="T57" s="2439"/>
      <c r="U57" s="2298"/>
      <c r="V57" s="2298"/>
      <c r="W57" s="2452"/>
      <c r="X57" s="2439"/>
      <c r="Y57" s="2298"/>
      <c r="Z57" s="2298"/>
      <c r="AA57" s="2452"/>
      <c r="AB57" s="2881"/>
      <c r="AC57" s="2881"/>
      <c r="AD57" s="2881"/>
      <c r="AE57" s="2882"/>
      <c r="AF57" s="2444"/>
      <c r="AG57" s="2298"/>
      <c r="AH57" s="2298"/>
      <c r="AI57" s="2445"/>
      <c r="AJ57" s="2298"/>
      <c r="AK57" s="2298"/>
      <c r="AL57" s="2298"/>
      <c r="AM57" s="2452"/>
      <c r="AN57" s="2298"/>
      <c r="AO57" s="2298"/>
      <c r="AP57" s="2298"/>
      <c r="AQ57" s="2452"/>
      <c r="AR57" s="2439"/>
      <c r="AS57" s="2298"/>
      <c r="AT57" s="2298"/>
      <c r="AU57" s="2452"/>
      <c r="AV57" s="2356"/>
      <c r="AW57" s="2356"/>
      <c r="AX57" s="2356"/>
      <c r="AY57" s="2880"/>
      <c r="AZ57" s="2356"/>
      <c r="BA57" s="2356"/>
      <c r="BB57" s="2356"/>
      <c r="BC57" s="2880"/>
      <c r="BD57" s="2356"/>
      <c r="BE57" s="2356"/>
      <c r="BF57" s="2356"/>
      <c r="BG57" s="2880"/>
      <c r="BH57" s="2356"/>
      <c r="BI57" s="2356"/>
      <c r="BJ57" s="2356"/>
      <c r="BK57" s="2880"/>
      <c r="BL57" s="2885"/>
      <c r="BM57" s="2375"/>
      <c r="BN57" s="2375"/>
      <c r="BO57" s="2375"/>
      <c r="BP57" s="2375"/>
      <c r="BQ57" s="2375"/>
      <c r="BR57" s="2375"/>
      <c r="BS57" s="2376"/>
      <c r="BT57" s="2372"/>
      <c r="BU57" s="2372"/>
      <c r="BV57" s="2372"/>
      <c r="BW57" s="2372"/>
      <c r="BX57" s="2372"/>
      <c r="BY57" s="2372"/>
      <c r="BZ57" s="2372"/>
      <c r="CA57" s="2372"/>
      <c r="CB57" s="2372"/>
      <c r="CC57" s="2372"/>
      <c r="CD57" s="2372"/>
      <c r="CE57" s="2372"/>
      <c r="CF57" s="2372"/>
      <c r="CG57" s="2372"/>
      <c r="CH57" s="2373"/>
      <c r="CI57" s="2886"/>
      <c r="CJ57" s="2886"/>
      <c r="CK57" s="2857"/>
      <c r="CL57" s="2857"/>
      <c r="CM57" s="2857"/>
      <c r="CQ57" s="2745"/>
      <c r="CR57" s="2746"/>
      <c r="CS57" s="2746"/>
      <c r="CT57" s="2747"/>
      <c r="EC57" s="109"/>
      <c r="ED57" s="109"/>
      <c r="EE57" s="109"/>
      <c r="EF57" s="109"/>
      <c r="EG57" s="109"/>
      <c r="EH57" s="109"/>
      <c r="EI57" s="109"/>
      <c r="EJ57" s="109"/>
      <c r="EK57" s="109"/>
      <c r="EL57" s="109"/>
      <c r="EM57" s="109"/>
      <c r="EN57" s="109"/>
      <c r="EO57" s="109"/>
      <c r="EP57" s="109"/>
      <c r="EQ57" s="109"/>
      <c r="ER57" s="109"/>
      <c r="ES57" s="109"/>
      <c r="ET57" s="109"/>
      <c r="EU57" s="109"/>
      <c r="EV57" s="109"/>
    </row>
    <row r="58" spans="1:152" ht="8.85" customHeight="1">
      <c r="A58" s="2518">
        <v>15</v>
      </c>
      <c r="B58" s="2525"/>
      <c r="C58" s="2520"/>
      <c r="D58" s="2520"/>
      <c r="E58" s="2520"/>
      <c r="F58" s="2520"/>
      <c r="G58" s="2529"/>
      <c r="H58" s="2503"/>
      <c r="I58" s="2504"/>
      <c r="J58" s="2504"/>
      <c r="K58" s="2505"/>
      <c r="L58" s="2474"/>
      <c r="M58" s="2475"/>
      <c r="N58" s="2475"/>
      <c r="O58" s="2476"/>
      <c r="P58" s="2503"/>
      <c r="Q58" s="2504"/>
      <c r="R58" s="2504"/>
      <c r="S58" s="2505"/>
      <c r="T58" s="2420"/>
      <c r="U58" s="2421"/>
      <c r="V58" s="2421"/>
      <c r="W58" s="2450"/>
      <c r="X58" s="2420"/>
      <c r="Y58" s="2421"/>
      <c r="Z58" s="2421"/>
      <c r="AA58" s="2450"/>
      <c r="AB58" s="2881" t="str">
        <f t="shared" ref="AB58" si="11">IF(L58="REJECTED",AB54,IF(X58="","",IF(N$22="","",N$22-X58)))</f>
        <v/>
      </c>
      <c r="AC58" s="2881"/>
      <c r="AD58" s="2881"/>
      <c r="AE58" s="2882"/>
      <c r="AF58" s="2440"/>
      <c r="AG58" s="2421"/>
      <c r="AH58" s="2421"/>
      <c r="AI58" s="2441"/>
      <c r="AJ58" s="2421"/>
      <c r="AK58" s="2421"/>
      <c r="AL58" s="2421"/>
      <c r="AM58" s="2483"/>
      <c r="AN58" s="2421"/>
      <c r="AO58" s="2421"/>
      <c r="AP58" s="2421"/>
      <c r="AQ58" s="2483"/>
      <c r="AR58" s="2420"/>
      <c r="AS58" s="2421"/>
      <c r="AT58" s="2421"/>
      <c r="AU58" s="2483"/>
      <c r="AV58" s="2356"/>
      <c r="AW58" s="2356"/>
      <c r="AX58" s="2356"/>
      <c r="AY58" s="2880"/>
      <c r="AZ58" s="2356"/>
      <c r="BA58" s="2356"/>
      <c r="BB58" s="2356"/>
      <c r="BC58" s="2880"/>
      <c r="BD58" s="2356"/>
      <c r="BE58" s="2356"/>
      <c r="BF58" s="2356"/>
      <c r="BG58" s="2880"/>
      <c r="BH58" s="2356"/>
      <c r="BI58" s="2356"/>
      <c r="BJ58" s="2356"/>
      <c r="BK58" s="2880"/>
      <c r="BL58" s="2885" t="str">
        <f t="shared" ref="BL58" si="12">IF(OR(L58="REJECTED",L58="Not Placed"),0,IF(AF58="","",SUM(AF58:AM61)-SUM(AN58:BK61)))</f>
        <v/>
      </c>
      <c r="BM58" s="2375"/>
      <c r="BN58" s="2375"/>
      <c r="BO58" s="2375"/>
      <c r="BP58" s="2375" t="str">
        <f t="shared" ref="BP58" si="13">IF(L58="REJECTED",BP54,IF(AF58="","",BP54+BL58))</f>
        <v/>
      </c>
      <c r="BQ58" s="2375"/>
      <c r="BR58" s="2375"/>
      <c r="BS58" s="2376"/>
      <c r="BT58" s="2368"/>
      <c r="BU58" s="2368"/>
      <c r="BV58" s="2368"/>
      <c r="BW58" s="2368"/>
      <c r="BX58" s="2368"/>
      <c r="BY58" s="2368"/>
      <c r="BZ58" s="2368"/>
      <c r="CA58" s="2368"/>
      <c r="CB58" s="2368"/>
      <c r="CC58" s="2368"/>
      <c r="CD58" s="2368"/>
      <c r="CE58" s="2368"/>
      <c r="CF58" s="2368"/>
      <c r="CG58" s="2368"/>
      <c r="CH58" s="2369"/>
      <c r="CI58" s="2886">
        <v>15</v>
      </c>
      <c r="CJ58" s="2886"/>
      <c r="CK58" s="2857" t="e">
        <f>'Concr. Curve'!BL41</f>
        <v>#DIV/0!</v>
      </c>
      <c r="CL58" s="2857"/>
      <c r="CM58" s="2857"/>
      <c r="CQ58" s="2967" t="str">
        <f>IF(OR(P58="",H58=""),"",MOD(P58-H58,1)*24*60)</f>
        <v/>
      </c>
      <c r="CR58" s="2968"/>
      <c r="CS58" s="2968"/>
      <c r="CT58" s="2969"/>
      <c r="EC58" s="109"/>
      <c r="ED58" s="109"/>
      <c r="EE58" s="109"/>
      <c r="EF58" s="109"/>
      <c r="EG58" s="109"/>
      <c r="EH58" s="109"/>
      <c r="EI58" s="109"/>
      <c r="EJ58" s="109"/>
      <c r="EK58" s="109"/>
      <c r="EL58" s="109"/>
      <c r="EM58" s="109"/>
      <c r="EN58" s="109"/>
      <c r="EO58" s="109"/>
      <c r="EP58" s="109"/>
      <c r="EQ58" s="109"/>
      <c r="ER58" s="109"/>
      <c r="ES58" s="109"/>
      <c r="ET58" s="109"/>
      <c r="EU58" s="109"/>
      <c r="EV58" s="109"/>
    </row>
    <row r="59" spans="1:152" ht="8.85" customHeight="1">
      <c r="A59" s="2518"/>
      <c r="B59" s="2530"/>
      <c r="C59" s="2522"/>
      <c r="D59" s="2522"/>
      <c r="E59" s="2522"/>
      <c r="F59" s="2522"/>
      <c r="G59" s="2527"/>
      <c r="H59" s="2506"/>
      <c r="I59" s="2507"/>
      <c r="J59" s="2507"/>
      <c r="K59" s="2508"/>
      <c r="L59" s="2477"/>
      <c r="M59" s="2478"/>
      <c r="N59" s="2478"/>
      <c r="O59" s="2479"/>
      <c r="P59" s="2506"/>
      <c r="Q59" s="2507"/>
      <c r="R59" s="2507"/>
      <c r="S59" s="2508"/>
      <c r="T59" s="2422"/>
      <c r="U59" s="2297"/>
      <c r="V59" s="2297"/>
      <c r="W59" s="2451"/>
      <c r="X59" s="2422"/>
      <c r="Y59" s="2297"/>
      <c r="Z59" s="2297"/>
      <c r="AA59" s="2451"/>
      <c r="AB59" s="2881"/>
      <c r="AC59" s="2881"/>
      <c r="AD59" s="2881"/>
      <c r="AE59" s="2882"/>
      <c r="AF59" s="2446"/>
      <c r="AG59" s="2297"/>
      <c r="AH59" s="2297"/>
      <c r="AI59" s="2447"/>
      <c r="AJ59" s="2297"/>
      <c r="AK59" s="2297"/>
      <c r="AL59" s="2297"/>
      <c r="AM59" s="2451"/>
      <c r="AN59" s="2297"/>
      <c r="AO59" s="2297"/>
      <c r="AP59" s="2297"/>
      <c r="AQ59" s="2451"/>
      <c r="AR59" s="2422"/>
      <c r="AS59" s="2297"/>
      <c r="AT59" s="2297"/>
      <c r="AU59" s="2451"/>
      <c r="AV59" s="2356"/>
      <c r="AW59" s="2356"/>
      <c r="AX59" s="2356"/>
      <c r="AY59" s="2880"/>
      <c r="AZ59" s="2356"/>
      <c r="BA59" s="2356"/>
      <c r="BB59" s="2356"/>
      <c r="BC59" s="2880"/>
      <c r="BD59" s="2356"/>
      <c r="BE59" s="2356"/>
      <c r="BF59" s="2356"/>
      <c r="BG59" s="2880"/>
      <c r="BH59" s="2356"/>
      <c r="BI59" s="2356"/>
      <c r="BJ59" s="2356"/>
      <c r="BK59" s="2880"/>
      <c r="BL59" s="2885"/>
      <c r="BM59" s="2375"/>
      <c r="BN59" s="2375"/>
      <c r="BO59" s="2375"/>
      <c r="BP59" s="2375"/>
      <c r="BQ59" s="2375"/>
      <c r="BR59" s="2375"/>
      <c r="BS59" s="2376"/>
      <c r="BT59" s="2370"/>
      <c r="BU59" s="2370"/>
      <c r="BV59" s="2370"/>
      <c r="BW59" s="2370"/>
      <c r="BX59" s="2370"/>
      <c r="BY59" s="2370"/>
      <c r="BZ59" s="2370"/>
      <c r="CA59" s="2370"/>
      <c r="CB59" s="2370"/>
      <c r="CC59" s="2370"/>
      <c r="CD59" s="2370"/>
      <c r="CE59" s="2370"/>
      <c r="CF59" s="2370"/>
      <c r="CG59" s="2370"/>
      <c r="CH59" s="2371"/>
      <c r="CI59" s="2886"/>
      <c r="CJ59" s="2886"/>
      <c r="CK59" s="2857"/>
      <c r="CL59" s="2857"/>
      <c r="CM59" s="2857"/>
      <c r="CQ59" s="2742"/>
      <c r="CR59" s="2743"/>
      <c r="CS59" s="2743"/>
      <c r="CT59" s="2744"/>
      <c r="EC59" s="109"/>
      <c r="ED59" s="109"/>
      <c r="EE59" s="109"/>
      <c r="EF59" s="109"/>
      <c r="EG59" s="109"/>
      <c r="EH59" s="109"/>
      <c r="EI59" s="109"/>
      <c r="EJ59" s="109"/>
      <c r="EK59" s="109"/>
      <c r="EL59" s="109"/>
      <c r="EM59" s="109"/>
      <c r="EN59" s="109"/>
      <c r="EO59" s="109"/>
      <c r="EP59" s="109"/>
      <c r="EQ59" s="109"/>
      <c r="ER59" s="109"/>
      <c r="ES59" s="109"/>
      <c r="ET59" s="109"/>
      <c r="EU59" s="109"/>
      <c r="EV59" s="109"/>
    </row>
    <row r="60" spans="1:152" ht="8.85" customHeight="1">
      <c r="A60" s="2518"/>
      <c r="B60" s="2530"/>
      <c r="C60" s="2522"/>
      <c r="D60" s="2522"/>
      <c r="E60" s="2522"/>
      <c r="F60" s="2522"/>
      <c r="G60" s="2527"/>
      <c r="H60" s="2506"/>
      <c r="I60" s="2507"/>
      <c r="J60" s="2507"/>
      <c r="K60" s="2508"/>
      <c r="L60" s="2477"/>
      <c r="M60" s="2478"/>
      <c r="N60" s="2478"/>
      <c r="O60" s="2479"/>
      <c r="P60" s="2506"/>
      <c r="Q60" s="2507"/>
      <c r="R60" s="2507"/>
      <c r="S60" s="2508"/>
      <c r="T60" s="2422"/>
      <c r="U60" s="2297"/>
      <c r="V60" s="2297"/>
      <c r="W60" s="2451"/>
      <c r="X60" s="2422"/>
      <c r="Y60" s="2297"/>
      <c r="Z60" s="2297"/>
      <c r="AA60" s="2451"/>
      <c r="AB60" s="2881"/>
      <c r="AC60" s="2881"/>
      <c r="AD60" s="2881"/>
      <c r="AE60" s="2882"/>
      <c r="AF60" s="2446"/>
      <c r="AG60" s="2297"/>
      <c r="AH60" s="2297"/>
      <c r="AI60" s="2447"/>
      <c r="AJ60" s="2297"/>
      <c r="AK60" s="2297"/>
      <c r="AL60" s="2297"/>
      <c r="AM60" s="2451"/>
      <c r="AN60" s="2297"/>
      <c r="AO60" s="2297"/>
      <c r="AP60" s="2297"/>
      <c r="AQ60" s="2451"/>
      <c r="AR60" s="2422"/>
      <c r="AS60" s="2297"/>
      <c r="AT60" s="2297"/>
      <c r="AU60" s="2451"/>
      <c r="AV60" s="2356"/>
      <c r="AW60" s="2356"/>
      <c r="AX60" s="2356"/>
      <c r="AY60" s="2880"/>
      <c r="AZ60" s="2356"/>
      <c r="BA60" s="2356"/>
      <c r="BB60" s="2356"/>
      <c r="BC60" s="2880"/>
      <c r="BD60" s="2356"/>
      <c r="BE60" s="2356"/>
      <c r="BF60" s="2356"/>
      <c r="BG60" s="2880"/>
      <c r="BH60" s="2356"/>
      <c r="BI60" s="2356"/>
      <c r="BJ60" s="2356"/>
      <c r="BK60" s="2880"/>
      <c r="BL60" s="2885"/>
      <c r="BM60" s="2375"/>
      <c r="BN60" s="2375"/>
      <c r="BO60" s="2375"/>
      <c r="BP60" s="2375"/>
      <c r="BQ60" s="2375"/>
      <c r="BR60" s="2375"/>
      <c r="BS60" s="2376"/>
      <c r="BT60" s="2370"/>
      <c r="BU60" s="2370"/>
      <c r="BV60" s="2370"/>
      <c r="BW60" s="2370"/>
      <c r="BX60" s="2370"/>
      <c r="BY60" s="2370"/>
      <c r="BZ60" s="2370"/>
      <c r="CA60" s="2370"/>
      <c r="CB60" s="2370"/>
      <c r="CC60" s="2370"/>
      <c r="CD60" s="2370"/>
      <c r="CE60" s="2370"/>
      <c r="CF60" s="2370"/>
      <c r="CG60" s="2370"/>
      <c r="CH60" s="2371"/>
      <c r="CI60" s="2886"/>
      <c r="CJ60" s="2886"/>
      <c r="CK60" s="2857"/>
      <c r="CL60" s="2857"/>
      <c r="CM60" s="2857"/>
      <c r="CQ60" s="2742"/>
      <c r="CR60" s="2743"/>
      <c r="CS60" s="2743"/>
      <c r="CT60" s="2744"/>
      <c r="EC60" s="109"/>
      <c r="ED60" s="109"/>
      <c r="EE60" s="109"/>
      <c r="EF60" s="109"/>
      <c r="EG60" s="109"/>
      <c r="EH60" s="109"/>
      <c r="EI60" s="109"/>
      <c r="EJ60" s="109"/>
      <c r="EK60" s="109"/>
      <c r="EL60" s="109"/>
      <c r="EM60" s="109"/>
      <c r="EN60" s="109"/>
      <c r="EO60" s="109"/>
      <c r="EP60" s="109"/>
      <c r="EQ60" s="109"/>
      <c r="ER60" s="109"/>
      <c r="ES60" s="109"/>
      <c r="ET60" s="109"/>
      <c r="EU60" s="109"/>
      <c r="EV60" s="109"/>
    </row>
    <row r="61" spans="1:152" ht="8.85" customHeight="1">
      <c r="A61" s="2518"/>
      <c r="B61" s="2523"/>
      <c r="C61" s="2524"/>
      <c r="D61" s="2524"/>
      <c r="E61" s="2524"/>
      <c r="F61" s="2524"/>
      <c r="G61" s="2528"/>
      <c r="H61" s="2509"/>
      <c r="I61" s="2510"/>
      <c r="J61" s="2510"/>
      <c r="K61" s="2511"/>
      <c r="L61" s="2480"/>
      <c r="M61" s="2481"/>
      <c r="N61" s="2481"/>
      <c r="O61" s="2482"/>
      <c r="P61" s="2509"/>
      <c r="Q61" s="2510"/>
      <c r="R61" s="2510"/>
      <c r="S61" s="2511"/>
      <c r="T61" s="2439"/>
      <c r="U61" s="2298"/>
      <c r="V61" s="2298"/>
      <c r="W61" s="2452"/>
      <c r="X61" s="2439"/>
      <c r="Y61" s="2298"/>
      <c r="Z61" s="2298"/>
      <c r="AA61" s="2452"/>
      <c r="AB61" s="2881"/>
      <c r="AC61" s="2881"/>
      <c r="AD61" s="2881"/>
      <c r="AE61" s="2882"/>
      <c r="AF61" s="2444"/>
      <c r="AG61" s="2298"/>
      <c r="AH61" s="2298"/>
      <c r="AI61" s="2445"/>
      <c r="AJ61" s="2298"/>
      <c r="AK61" s="2298"/>
      <c r="AL61" s="2298"/>
      <c r="AM61" s="2452"/>
      <c r="AN61" s="2298"/>
      <c r="AO61" s="2298"/>
      <c r="AP61" s="2298"/>
      <c r="AQ61" s="2452"/>
      <c r="AR61" s="2439"/>
      <c r="AS61" s="2298"/>
      <c r="AT61" s="2298"/>
      <c r="AU61" s="2452"/>
      <c r="AV61" s="2356"/>
      <c r="AW61" s="2356"/>
      <c r="AX61" s="2356"/>
      <c r="AY61" s="2880"/>
      <c r="AZ61" s="2356"/>
      <c r="BA61" s="2356"/>
      <c r="BB61" s="2356"/>
      <c r="BC61" s="2880"/>
      <c r="BD61" s="2356"/>
      <c r="BE61" s="2356"/>
      <c r="BF61" s="2356"/>
      <c r="BG61" s="2880"/>
      <c r="BH61" s="2356"/>
      <c r="BI61" s="2356"/>
      <c r="BJ61" s="2356"/>
      <c r="BK61" s="2880"/>
      <c r="BL61" s="2885"/>
      <c r="BM61" s="2375"/>
      <c r="BN61" s="2375"/>
      <c r="BO61" s="2375"/>
      <c r="BP61" s="2375"/>
      <c r="BQ61" s="2375"/>
      <c r="BR61" s="2375"/>
      <c r="BS61" s="2376"/>
      <c r="BT61" s="2372"/>
      <c r="BU61" s="2372"/>
      <c r="BV61" s="2372"/>
      <c r="BW61" s="2372"/>
      <c r="BX61" s="2372"/>
      <c r="BY61" s="2372"/>
      <c r="BZ61" s="2372"/>
      <c r="CA61" s="2372"/>
      <c r="CB61" s="2372"/>
      <c r="CC61" s="2372"/>
      <c r="CD61" s="2372"/>
      <c r="CE61" s="2372"/>
      <c r="CF61" s="2372"/>
      <c r="CG61" s="2372"/>
      <c r="CH61" s="2373"/>
      <c r="CI61" s="2886"/>
      <c r="CJ61" s="2886"/>
      <c r="CK61" s="2857"/>
      <c r="CL61" s="2857"/>
      <c r="CM61" s="2857"/>
      <c r="CQ61" s="2745"/>
      <c r="CR61" s="2746"/>
      <c r="CS61" s="2746"/>
      <c r="CT61" s="2747"/>
      <c r="EC61" s="109"/>
      <c r="ED61" s="109"/>
      <c r="EE61" s="109"/>
      <c r="EF61" s="109"/>
      <c r="EG61" s="109"/>
      <c r="EH61" s="109"/>
      <c r="EI61" s="109"/>
      <c r="EJ61" s="109"/>
      <c r="EK61" s="109"/>
      <c r="EL61" s="109"/>
      <c r="EM61" s="109"/>
      <c r="EN61" s="109"/>
      <c r="EO61" s="109"/>
      <c r="EP61" s="109"/>
      <c r="EQ61" s="109"/>
      <c r="ER61" s="109"/>
      <c r="ES61" s="109"/>
      <c r="ET61" s="109"/>
      <c r="EU61" s="109"/>
      <c r="EV61" s="109"/>
    </row>
    <row r="62" spans="1:152" ht="8.85" customHeight="1">
      <c r="A62" s="2518">
        <v>16</v>
      </c>
      <c r="B62" s="2525"/>
      <c r="C62" s="2520"/>
      <c r="D62" s="2520"/>
      <c r="E62" s="2520"/>
      <c r="F62" s="2520"/>
      <c r="G62" s="2529"/>
      <c r="H62" s="2503"/>
      <c r="I62" s="2504"/>
      <c r="J62" s="2504"/>
      <c r="K62" s="2505"/>
      <c r="L62" s="2474"/>
      <c r="M62" s="2475"/>
      <c r="N62" s="2475"/>
      <c r="O62" s="2476"/>
      <c r="P62" s="2503"/>
      <c r="Q62" s="2504"/>
      <c r="R62" s="2504"/>
      <c r="S62" s="2505"/>
      <c r="T62" s="2420"/>
      <c r="U62" s="2421"/>
      <c r="V62" s="2421"/>
      <c r="W62" s="2450"/>
      <c r="X62" s="2420"/>
      <c r="Y62" s="2421"/>
      <c r="Z62" s="2421"/>
      <c r="AA62" s="2450"/>
      <c r="AB62" s="2881" t="str">
        <f t="shared" ref="AB62" si="14">IF(L62="REJECTED",AB58,IF(X62="","",IF(N$22="","",N$22-X62)))</f>
        <v/>
      </c>
      <c r="AC62" s="2881"/>
      <c r="AD62" s="2881"/>
      <c r="AE62" s="2882"/>
      <c r="AF62" s="2440"/>
      <c r="AG62" s="2421"/>
      <c r="AH62" s="2421"/>
      <c r="AI62" s="2441"/>
      <c r="AJ62" s="2421"/>
      <c r="AK62" s="2421"/>
      <c r="AL62" s="2421"/>
      <c r="AM62" s="2483"/>
      <c r="AN62" s="2421"/>
      <c r="AO62" s="2421"/>
      <c r="AP62" s="2421"/>
      <c r="AQ62" s="2483"/>
      <c r="AR62" s="2420"/>
      <c r="AS62" s="2421"/>
      <c r="AT62" s="2421"/>
      <c r="AU62" s="2483"/>
      <c r="AV62" s="2356"/>
      <c r="AW62" s="2356"/>
      <c r="AX62" s="2356"/>
      <c r="AY62" s="2880"/>
      <c r="AZ62" s="2356"/>
      <c r="BA62" s="2356"/>
      <c r="BB62" s="2356"/>
      <c r="BC62" s="2880"/>
      <c r="BD62" s="2356"/>
      <c r="BE62" s="2356"/>
      <c r="BF62" s="2356"/>
      <c r="BG62" s="2880"/>
      <c r="BH62" s="2356"/>
      <c r="BI62" s="2356"/>
      <c r="BJ62" s="2356"/>
      <c r="BK62" s="2880"/>
      <c r="BL62" s="2885" t="str">
        <f t="shared" ref="BL62" si="15">IF(OR(L62="REJECTED",L62="Not Placed"),0,IF(AF62="","",SUM(AF62:AM65)-SUM(AN62:BK65)))</f>
        <v/>
      </c>
      <c r="BM62" s="2375"/>
      <c r="BN62" s="2375"/>
      <c r="BO62" s="2375"/>
      <c r="BP62" s="2375" t="str">
        <f t="shared" ref="BP62" si="16">IF(L62="REJECTED",BP58,IF(AF62="","",BP58+BL62))</f>
        <v/>
      </c>
      <c r="BQ62" s="2375"/>
      <c r="BR62" s="2375"/>
      <c r="BS62" s="2376"/>
      <c r="BT62" s="2368"/>
      <c r="BU62" s="2368"/>
      <c r="BV62" s="2368"/>
      <c r="BW62" s="2368"/>
      <c r="BX62" s="2368"/>
      <c r="BY62" s="2368"/>
      <c r="BZ62" s="2368"/>
      <c r="CA62" s="2368"/>
      <c r="CB62" s="2368"/>
      <c r="CC62" s="2368"/>
      <c r="CD62" s="2368"/>
      <c r="CE62" s="2368"/>
      <c r="CF62" s="2368"/>
      <c r="CG62" s="2368"/>
      <c r="CH62" s="2369"/>
      <c r="CI62" s="2886">
        <v>16</v>
      </c>
      <c r="CJ62" s="2886"/>
      <c r="CK62" s="2857" t="e">
        <f>'Concr. Curve'!BL40</f>
        <v>#DIV/0!</v>
      </c>
      <c r="CL62" s="2857"/>
      <c r="CM62" s="2857"/>
      <c r="CQ62" s="2967" t="str">
        <f t="shared" ref="CQ62" si="17">IF(OR(P62="",H62=""),"",MOD(P62-H62,1)*24*60)</f>
        <v/>
      </c>
      <c r="CR62" s="2968"/>
      <c r="CS62" s="2968"/>
      <c r="CT62" s="2969"/>
      <c r="EC62" s="109"/>
      <c r="ED62" s="109"/>
      <c r="EE62" s="109"/>
      <c r="EF62" s="109"/>
      <c r="EG62" s="109"/>
      <c r="EH62" s="109"/>
      <c r="EI62" s="109"/>
      <c r="EJ62" s="109"/>
      <c r="EK62" s="109"/>
      <c r="EL62" s="109"/>
      <c r="EM62" s="109"/>
      <c r="EN62" s="109"/>
      <c r="EO62" s="109"/>
      <c r="EP62" s="109"/>
      <c r="EQ62" s="109"/>
      <c r="ER62" s="109"/>
      <c r="ES62" s="109"/>
      <c r="ET62" s="109"/>
      <c r="EU62" s="109"/>
      <c r="EV62" s="109"/>
    </row>
    <row r="63" spans="1:152" ht="8.85" customHeight="1">
      <c r="A63" s="2518"/>
      <c r="B63" s="2530"/>
      <c r="C63" s="2522"/>
      <c r="D63" s="2522"/>
      <c r="E63" s="2522"/>
      <c r="F63" s="2522"/>
      <c r="G63" s="2527"/>
      <c r="H63" s="2506"/>
      <c r="I63" s="2507"/>
      <c r="J63" s="2507"/>
      <c r="K63" s="2508"/>
      <c r="L63" s="2477"/>
      <c r="M63" s="2478"/>
      <c r="N63" s="2478"/>
      <c r="O63" s="2479"/>
      <c r="P63" s="2506"/>
      <c r="Q63" s="2507"/>
      <c r="R63" s="2507"/>
      <c r="S63" s="2508"/>
      <c r="T63" s="2422"/>
      <c r="U63" s="2297"/>
      <c r="V63" s="2297"/>
      <c r="W63" s="2451"/>
      <c r="X63" s="2422"/>
      <c r="Y63" s="2297"/>
      <c r="Z63" s="2297"/>
      <c r="AA63" s="2451"/>
      <c r="AB63" s="2881"/>
      <c r="AC63" s="2881"/>
      <c r="AD63" s="2881"/>
      <c r="AE63" s="2882"/>
      <c r="AF63" s="2446"/>
      <c r="AG63" s="2297"/>
      <c r="AH63" s="2297"/>
      <c r="AI63" s="2447"/>
      <c r="AJ63" s="2297"/>
      <c r="AK63" s="2297"/>
      <c r="AL63" s="2297"/>
      <c r="AM63" s="2451"/>
      <c r="AN63" s="2297"/>
      <c r="AO63" s="2297"/>
      <c r="AP63" s="2297"/>
      <c r="AQ63" s="2451"/>
      <c r="AR63" s="2422"/>
      <c r="AS63" s="2297"/>
      <c r="AT63" s="2297"/>
      <c r="AU63" s="2451"/>
      <c r="AV63" s="2356"/>
      <c r="AW63" s="2356"/>
      <c r="AX63" s="2356"/>
      <c r="AY63" s="2880"/>
      <c r="AZ63" s="2356"/>
      <c r="BA63" s="2356"/>
      <c r="BB63" s="2356"/>
      <c r="BC63" s="2880"/>
      <c r="BD63" s="2356"/>
      <c r="BE63" s="2356"/>
      <c r="BF63" s="2356"/>
      <c r="BG63" s="2880"/>
      <c r="BH63" s="2356"/>
      <c r="BI63" s="2356"/>
      <c r="BJ63" s="2356"/>
      <c r="BK63" s="2880"/>
      <c r="BL63" s="2885"/>
      <c r="BM63" s="2375"/>
      <c r="BN63" s="2375"/>
      <c r="BO63" s="2375"/>
      <c r="BP63" s="2375"/>
      <c r="BQ63" s="2375"/>
      <c r="BR63" s="2375"/>
      <c r="BS63" s="2376"/>
      <c r="BT63" s="2370"/>
      <c r="BU63" s="2370"/>
      <c r="BV63" s="2370"/>
      <c r="BW63" s="2370"/>
      <c r="BX63" s="2370"/>
      <c r="BY63" s="2370"/>
      <c r="BZ63" s="2370"/>
      <c r="CA63" s="2370"/>
      <c r="CB63" s="2370"/>
      <c r="CC63" s="2370"/>
      <c r="CD63" s="2370"/>
      <c r="CE63" s="2370"/>
      <c r="CF63" s="2370"/>
      <c r="CG63" s="2370"/>
      <c r="CH63" s="2371"/>
      <c r="CI63" s="2886"/>
      <c r="CJ63" s="2886"/>
      <c r="CK63" s="2857"/>
      <c r="CL63" s="2857"/>
      <c r="CM63" s="2857"/>
      <c r="CQ63" s="2742"/>
      <c r="CR63" s="2743"/>
      <c r="CS63" s="2743"/>
      <c r="CT63" s="2744"/>
      <c r="EC63" s="109"/>
      <c r="ED63" s="109"/>
      <c r="EE63" s="109"/>
      <c r="EF63" s="109"/>
      <c r="EG63" s="109"/>
      <c r="EH63" s="109"/>
      <c r="EI63" s="109"/>
      <c r="EJ63" s="109"/>
      <c r="EK63" s="109"/>
      <c r="EL63" s="109"/>
      <c r="EM63" s="109"/>
      <c r="EN63" s="109"/>
      <c r="EO63" s="109"/>
      <c r="EP63" s="109"/>
      <c r="EQ63" s="109"/>
      <c r="ER63" s="109"/>
      <c r="ES63" s="109"/>
      <c r="ET63" s="109"/>
      <c r="EU63" s="109"/>
      <c r="EV63" s="109"/>
    </row>
    <row r="64" spans="1:152" ht="8.85" customHeight="1">
      <c r="A64" s="2518"/>
      <c r="B64" s="2530"/>
      <c r="C64" s="2522"/>
      <c r="D64" s="2522"/>
      <c r="E64" s="2522"/>
      <c r="F64" s="2522"/>
      <c r="G64" s="2527"/>
      <c r="H64" s="2506"/>
      <c r="I64" s="2507"/>
      <c r="J64" s="2507"/>
      <c r="K64" s="2508"/>
      <c r="L64" s="2477"/>
      <c r="M64" s="2478"/>
      <c r="N64" s="2478"/>
      <c r="O64" s="2479"/>
      <c r="P64" s="2506"/>
      <c r="Q64" s="2507"/>
      <c r="R64" s="2507"/>
      <c r="S64" s="2508"/>
      <c r="T64" s="2422"/>
      <c r="U64" s="2297"/>
      <c r="V64" s="2297"/>
      <c r="W64" s="2451"/>
      <c r="X64" s="2422"/>
      <c r="Y64" s="2297"/>
      <c r="Z64" s="2297"/>
      <c r="AA64" s="2451"/>
      <c r="AB64" s="2881"/>
      <c r="AC64" s="2881"/>
      <c r="AD64" s="2881"/>
      <c r="AE64" s="2882"/>
      <c r="AF64" s="2446"/>
      <c r="AG64" s="2297"/>
      <c r="AH64" s="2297"/>
      <c r="AI64" s="2447"/>
      <c r="AJ64" s="2297"/>
      <c r="AK64" s="2297"/>
      <c r="AL64" s="2297"/>
      <c r="AM64" s="2451"/>
      <c r="AN64" s="2297"/>
      <c r="AO64" s="2297"/>
      <c r="AP64" s="2297"/>
      <c r="AQ64" s="2451"/>
      <c r="AR64" s="2422"/>
      <c r="AS64" s="2297"/>
      <c r="AT64" s="2297"/>
      <c r="AU64" s="2451"/>
      <c r="AV64" s="2356"/>
      <c r="AW64" s="2356"/>
      <c r="AX64" s="2356"/>
      <c r="AY64" s="2880"/>
      <c r="AZ64" s="2356"/>
      <c r="BA64" s="2356"/>
      <c r="BB64" s="2356"/>
      <c r="BC64" s="2880"/>
      <c r="BD64" s="2356"/>
      <c r="BE64" s="2356"/>
      <c r="BF64" s="2356"/>
      <c r="BG64" s="2880"/>
      <c r="BH64" s="2356"/>
      <c r="BI64" s="2356"/>
      <c r="BJ64" s="2356"/>
      <c r="BK64" s="2880"/>
      <c r="BL64" s="2885"/>
      <c r="BM64" s="2375"/>
      <c r="BN64" s="2375"/>
      <c r="BO64" s="2375"/>
      <c r="BP64" s="2375"/>
      <c r="BQ64" s="2375"/>
      <c r="BR64" s="2375"/>
      <c r="BS64" s="2376"/>
      <c r="BT64" s="2370"/>
      <c r="BU64" s="2370"/>
      <c r="BV64" s="2370"/>
      <c r="BW64" s="2370"/>
      <c r="BX64" s="2370"/>
      <c r="BY64" s="2370"/>
      <c r="BZ64" s="2370"/>
      <c r="CA64" s="2370"/>
      <c r="CB64" s="2370"/>
      <c r="CC64" s="2370"/>
      <c r="CD64" s="2370"/>
      <c r="CE64" s="2370"/>
      <c r="CF64" s="2370"/>
      <c r="CG64" s="2370"/>
      <c r="CH64" s="2371"/>
      <c r="CI64" s="2886"/>
      <c r="CJ64" s="2886"/>
      <c r="CK64" s="2857"/>
      <c r="CL64" s="2857"/>
      <c r="CM64" s="2857"/>
      <c r="CQ64" s="2742"/>
      <c r="CR64" s="2743"/>
      <c r="CS64" s="2743"/>
      <c r="CT64" s="2744"/>
      <c r="EC64" s="109"/>
      <c r="ED64" s="109"/>
      <c r="EE64" s="109"/>
      <c r="EF64" s="109"/>
      <c r="EG64" s="109"/>
      <c r="EH64" s="109"/>
      <c r="EI64" s="109"/>
      <c r="EJ64" s="109"/>
      <c r="EK64" s="109"/>
      <c r="EL64" s="109"/>
      <c r="EM64" s="109"/>
      <c r="EN64" s="109"/>
      <c r="EO64" s="109"/>
      <c r="EP64" s="109"/>
      <c r="EQ64" s="109"/>
      <c r="ER64" s="109"/>
      <c r="ES64" s="109"/>
      <c r="ET64" s="109"/>
      <c r="EU64" s="109"/>
      <c r="EV64" s="109"/>
    </row>
    <row r="65" spans="1:152" ht="8.85" customHeight="1">
      <c r="A65" s="2518"/>
      <c r="B65" s="2523"/>
      <c r="C65" s="2524"/>
      <c r="D65" s="2524"/>
      <c r="E65" s="2524"/>
      <c r="F65" s="2524"/>
      <c r="G65" s="2528"/>
      <c r="H65" s="2509"/>
      <c r="I65" s="2510"/>
      <c r="J65" s="2510"/>
      <c r="K65" s="2511"/>
      <c r="L65" s="2480"/>
      <c r="M65" s="2481"/>
      <c r="N65" s="2481"/>
      <c r="O65" s="2482"/>
      <c r="P65" s="2509"/>
      <c r="Q65" s="2510"/>
      <c r="R65" s="2510"/>
      <c r="S65" s="2511"/>
      <c r="T65" s="2439"/>
      <c r="U65" s="2298"/>
      <c r="V65" s="2298"/>
      <c r="W65" s="2452"/>
      <c r="X65" s="2439"/>
      <c r="Y65" s="2298"/>
      <c r="Z65" s="2298"/>
      <c r="AA65" s="2452"/>
      <c r="AB65" s="2881"/>
      <c r="AC65" s="2881"/>
      <c r="AD65" s="2881"/>
      <c r="AE65" s="2882"/>
      <c r="AF65" s="2444"/>
      <c r="AG65" s="2298"/>
      <c r="AH65" s="2298"/>
      <c r="AI65" s="2445"/>
      <c r="AJ65" s="2298"/>
      <c r="AK65" s="2298"/>
      <c r="AL65" s="2298"/>
      <c r="AM65" s="2452"/>
      <c r="AN65" s="2298"/>
      <c r="AO65" s="2298"/>
      <c r="AP65" s="2298"/>
      <c r="AQ65" s="2452"/>
      <c r="AR65" s="2439"/>
      <c r="AS65" s="2298"/>
      <c r="AT65" s="2298"/>
      <c r="AU65" s="2452"/>
      <c r="AV65" s="2356"/>
      <c r="AW65" s="2356"/>
      <c r="AX65" s="2356"/>
      <c r="AY65" s="2880"/>
      <c r="AZ65" s="2356"/>
      <c r="BA65" s="2356"/>
      <c r="BB65" s="2356"/>
      <c r="BC65" s="2880"/>
      <c r="BD65" s="2356"/>
      <c r="BE65" s="2356"/>
      <c r="BF65" s="2356"/>
      <c r="BG65" s="2880"/>
      <c r="BH65" s="2356"/>
      <c r="BI65" s="2356"/>
      <c r="BJ65" s="2356"/>
      <c r="BK65" s="2880"/>
      <c r="BL65" s="2885"/>
      <c r="BM65" s="2375"/>
      <c r="BN65" s="2375"/>
      <c r="BO65" s="2375"/>
      <c r="BP65" s="2375"/>
      <c r="BQ65" s="2375"/>
      <c r="BR65" s="2375"/>
      <c r="BS65" s="2376"/>
      <c r="BT65" s="2372"/>
      <c r="BU65" s="2372"/>
      <c r="BV65" s="2372"/>
      <c r="BW65" s="2372"/>
      <c r="BX65" s="2372"/>
      <c r="BY65" s="2372"/>
      <c r="BZ65" s="2372"/>
      <c r="CA65" s="2372"/>
      <c r="CB65" s="2372"/>
      <c r="CC65" s="2372"/>
      <c r="CD65" s="2372"/>
      <c r="CE65" s="2372"/>
      <c r="CF65" s="2372"/>
      <c r="CG65" s="2372"/>
      <c r="CH65" s="2373"/>
      <c r="CI65" s="2886"/>
      <c r="CJ65" s="2886"/>
      <c r="CK65" s="2857"/>
      <c r="CL65" s="2857"/>
      <c r="CM65" s="2857"/>
      <c r="CQ65" s="2745"/>
      <c r="CR65" s="2746"/>
      <c r="CS65" s="2746"/>
      <c r="CT65" s="2747"/>
      <c r="EC65" s="109"/>
      <c r="ED65" s="109"/>
      <c r="EE65" s="109"/>
      <c r="EF65" s="109"/>
      <c r="EG65" s="109"/>
      <c r="EH65" s="109"/>
      <c r="EI65" s="109"/>
      <c r="EJ65" s="109"/>
      <c r="EK65" s="109"/>
      <c r="EL65" s="109"/>
      <c r="EM65" s="109"/>
      <c r="EN65" s="109"/>
      <c r="EO65" s="109"/>
      <c r="EP65" s="109"/>
      <c r="EQ65" s="109"/>
      <c r="ER65" s="109"/>
      <c r="ES65" s="109"/>
      <c r="ET65" s="109"/>
      <c r="EU65" s="109"/>
      <c r="EV65" s="109"/>
    </row>
    <row r="66" spans="1:152" ht="8.85" customHeight="1">
      <c r="A66" s="2518">
        <v>17</v>
      </c>
      <c r="B66" s="2525"/>
      <c r="C66" s="2520"/>
      <c r="D66" s="2520"/>
      <c r="E66" s="2520"/>
      <c r="F66" s="2520"/>
      <c r="G66" s="2529"/>
      <c r="H66" s="2503"/>
      <c r="I66" s="2504"/>
      <c r="J66" s="2504"/>
      <c r="K66" s="2505"/>
      <c r="L66" s="2474"/>
      <c r="M66" s="2475"/>
      <c r="N66" s="2475"/>
      <c r="O66" s="2476"/>
      <c r="P66" s="2503"/>
      <c r="Q66" s="2504"/>
      <c r="R66" s="2504"/>
      <c r="S66" s="2505"/>
      <c r="T66" s="2420"/>
      <c r="U66" s="2421"/>
      <c r="V66" s="2421"/>
      <c r="W66" s="2450"/>
      <c r="X66" s="2420"/>
      <c r="Y66" s="2421"/>
      <c r="Z66" s="2421"/>
      <c r="AA66" s="2450"/>
      <c r="AB66" s="2881" t="str">
        <f t="shared" ref="AB66" si="18">IF(L66="REJECTED",AB62,IF(X66="","",IF(N$22="","",N$22-X66)))</f>
        <v/>
      </c>
      <c r="AC66" s="2881"/>
      <c r="AD66" s="2881"/>
      <c r="AE66" s="2882"/>
      <c r="AF66" s="2440"/>
      <c r="AG66" s="2421"/>
      <c r="AH66" s="2421"/>
      <c r="AI66" s="2441"/>
      <c r="AJ66" s="2421"/>
      <c r="AK66" s="2421"/>
      <c r="AL66" s="2421"/>
      <c r="AM66" s="2483"/>
      <c r="AN66" s="2421"/>
      <c r="AO66" s="2421"/>
      <c r="AP66" s="2421"/>
      <c r="AQ66" s="2483"/>
      <c r="AR66" s="2420"/>
      <c r="AS66" s="2421"/>
      <c r="AT66" s="2421"/>
      <c r="AU66" s="2483"/>
      <c r="AV66" s="2356"/>
      <c r="AW66" s="2356"/>
      <c r="AX66" s="2356"/>
      <c r="AY66" s="2880"/>
      <c r="AZ66" s="2356"/>
      <c r="BA66" s="2356"/>
      <c r="BB66" s="2356"/>
      <c r="BC66" s="2880"/>
      <c r="BD66" s="2356"/>
      <c r="BE66" s="2356"/>
      <c r="BF66" s="2356"/>
      <c r="BG66" s="2880"/>
      <c r="BH66" s="2356"/>
      <c r="BI66" s="2356"/>
      <c r="BJ66" s="2356"/>
      <c r="BK66" s="2880"/>
      <c r="BL66" s="2885" t="str">
        <f t="shared" ref="BL66" si="19">IF(OR(L66="REJECTED",L66="Not Placed"),0,IF(AF66="","",SUM(AF66:AM69)-SUM(AN66:BK69)))</f>
        <v/>
      </c>
      <c r="BM66" s="2375"/>
      <c r="BN66" s="2375"/>
      <c r="BO66" s="2375"/>
      <c r="BP66" s="2375" t="str">
        <f t="shared" ref="BP66" si="20">IF(L66="REJECTED",BP62,IF(AF66="","",BP62+BL66))</f>
        <v/>
      </c>
      <c r="BQ66" s="2375"/>
      <c r="BR66" s="2375"/>
      <c r="BS66" s="2376"/>
      <c r="BT66" s="2368"/>
      <c r="BU66" s="2368"/>
      <c r="BV66" s="2368"/>
      <c r="BW66" s="2368"/>
      <c r="BX66" s="2368"/>
      <c r="BY66" s="2368"/>
      <c r="BZ66" s="2368"/>
      <c r="CA66" s="2368"/>
      <c r="CB66" s="2368"/>
      <c r="CC66" s="2368"/>
      <c r="CD66" s="2368"/>
      <c r="CE66" s="2368"/>
      <c r="CF66" s="2368"/>
      <c r="CG66" s="2368"/>
      <c r="CH66" s="2369"/>
      <c r="CI66" s="2886">
        <v>17</v>
      </c>
      <c r="CJ66" s="2886"/>
      <c r="CK66" s="2857" t="e">
        <f>'Concr. Curve'!BL39</f>
        <v>#DIV/0!</v>
      </c>
      <c r="CL66" s="2857"/>
      <c r="CM66" s="2857"/>
      <c r="CQ66" s="2967" t="str">
        <f t="shared" ref="CQ66" si="21">IF(OR(P66="",H66=""),"",MOD(P66-H66,1)*24*60)</f>
        <v/>
      </c>
      <c r="CR66" s="2968"/>
      <c r="CS66" s="2968"/>
      <c r="CT66" s="2969"/>
      <c r="EC66" s="109"/>
      <c r="ED66" s="109"/>
      <c r="EE66" s="109"/>
      <c r="EF66" s="109"/>
      <c r="EG66" s="109"/>
      <c r="EH66" s="109"/>
      <c r="EI66" s="109"/>
      <c r="EJ66" s="109"/>
      <c r="EK66" s="109"/>
      <c r="EL66" s="109"/>
      <c r="EM66" s="109"/>
      <c r="EN66" s="109"/>
      <c r="EO66" s="109"/>
      <c r="EP66" s="109"/>
      <c r="EQ66" s="109"/>
      <c r="ER66" s="109"/>
      <c r="ES66" s="109"/>
      <c r="ET66" s="109"/>
      <c r="EU66" s="109"/>
      <c r="EV66" s="109"/>
    </row>
    <row r="67" spans="1:152" ht="8.85" customHeight="1">
      <c r="A67" s="2518"/>
      <c r="B67" s="2530"/>
      <c r="C67" s="2522"/>
      <c r="D67" s="2522"/>
      <c r="E67" s="2522"/>
      <c r="F67" s="2522"/>
      <c r="G67" s="2527"/>
      <c r="H67" s="2506"/>
      <c r="I67" s="2507"/>
      <c r="J67" s="2507"/>
      <c r="K67" s="2508"/>
      <c r="L67" s="2477"/>
      <c r="M67" s="2478"/>
      <c r="N67" s="2478"/>
      <c r="O67" s="2479"/>
      <c r="P67" s="2506"/>
      <c r="Q67" s="2507"/>
      <c r="R67" s="2507"/>
      <c r="S67" s="2508"/>
      <c r="T67" s="2422"/>
      <c r="U67" s="2297"/>
      <c r="V67" s="2297"/>
      <c r="W67" s="2451"/>
      <c r="X67" s="2422"/>
      <c r="Y67" s="2297"/>
      <c r="Z67" s="2297"/>
      <c r="AA67" s="2451"/>
      <c r="AB67" s="2881"/>
      <c r="AC67" s="2881"/>
      <c r="AD67" s="2881"/>
      <c r="AE67" s="2882"/>
      <c r="AF67" s="2446"/>
      <c r="AG67" s="2297"/>
      <c r="AH67" s="2297"/>
      <c r="AI67" s="2447"/>
      <c r="AJ67" s="2297"/>
      <c r="AK67" s="2297"/>
      <c r="AL67" s="2297"/>
      <c r="AM67" s="2451"/>
      <c r="AN67" s="2297"/>
      <c r="AO67" s="2297"/>
      <c r="AP67" s="2297"/>
      <c r="AQ67" s="2451"/>
      <c r="AR67" s="2422"/>
      <c r="AS67" s="2297"/>
      <c r="AT67" s="2297"/>
      <c r="AU67" s="2451"/>
      <c r="AV67" s="2356"/>
      <c r="AW67" s="2356"/>
      <c r="AX67" s="2356"/>
      <c r="AY67" s="2880"/>
      <c r="AZ67" s="2356"/>
      <c r="BA67" s="2356"/>
      <c r="BB67" s="2356"/>
      <c r="BC67" s="2880"/>
      <c r="BD67" s="2356"/>
      <c r="BE67" s="2356"/>
      <c r="BF67" s="2356"/>
      <c r="BG67" s="2880"/>
      <c r="BH67" s="2356"/>
      <c r="BI67" s="2356"/>
      <c r="BJ67" s="2356"/>
      <c r="BK67" s="2880"/>
      <c r="BL67" s="2885"/>
      <c r="BM67" s="2375"/>
      <c r="BN67" s="2375"/>
      <c r="BO67" s="2375"/>
      <c r="BP67" s="2375"/>
      <c r="BQ67" s="2375"/>
      <c r="BR67" s="2375"/>
      <c r="BS67" s="2376"/>
      <c r="BT67" s="2370"/>
      <c r="BU67" s="2370"/>
      <c r="BV67" s="2370"/>
      <c r="BW67" s="2370"/>
      <c r="BX67" s="2370"/>
      <c r="BY67" s="2370"/>
      <c r="BZ67" s="2370"/>
      <c r="CA67" s="2370"/>
      <c r="CB67" s="2370"/>
      <c r="CC67" s="2370"/>
      <c r="CD67" s="2370"/>
      <c r="CE67" s="2370"/>
      <c r="CF67" s="2370"/>
      <c r="CG67" s="2370"/>
      <c r="CH67" s="2371"/>
      <c r="CI67" s="2886"/>
      <c r="CJ67" s="2886"/>
      <c r="CK67" s="2857"/>
      <c r="CL67" s="2857"/>
      <c r="CM67" s="2857"/>
      <c r="CQ67" s="2742"/>
      <c r="CR67" s="2743"/>
      <c r="CS67" s="2743"/>
      <c r="CT67" s="2744"/>
      <c r="EC67" s="109"/>
      <c r="ED67" s="109"/>
      <c r="EE67" s="109"/>
      <c r="EF67" s="109"/>
      <c r="EG67" s="109"/>
      <c r="EH67" s="109"/>
      <c r="EI67" s="109"/>
      <c r="EJ67" s="109"/>
      <c r="EK67" s="109"/>
      <c r="EL67" s="109"/>
      <c r="EM67" s="109"/>
      <c r="EN67" s="109"/>
      <c r="EO67" s="109"/>
      <c r="EP67" s="109"/>
      <c r="EQ67" s="109"/>
      <c r="ER67" s="109"/>
      <c r="ES67" s="109"/>
      <c r="ET67" s="109"/>
      <c r="EU67" s="109"/>
      <c r="EV67" s="109"/>
    </row>
    <row r="68" spans="1:152" ht="8.85" customHeight="1">
      <c r="A68" s="2518"/>
      <c r="B68" s="2530"/>
      <c r="C68" s="2522"/>
      <c r="D68" s="2522"/>
      <c r="E68" s="2522"/>
      <c r="F68" s="2522"/>
      <c r="G68" s="2527"/>
      <c r="H68" s="2506"/>
      <c r="I68" s="2507"/>
      <c r="J68" s="2507"/>
      <c r="K68" s="2508"/>
      <c r="L68" s="2477"/>
      <c r="M68" s="2478"/>
      <c r="N68" s="2478"/>
      <c r="O68" s="2479"/>
      <c r="P68" s="2506"/>
      <c r="Q68" s="2507"/>
      <c r="R68" s="2507"/>
      <c r="S68" s="2508"/>
      <c r="T68" s="2422"/>
      <c r="U68" s="2297"/>
      <c r="V68" s="2297"/>
      <c r="W68" s="2451"/>
      <c r="X68" s="2422"/>
      <c r="Y68" s="2297"/>
      <c r="Z68" s="2297"/>
      <c r="AA68" s="2451"/>
      <c r="AB68" s="2881"/>
      <c r="AC68" s="2881"/>
      <c r="AD68" s="2881"/>
      <c r="AE68" s="2882"/>
      <c r="AF68" s="2446"/>
      <c r="AG68" s="2297"/>
      <c r="AH68" s="2297"/>
      <c r="AI68" s="2447"/>
      <c r="AJ68" s="2297"/>
      <c r="AK68" s="2297"/>
      <c r="AL68" s="2297"/>
      <c r="AM68" s="2451"/>
      <c r="AN68" s="2297"/>
      <c r="AO68" s="2297"/>
      <c r="AP68" s="2297"/>
      <c r="AQ68" s="2451"/>
      <c r="AR68" s="2422"/>
      <c r="AS68" s="2297"/>
      <c r="AT68" s="2297"/>
      <c r="AU68" s="2451"/>
      <c r="AV68" s="2356"/>
      <c r="AW68" s="2356"/>
      <c r="AX68" s="2356"/>
      <c r="AY68" s="2880"/>
      <c r="AZ68" s="2356"/>
      <c r="BA68" s="2356"/>
      <c r="BB68" s="2356"/>
      <c r="BC68" s="2880"/>
      <c r="BD68" s="2356"/>
      <c r="BE68" s="2356"/>
      <c r="BF68" s="2356"/>
      <c r="BG68" s="2880"/>
      <c r="BH68" s="2356"/>
      <c r="BI68" s="2356"/>
      <c r="BJ68" s="2356"/>
      <c r="BK68" s="2880"/>
      <c r="BL68" s="2885"/>
      <c r="BM68" s="2375"/>
      <c r="BN68" s="2375"/>
      <c r="BO68" s="2375"/>
      <c r="BP68" s="2375"/>
      <c r="BQ68" s="2375"/>
      <c r="BR68" s="2375"/>
      <c r="BS68" s="2376"/>
      <c r="BT68" s="2370"/>
      <c r="BU68" s="2370"/>
      <c r="BV68" s="2370"/>
      <c r="BW68" s="2370"/>
      <c r="BX68" s="2370"/>
      <c r="BY68" s="2370"/>
      <c r="BZ68" s="2370"/>
      <c r="CA68" s="2370"/>
      <c r="CB68" s="2370"/>
      <c r="CC68" s="2370"/>
      <c r="CD68" s="2370"/>
      <c r="CE68" s="2370"/>
      <c r="CF68" s="2370"/>
      <c r="CG68" s="2370"/>
      <c r="CH68" s="2371"/>
      <c r="CI68" s="2886"/>
      <c r="CJ68" s="2886"/>
      <c r="CK68" s="2857"/>
      <c r="CL68" s="2857"/>
      <c r="CM68" s="2857"/>
      <c r="CQ68" s="2742"/>
      <c r="CR68" s="2743"/>
      <c r="CS68" s="2743"/>
      <c r="CT68" s="2744"/>
      <c r="EC68" s="109"/>
      <c r="ED68" s="109"/>
      <c r="EE68" s="109"/>
      <c r="EF68" s="109"/>
      <c r="EG68" s="109"/>
      <c r="EH68" s="109"/>
      <c r="EI68" s="109"/>
      <c r="EJ68" s="109"/>
      <c r="EK68" s="109"/>
      <c r="EL68" s="109"/>
      <c r="EM68" s="109"/>
      <c r="EN68" s="109"/>
      <c r="EO68" s="109"/>
      <c r="EP68" s="109"/>
      <c r="EQ68" s="109"/>
      <c r="ER68" s="109"/>
      <c r="ES68" s="109"/>
      <c r="ET68" s="109"/>
      <c r="EU68" s="109"/>
      <c r="EV68" s="109"/>
    </row>
    <row r="69" spans="1:152" ht="8.85" customHeight="1">
      <c r="A69" s="2518"/>
      <c r="B69" s="2523"/>
      <c r="C69" s="2524"/>
      <c r="D69" s="2524"/>
      <c r="E69" s="2524"/>
      <c r="F69" s="2524"/>
      <c r="G69" s="2528"/>
      <c r="H69" s="2509"/>
      <c r="I69" s="2510"/>
      <c r="J69" s="2510"/>
      <c r="K69" s="2511"/>
      <c r="L69" s="2480"/>
      <c r="M69" s="2481"/>
      <c r="N69" s="2481"/>
      <c r="O69" s="2482"/>
      <c r="P69" s="2509"/>
      <c r="Q69" s="2510"/>
      <c r="R69" s="2510"/>
      <c r="S69" s="2511"/>
      <c r="T69" s="2439"/>
      <c r="U69" s="2298"/>
      <c r="V69" s="2298"/>
      <c r="W69" s="2452"/>
      <c r="X69" s="2439"/>
      <c r="Y69" s="2298"/>
      <c r="Z69" s="2298"/>
      <c r="AA69" s="2452"/>
      <c r="AB69" s="2881"/>
      <c r="AC69" s="2881"/>
      <c r="AD69" s="2881"/>
      <c r="AE69" s="2882"/>
      <c r="AF69" s="2444"/>
      <c r="AG69" s="2298"/>
      <c r="AH69" s="2298"/>
      <c r="AI69" s="2445"/>
      <c r="AJ69" s="2298"/>
      <c r="AK69" s="2298"/>
      <c r="AL69" s="2298"/>
      <c r="AM69" s="2452"/>
      <c r="AN69" s="2298"/>
      <c r="AO69" s="2298"/>
      <c r="AP69" s="2298"/>
      <c r="AQ69" s="2452"/>
      <c r="AR69" s="2439"/>
      <c r="AS69" s="2298"/>
      <c r="AT69" s="2298"/>
      <c r="AU69" s="2452"/>
      <c r="AV69" s="2356"/>
      <c r="AW69" s="2356"/>
      <c r="AX69" s="2356"/>
      <c r="AY69" s="2880"/>
      <c r="AZ69" s="2356"/>
      <c r="BA69" s="2356"/>
      <c r="BB69" s="2356"/>
      <c r="BC69" s="2880"/>
      <c r="BD69" s="2356"/>
      <c r="BE69" s="2356"/>
      <c r="BF69" s="2356"/>
      <c r="BG69" s="2880"/>
      <c r="BH69" s="2356"/>
      <c r="BI69" s="2356"/>
      <c r="BJ69" s="2356"/>
      <c r="BK69" s="2880"/>
      <c r="BL69" s="2885"/>
      <c r="BM69" s="2375"/>
      <c r="BN69" s="2375"/>
      <c r="BO69" s="2375"/>
      <c r="BP69" s="2375"/>
      <c r="BQ69" s="2375"/>
      <c r="BR69" s="2375"/>
      <c r="BS69" s="2376"/>
      <c r="BT69" s="2372"/>
      <c r="BU69" s="2372"/>
      <c r="BV69" s="2372"/>
      <c r="BW69" s="2372"/>
      <c r="BX69" s="2372"/>
      <c r="BY69" s="2372"/>
      <c r="BZ69" s="2372"/>
      <c r="CA69" s="2372"/>
      <c r="CB69" s="2372"/>
      <c r="CC69" s="2372"/>
      <c r="CD69" s="2372"/>
      <c r="CE69" s="2372"/>
      <c r="CF69" s="2372"/>
      <c r="CG69" s="2372"/>
      <c r="CH69" s="2373"/>
      <c r="CI69" s="2886"/>
      <c r="CJ69" s="2886"/>
      <c r="CK69" s="2857"/>
      <c r="CL69" s="2857"/>
      <c r="CM69" s="2857"/>
      <c r="CQ69" s="2745"/>
      <c r="CR69" s="2746"/>
      <c r="CS69" s="2746"/>
      <c r="CT69" s="2747"/>
      <c r="EC69" s="109"/>
      <c r="ED69" s="109"/>
      <c r="EE69" s="109"/>
      <c r="EF69" s="109"/>
      <c r="EG69" s="109"/>
      <c r="EH69" s="109"/>
      <c r="EI69" s="109"/>
      <c r="EJ69" s="109"/>
      <c r="EK69" s="109"/>
      <c r="EL69" s="109"/>
      <c r="EM69" s="109"/>
      <c r="EN69" s="109"/>
      <c r="EO69" s="109"/>
      <c r="EP69" s="109"/>
      <c r="EQ69" s="109"/>
      <c r="ER69" s="109"/>
      <c r="ES69" s="109"/>
      <c r="ET69" s="109"/>
      <c r="EU69" s="109"/>
      <c r="EV69" s="109"/>
    </row>
    <row r="70" spans="1:152" ht="8.85" customHeight="1">
      <c r="A70" s="2518">
        <v>18</v>
      </c>
      <c r="B70" s="2525"/>
      <c r="C70" s="2520"/>
      <c r="D70" s="2520"/>
      <c r="E70" s="2520"/>
      <c r="F70" s="2520"/>
      <c r="G70" s="2529"/>
      <c r="H70" s="2503"/>
      <c r="I70" s="2504"/>
      <c r="J70" s="2504"/>
      <c r="K70" s="2505"/>
      <c r="L70" s="2474"/>
      <c r="M70" s="2475"/>
      <c r="N70" s="2475"/>
      <c r="O70" s="2476"/>
      <c r="P70" s="2503"/>
      <c r="Q70" s="2504"/>
      <c r="R70" s="2504"/>
      <c r="S70" s="2505"/>
      <c r="T70" s="2420"/>
      <c r="U70" s="2421"/>
      <c r="V70" s="2421"/>
      <c r="W70" s="2450"/>
      <c r="X70" s="2420"/>
      <c r="Y70" s="2421"/>
      <c r="Z70" s="2421"/>
      <c r="AA70" s="2450"/>
      <c r="AB70" s="2881" t="str">
        <f t="shared" ref="AB70" si="22">IF(L70="REJECTED",AB66,IF(X70="","",IF(N$22="","",N$22-X70)))</f>
        <v/>
      </c>
      <c r="AC70" s="2881"/>
      <c r="AD70" s="2881"/>
      <c r="AE70" s="2882"/>
      <c r="AF70" s="2440"/>
      <c r="AG70" s="2421"/>
      <c r="AH70" s="2421"/>
      <c r="AI70" s="2441"/>
      <c r="AJ70" s="2421"/>
      <c r="AK70" s="2421"/>
      <c r="AL70" s="2421"/>
      <c r="AM70" s="2483"/>
      <c r="AN70" s="2421"/>
      <c r="AO70" s="2421"/>
      <c r="AP70" s="2421"/>
      <c r="AQ70" s="2483"/>
      <c r="AR70" s="2420"/>
      <c r="AS70" s="2421"/>
      <c r="AT70" s="2421"/>
      <c r="AU70" s="2483"/>
      <c r="AV70" s="2356"/>
      <c r="AW70" s="2356"/>
      <c r="AX70" s="2356"/>
      <c r="AY70" s="2880"/>
      <c r="AZ70" s="2356"/>
      <c r="BA70" s="2356"/>
      <c r="BB70" s="2356"/>
      <c r="BC70" s="2880"/>
      <c r="BD70" s="2356"/>
      <c r="BE70" s="2356"/>
      <c r="BF70" s="2356"/>
      <c r="BG70" s="2880"/>
      <c r="BH70" s="2356"/>
      <c r="BI70" s="2356"/>
      <c r="BJ70" s="2356"/>
      <c r="BK70" s="2880"/>
      <c r="BL70" s="2885" t="str">
        <f t="shared" ref="BL70" si="23">IF(OR(L70="REJECTED",L70="Not Placed"),0,IF(AF70="","",SUM(AF70:AM73)-SUM(AN70:BK73)))</f>
        <v/>
      </c>
      <c r="BM70" s="2375"/>
      <c r="BN70" s="2375"/>
      <c r="BO70" s="2375"/>
      <c r="BP70" s="2375" t="str">
        <f t="shared" ref="BP70" si="24">IF(L70="REJECTED",BP66,IF(AF70="","",BP66+BL70))</f>
        <v/>
      </c>
      <c r="BQ70" s="2375"/>
      <c r="BR70" s="2375"/>
      <c r="BS70" s="2376"/>
      <c r="BT70" s="2368"/>
      <c r="BU70" s="2368"/>
      <c r="BV70" s="2368"/>
      <c r="BW70" s="2368"/>
      <c r="BX70" s="2368"/>
      <c r="BY70" s="2368"/>
      <c r="BZ70" s="2368"/>
      <c r="CA70" s="2368"/>
      <c r="CB70" s="2368"/>
      <c r="CC70" s="2368"/>
      <c r="CD70" s="2368"/>
      <c r="CE70" s="2368"/>
      <c r="CF70" s="2368"/>
      <c r="CG70" s="2368"/>
      <c r="CH70" s="2369"/>
      <c r="CI70" s="2886">
        <v>18</v>
      </c>
      <c r="CJ70" s="2886"/>
      <c r="CK70" s="2857" t="e">
        <f>'Concr. Curve'!BL38</f>
        <v>#DIV/0!</v>
      </c>
      <c r="CL70" s="2857"/>
      <c r="CM70" s="2857"/>
      <c r="CQ70" s="2967" t="str">
        <f t="shared" ref="CQ70" si="25">IF(OR(P70="",H70=""),"",MOD(P70-H70,1)*24*60)</f>
        <v/>
      </c>
      <c r="CR70" s="2968"/>
      <c r="CS70" s="2968"/>
      <c r="CT70" s="2969"/>
      <c r="EC70" s="109"/>
      <c r="ED70" s="109"/>
      <c r="EE70" s="109"/>
      <c r="EF70" s="109"/>
      <c r="EG70" s="109"/>
      <c r="EH70" s="109"/>
      <c r="EI70" s="109"/>
      <c r="EJ70" s="109"/>
      <c r="EK70" s="109"/>
      <c r="EL70" s="109"/>
      <c r="EM70" s="109"/>
      <c r="EN70" s="109"/>
      <c r="EO70" s="109"/>
      <c r="EP70" s="109"/>
      <c r="EQ70" s="109"/>
      <c r="ER70" s="109"/>
      <c r="ES70" s="109"/>
      <c r="ET70" s="109"/>
      <c r="EU70" s="109"/>
      <c r="EV70" s="109"/>
    </row>
    <row r="71" spans="1:152" ht="8.85" customHeight="1">
      <c r="A71" s="2518"/>
      <c r="B71" s="2530"/>
      <c r="C71" s="2522"/>
      <c r="D71" s="2522"/>
      <c r="E71" s="2522"/>
      <c r="F71" s="2522"/>
      <c r="G71" s="2527"/>
      <c r="H71" s="2506"/>
      <c r="I71" s="2507"/>
      <c r="J71" s="2507"/>
      <c r="K71" s="2508"/>
      <c r="L71" s="2477"/>
      <c r="M71" s="2478"/>
      <c r="N71" s="2478"/>
      <c r="O71" s="2479"/>
      <c r="P71" s="2506"/>
      <c r="Q71" s="2507"/>
      <c r="R71" s="2507"/>
      <c r="S71" s="2508"/>
      <c r="T71" s="2422"/>
      <c r="U71" s="2297"/>
      <c r="V71" s="2297"/>
      <c r="W71" s="2451"/>
      <c r="X71" s="2422"/>
      <c r="Y71" s="2297"/>
      <c r="Z71" s="2297"/>
      <c r="AA71" s="2451"/>
      <c r="AB71" s="2881"/>
      <c r="AC71" s="2881"/>
      <c r="AD71" s="2881"/>
      <c r="AE71" s="2882"/>
      <c r="AF71" s="2446"/>
      <c r="AG71" s="2297"/>
      <c r="AH71" s="2297"/>
      <c r="AI71" s="2447"/>
      <c r="AJ71" s="2297"/>
      <c r="AK71" s="2297"/>
      <c r="AL71" s="2297"/>
      <c r="AM71" s="2451"/>
      <c r="AN71" s="2297"/>
      <c r="AO71" s="2297"/>
      <c r="AP71" s="2297"/>
      <c r="AQ71" s="2451"/>
      <c r="AR71" s="2422"/>
      <c r="AS71" s="2297"/>
      <c r="AT71" s="2297"/>
      <c r="AU71" s="2451"/>
      <c r="AV71" s="2356"/>
      <c r="AW71" s="2356"/>
      <c r="AX71" s="2356"/>
      <c r="AY71" s="2880"/>
      <c r="AZ71" s="2356"/>
      <c r="BA71" s="2356"/>
      <c r="BB71" s="2356"/>
      <c r="BC71" s="2880"/>
      <c r="BD71" s="2356"/>
      <c r="BE71" s="2356"/>
      <c r="BF71" s="2356"/>
      <c r="BG71" s="2880"/>
      <c r="BH71" s="2356"/>
      <c r="BI71" s="2356"/>
      <c r="BJ71" s="2356"/>
      <c r="BK71" s="2880"/>
      <c r="BL71" s="2885"/>
      <c r="BM71" s="2375"/>
      <c r="BN71" s="2375"/>
      <c r="BO71" s="2375"/>
      <c r="BP71" s="2375"/>
      <c r="BQ71" s="2375"/>
      <c r="BR71" s="2375"/>
      <c r="BS71" s="2376"/>
      <c r="BT71" s="2370"/>
      <c r="BU71" s="2370"/>
      <c r="BV71" s="2370"/>
      <c r="BW71" s="2370"/>
      <c r="BX71" s="2370"/>
      <c r="BY71" s="2370"/>
      <c r="BZ71" s="2370"/>
      <c r="CA71" s="2370"/>
      <c r="CB71" s="2370"/>
      <c r="CC71" s="2370"/>
      <c r="CD71" s="2370"/>
      <c r="CE71" s="2370"/>
      <c r="CF71" s="2370"/>
      <c r="CG71" s="2370"/>
      <c r="CH71" s="2371"/>
      <c r="CI71" s="2886"/>
      <c r="CJ71" s="2886"/>
      <c r="CK71" s="2857"/>
      <c r="CL71" s="2857"/>
      <c r="CM71" s="2857"/>
      <c r="CQ71" s="2742"/>
      <c r="CR71" s="2743"/>
      <c r="CS71" s="2743"/>
      <c r="CT71" s="2744"/>
      <c r="EC71" s="109"/>
      <c r="ED71" s="109"/>
      <c r="EE71" s="109"/>
      <c r="EF71" s="109"/>
      <c r="EG71" s="109"/>
      <c r="EH71" s="109"/>
      <c r="EI71" s="109"/>
      <c r="EJ71" s="109"/>
      <c r="EK71" s="109"/>
      <c r="EL71" s="109"/>
      <c r="EM71" s="109"/>
      <c r="EN71" s="109"/>
      <c r="EO71" s="109"/>
      <c r="EP71" s="109"/>
      <c r="EQ71" s="109"/>
      <c r="ER71" s="109"/>
      <c r="ES71" s="109"/>
      <c r="ET71" s="109"/>
      <c r="EU71" s="109"/>
      <c r="EV71" s="109"/>
    </row>
    <row r="72" spans="1:152" ht="8.85" customHeight="1">
      <c r="A72" s="2518"/>
      <c r="B72" s="2530"/>
      <c r="C72" s="2522"/>
      <c r="D72" s="2522"/>
      <c r="E72" s="2522"/>
      <c r="F72" s="2522"/>
      <c r="G72" s="2527"/>
      <c r="H72" s="2506"/>
      <c r="I72" s="2507"/>
      <c r="J72" s="2507"/>
      <c r="K72" s="2508"/>
      <c r="L72" s="2477"/>
      <c r="M72" s="2478"/>
      <c r="N72" s="2478"/>
      <c r="O72" s="2479"/>
      <c r="P72" s="2506"/>
      <c r="Q72" s="2507"/>
      <c r="R72" s="2507"/>
      <c r="S72" s="2508"/>
      <c r="T72" s="2422"/>
      <c r="U72" s="2297"/>
      <c r="V72" s="2297"/>
      <c r="W72" s="2451"/>
      <c r="X72" s="2422"/>
      <c r="Y72" s="2297"/>
      <c r="Z72" s="2297"/>
      <c r="AA72" s="2451"/>
      <c r="AB72" s="2881"/>
      <c r="AC72" s="2881"/>
      <c r="AD72" s="2881"/>
      <c r="AE72" s="2882"/>
      <c r="AF72" s="2446"/>
      <c r="AG72" s="2297"/>
      <c r="AH72" s="2297"/>
      <c r="AI72" s="2447"/>
      <c r="AJ72" s="2297"/>
      <c r="AK72" s="2297"/>
      <c r="AL72" s="2297"/>
      <c r="AM72" s="2451"/>
      <c r="AN72" s="2297"/>
      <c r="AO72" s="2297"/>
      <c r="AP72" s="2297"/>
      <c r="AQ72" s="2451"/>
      <c r="AR72" s="2422"/>
      <c r="AS72" s="2297"/>
      <c r="AT72" s="2297"/>
      <c r="AU72" s="2451"/>
      <c r="AV72" s="2356"/>
      <c r="AW72" s="2356"/>
      <c r="AX72" s="2356"/>
      <c r="AY72" s="2880"/>
      <c r="AZ72" s="2356"/>
      <c r="BA72" s="2356"/>
      <c r="BB72" s="2356"/>
      <c r="BC72" s="2880"/>
      <c r="BD72" s="2356"/>
      <c r="BE72" s="2356"/>
      <c r="BF72" s="2356"/>
      <c r="BG72" s="2880"/>
      <c r="BH72" s="2356"/>
      <c r="BI72" s="2356"/>
      <c r="BJ72" s="2356"/>
      <c r="BK72" s="2880"/>
      <c r="BL72" s="2885"/>
      <c r="BM72" s="2375"/>
      <c r="BN72" s="2375"/>
      <c r="BO72" s="2375"/>
      <c r="BP72" s="2375"/>
      <c r="BQ72" s="2375"/>
      <c r="BR72" s="2375"/>
      <c r="BS72" s="2376"/>
      <c r="BT72" s="2370"/>
      <c r="BU72" s="2370"/>
      <c r="BV72" s="2370"/>
      <c r="BW72" s="2370"/>
      <c r="BX72" s="2370"/>
      <c r="BY72" s="2370"/>
      <c r="BZ72" s="2370"/>
      <c r="CA72" s="2370"/>
      <c r="CB72" s="2370"/>
      <c r="CC72" s="2370"/>
      <c r="CD72" s="2370"/>
      <c r="CE72" s="2370"/>
      <c r="CF72" s="2370"/>
      <c r="CG72" s="2370"/>
      <c r="CH72" s="2371"/>
      <c r="CI72" s="2886"/>
      <c r="CJ72" s="2886"/>
      <c r="CK72" s="2857"/>
      <c r="CL72" s="2857"/>
      <c r="CM72" s="2857"/>
      <c r="CQ72" s="2742"/>
      <c r="CR72" s="2743"/>
      <c r="CS72" s="2743"/>
      <c r="CT72" s="2744"/>
      <c r="EC72" s="109"/>
      <c r="ED72" s="109"/>
      <c r="EE72" s="109"/>
      <c r="EF72" s="109"/>
      <c r="EG72" s="109"/>
      <c r="EH72" s="109"/>
      <c r="EI72" s="109"/>
      <c r="EJ72" s="109"/>
      <c r="EK72" s="109"/>
      <c r="EL72" s="109"/>
      <c r="EM72" s="109"/>
      <c r="EN72" s="109"/>
      <c r="EO72" s="109"/>
      <c r="EP72" s="109"/>
      <c r="EQ72" s="109"/>
      <c r="ER72" s="109"/>
      <c r="ES72" s="109"/>
      <c r="ET72" s="109"/>
      <c r="EU72" s="109"/>
      <c r="EV72" s="109"/>
    </row>
    <row r="73" spans="1:152" ht="8.85" customHeight="1">
      <c r="A73" s="2518"/>
      <c r="B73" s="2523"/>
      <c r="C73" s="2524"/>
      <c r="D73" s="2524"/>
      <c r="E73" s="2524"/>
      <c r="F73" s="2524"/>
      <c r="G73" s="2528"/>
      <c r="H73" s="2509"/>
      <c r="I73" s="2510"/>
      <c r="J73" s="2510"/>
      <c r="K73" s="2511"/>
      <c r="L73" s="2480"/>
      <c r="M73" s="2481"/>
      <c r="N73" s="2481"/>
      <c r="O73" s="2482"/>
      <c r="P73" s="2509"/>
      <c r="Q73" s="2510"/>
      <c r="R73" s="2510"/>
      <c r="S73" s="2511"/>
      <c r="T73" s="2439"/>
      <c r="U73" s="2298"/>
      <c r="V73" s="2298"/>
      <c r="W73" s="2452"/>
      <c r="X73" s="2439"/>
      <c r="Y73" s="2298"/>
      <c r="Z73" s="2298"/>
      <c r="AA73" s="2452"/>
      <c r="AB73" s="2881"/>
      <c r="AC73" s="2881"/>
      <c r="AD73" s="2881"/>
      <c r="AE73" s="2882"/>
      <c r="AF73" s="2444"/>
      <c r="AG73" s="2298"/>
      <c r="AH73" s="2298"/>
      <c r="AI73" s="2445"/>
      <c r="AJ73" s="2298"/>
      <c r="AK73" s="2298"/>
      <c r="AL73" s="2298"/>
      <c r="AM73" s="2452"/>
      <c r="AN73" s="2298"/>
      <c r="AO73" s="2298"/>
      <c r="AP73" s="2298"/>
      <c r="AQ73" s="2452"/>
      <c r="AR73" s="2439"/>
      <c r="AS73" s="2298"/>
      <c r="AT73" s="2298"/>
      <c r="AU73" s="2452"/>
      <c r="AV73" s="2356"/>
      <c r="AW73" s="2356"/>
      <c r="AX73" s="2356"/>
      <c r="AY73" s="2880"/>
      <c r="AZ73" s="2356"/>
      <c r="BA73" s="2356"/>
      <c r="BB73" s="2356"/>
      <c r="BC73" s="2880"/>
      <c r="BD73" s="2356"/>
      <c r="BE73" s="2356"/>
      <c r="BF73" s="2356"/>
      <c r="BG73" s="2880"/>
      <c r="BH73" s="2356"/>
      <c r="BI73" s="2356"/>
      <c r="BJ73" s="2356"/>
      <c r="BK73" s="2880"/>
      <c r="BL73" s="2885"/>
      <c r="BM73" s="2375"/>
      <c r="BN73" s="2375"/>
      <c r="BO73" s="2375"/>
      <c r="BP73" s="2375"/>
      <c r="BQ73" s="2375"/>
      <c r="BR73" s="2375"/>
      <c r="BS73" s="2376"/>
      <c r="BT73" s="2372"/>
      <c r="BU73" s="2372"/>
      <c r="BV73" s="2372"/>
      <c r="BW73" s="2372"/>
      <c r="BX73" s="2372"/>
      <c r="BY73" s="2372"/>
      <c r="BZ73" s="2372"/>
      <c r="CA73" s="2372"/>
      <c r="CB73" s="2372"/>
      <c r="CC73" s="2372"/>
      <c r="CD73" s="2372"/>
      <c r="CE73" s="2372"/>
      <c r="CF73" s="2372"/>
      <c r="CG73" s="2372"/>
      <c r="CH73" s="2373"/>
      <c r="CI73" s="2886"/>
      <c r="CJ73" s="2886"/>
      <c r="CK73" s="2857"/>
      <c r="CL73" s="2857"/>
      <c r="CM73" s="2857"/>
      <c r="CQ73" s="2745"/>
      <c r="CR73" s="2746"/>
      <c r="CS73" s="2746"/>
      <c r="CT73" s="2747"/>
      <c r="EC73" s="109"/>
      <c r="ED73" s="109"/>
      <c r="EE73" s="109"/>
      <c r="EF73" s="109"/>
      <c r="EG73" s="109"/>
      <c r="EH73" s="109"/>
      <c r="EI73" s="109"/>
      <c r="EJ73" s="109"/>
      <c r="EK73" s="109"/>
      <c r="EL73" s="109"/>
      <c r="EM73" s="109"/>
      <c r="EN73" s="109"/>
      <c r="EO73" s="109"/>
      <c r="EP73" s="109"/>
      <c r="EQ73" s="109"/>
      <c r="ER73" s="109"/>
      <c r="ES73" s="109"/>
      <c r="ET73" s="109"/>
      <c r="EU73" s="109"/>
      <c r="EV73" s="109"/>
    </row>
    <row r="74" spans="1:152" ht="8.85" customHeight="1">
      <c r="A74" s="2518">
        <v>19</v>
      </c>
      <c r="B74" s="2525"/>
      <c r="C74" s="2520"/>
      <c r="D74" s="2520"/>
      <c r="E74" s="2520"/>
      <c r="F74" s="2520"/>
      <c r="G74" s="2529"/>
      <c r="H74" s="2911"/>
      <c r="I74" s="2911"/>
      <c r="J74" s="2911"/>
      <c r="K74" s="2911"/>
      <c r="L74" s="2474"/>
      <c r="M74" s="2475"/>
      <c r="N74" s="2475"/>
      <c r="O74" s="2476"/>
      <c r="P74" s="2912"/>
      <c r="Q74" s="2913"/>
      <c r="R74" s="2913"/>
      <c r="S74" s="2913"/>
      <c r="T74" s="2420"/>
      <c r="U74" s="2421"/>
      <c r="V74" s="2421"/>
      <c r="W74" s="2483"/>
      <c r="X74" s="2420"/>
      <c r="Y74" s="2421"/>
      <c r="Z74" s="2421"/>
      <c r="AA74" s="2421"/>
      <c r="AB74" s="2881" t="str">
        <f t="shared" ref="AB74" si="26">IF(L74="REJECTED",AB70,IF(X74="","",IF(N$22="","",N$22-X74)))</f>
        <v/>
      </c>
      <c r="AC74" s="2881"/>
      <c r="AD74" s="2881"/>
      <c r="AE74" s="2882"/>
      <c r="AF74" s="2440"/>
      <c r="AG74" s="2421"/>
      <c r="AH74" s="2421"/>
      <c r="AI74" s="2441"/>
      <c r="AJ74" s="2421"/>
      <c r="AK74" s="2421"/>
      <c r="AL74" s="2421"/>
      <c r="AM74" s="2483"/>
      <c r="AN74" s="2421"/>
      <c r="AO74" s="2421"/>
      <c r="AP74" s="2421"/>
      <c r="AQ74" s="2483"/>
      <c r="AR74" s="2420"/>
      <c r="AS74" s="2421"/>
      <c r="AT74" s="2421"/>
      <c r="AU74" s="2483"/>
      <c r="AV74" s="2356"/>
      <c r="AW74" s="2356"/>
      <c r="AX74" s="2356"/>
      <c r="AY74" s="2880"/>
      <c r="AZ74" s="2356"/>
      <c r="BA74" s="2356"/>
      <c r="BB74" s="2356"/>
      <c r="BC74" s="2880"/>
      <c r="BD74" s="2356"/>
      <c r="BE74" s="2356"/>
      <c r="BF74" s="2356"/>
      <c r="BG74" s="2880"/>
      <c r="BH74" s="2356"/>
      <c r="BI74" s="2356"/>
      <c r="BJ74" s="2356"/>
      <c r="BK74" s="2880"/>
      <c r="BL74" s="2885" t="str">
        <f t="shared" ref="BL74" si="27">IF(OR(L74="REJECTED",L74="Not Placed"),0,IF(AF74="","",SUM(AF74:AM77)-SUM(AN74:BK77)))</f>
        <v/>
      </c>
      <c r="BM74" s="2375"/>
      <c r="BN74" s="2375"/>
      <c r="BO74" s="2375"/>
      <c r="BP74" s="2375" t="str">
        <f t="shared" ref="BP74" si="28">IF(L74="REJECTED",BP70,IF(AF74="","",BP70+BL74))</f>
        <v/>
      </c>
      <c r="BQ74" s="2375"/>
      <c r="BR74" s="2375"/>
      <c r="BS74" s="2376"/>
      <c r="BT74" s="2368"/>
      <c r="BU74" s="2368"/>
      <c r="BV74" s="2368"/>
      <c r="BW74" s="2368"/>
      <c r="BX74" s="2368"/>
      <c r="BY74" s="2368"/>
      <c r="BZ74" s="2368"/>
      <c r="CA74" s="2368"/>
      <c r="CB74" s="2368"/>
      <c r="CC74" s="2368"/>
      <c r="CD74" s="2368"/>
      <c r="CE74" s="2368"/>
      <c r="CF74" s="2368"/>
      <c r="CG74" s="2368"/>
      <c r="CH74" s="2369"/>
      <c r="CI74" s="2886">
        <v>19</v>
      </c>
      <c r="CJ74" s="2886"/>
      <c r="CK74" s="2857" t="e">
        <f>'Concr. Curve'!BL37</f>
        <v>#DIV/0!</v>
      </c>
      <c r="CL74" s="2857"/>
      <c r="CM74" s="2857"/>
      <c r="CQ74" s="2967" t="str">
        <f t="shared" ref="CQ74" si="29">IF(OR(P74="",H74=""),"",MOD(P74-H74,1)*24*60)</f>
        <v/>
      </c>
      <c r="CR74" s="2968"/>
      <c r="CS74" s="2968"/>
      <c r="CT74" s="2969"/>
      <c r="EC74" s="109"/>
      <c r="ED74" s="109"/>
      <c r="EE74" s="109"/>
      <c r="EF74" s="109"/>
      <c r="EG74" s="109"/>
      <c r="EH74" s="109"/>
      <c r="EI74" s="109"/>
      <c r="EJ74" s="109"/>
      <c r="EK74" s="109"/>
      <c r="EL74" s="109"/>
      <c r="EM74" s="109"/>
      <c r="EN74" s="109"/>
      <c r="EO74" s="109"/>
      <c r="EP74" s="109"/>
      <c r="EQ74" s="109"/>
      <c r="ER74" s="109"/>
      <c r="ES74" s="109"/>
      <c r="ET74" s="109"/>
      <c r="EU74" s="109"/>
      <c r="EV74" s="109"/>
    </row>
    <row r="75" spans="1:152" ht="8.85" customHeight="1">
      <c r="A75" s="2518"/>
      <c r="B75" s="2530"/>
      <c r="C75" s="2522"/>
      <c r="D75" s="2522"/>
      <c r="E75" s="2522"/>
      <c r="F75" s="2522"/>
      <c r="G75" s="2527"/>
      <c r="H75" s="2911"/>
      <c r="I75" s="2911"/>
      <c r="J75" s="2911"/>
      <c r="K75" s="2911"/>
      <c r="L75" s="2477"/>
      <c r="M75" s="2478"/>
      <c r="N75" s="2478"/>
      <c r="O75" s="2479"/>
      <c r="P75" s="2913"/>
      <c r="Q75" s="2913"/>
      <c r="R75" s="2913"/>
      <c r="S75" s="2913"/>
      <c r="T75" s="2422"/>
      <c r="U75" s="2297"/>
      <c r="V75" s="2297"/>
      <c r="W75" s="2451"/>
      <c r="X75" s="2422"/>
      <c r="Y75" s="2297"/>
      <c r="Z75" s="2297"/>
      <c r="AA75" s="2297"/>
      <c r="AB75" s="2881"/>
      <c r="AC75" s="2881"/>
      <c r="AD75" s="2881"/>
      <c r="AE75" s="2882"/>
      <c r="AF75" s="2446"/>
      <c r="AG75" s="2297"/>
      <c r="AH75" s="2297"/>
      <c r="AI75" s="2447"/>
      <c r="AJ75" s="2297"/>
      <c r="AK75" s="2297"/>
      <c r="AL75" s="2297"/>
      <c r="AM75" s="2451"/>
      <c r="AN75" s="2297"/>
      <c r="AO75" s="2297"/>
      <c r="AP75" s="2297"/>
      <c r="AQ75" s="2451"/>
      <c r="AR75" s="2422"/>
      <c r="AS75" s="2297"/>
      <c r="AT75" s="2297"/>
      <c r="AU75" s="2451"/>
      <c r="AV75" s="2356"/>
      <c r="AW75" s="2356"/>
      <c r="AX75" s="2356"/>
      <c r="AY75" s="2880"/>
      <c r="AZ75" s="2356"/>
      <c r="BA75" s="2356"/>
      <c r="BB75" s="2356"/>
      <c r="BC75" s="2880"/>
      <c r="BD75" s="2356"/>
      <c r="BE75" s="2356"/>
      <c r="BF75" s="2356"/>
      <c r="BG75" s="2880"/>
      <c r="BH75" s="2356"/>
      <c r="BI75" s="2356"/>
      <c r="BJ75" s="2356"/>
      <c r="BK75" s="2880"/>
      <c r="BL75" s="2885"/>
      <c r="BM75" s="2375"/>
      <c r="BN75" s="2375"/>
      <c r="BO75" s="2375"/>
      <c r="BP75" s="2375"/>
      <c r="BQ75" s="2375"/>
      <c r="BR75" s="2375"/>
      <c r="BS75" s="2376"/>
      <c r="BT75" s="2370"/>
      <c r="BU75" s="2370"/>
      <c r="BV75" s="2370"/>
      <c r="BW75" s="2370"/>
      <c r="BX75" s="2370"/>
      <c r="BY75" s="2370"/>
      <c r="BZ75" s="2370"/>
      <c r="CA75" s="2370"/>
      <c r="CB75" s="2370"/>
      <c r="CC75" s="2370"/>
      <c r="CD75" s="2370"/>
      <c r="CE75" s="2370"/>
      <c r="CF75" s="2370"/>
      <c r="CG75" s="2370"/>
      <c r="CH75" s="2371"/>
      <c r="CI75" s="2886"/>
      <c r="CJ75" s="2886"/>
      <c r="CK75" s="2857"/>
      <c r="CL75" s="2857"/>
      <c r="CM75" s="2857"/>
      <c r="CQ75" s="2742"/>
      <c r="CR75" s="2743"/>
      <c r="CS75" s="2743"/>
      <c r="CT75" s="2744"/>
      <c r="EC75" s="109"/>
      <c r="ED75" s="109"/>
      <c r="EE75" s="109"/>
      <c r="EF75" s="109"/>
      <c r="EG75" s="109"/>
      <c r="EH75" s="109"/>
      <c r="EI75" s="109"/>
      <c r="EJ75" s="109"/>
      <c r="EK75" s="109"/>
      <c r="EL75" s="109"/>
      <c r="EM75" s="109"/>
      <c r="EN75" s="109"/>
      <c r="EO75" s="109"/>
      <c r="EP75" s="109"/>
      <c r="EQ75" s="109"/>
      <c r="ER75" s="109"/>
      <c r="ES75" s="109"/>
      <c r="ET75" s="109"/>
      <c r="EU75" s="109"/>
      <c r="EV75" s="109"/>
    </row>
    <row r="76" spans="1:152" ht="8.85" customHeight="1">
      <c r="A76" s="2518"/>
      <c r="B76" s="2530"/>
      <c r="C76" s="2522"/>
      <c r="D76" s="2522"/>
      <c r="E76" s="2522"/>
      <c r="F76" s="2522"/>
      <c r="G76" s="2527"/>
      <c r="H76" s="2911"/>
      <c r="I76" s="2911"/>
      <c r="J76" s="2911"/>
      <c r="K76" s="2911"/>
      <c r="L76" s="2477"/>
      <c r="M76" s="2478"/>
      <c r="N76" s="2478"/>
      <c r="O76" s="2479"/>
      <c r="P76" s="2913"/>
      <c r="Q76" s="2913"/>
      <c r="R76" s="2913"/>
      <c r="S76" s="2913"/>
      <c r="T76" s="2422"/>
      <c r="U76" s="2297"/>
      <c r="V76" s="2297"/>
      <c r="W76" s="2451"/>
      <c r="X76" s="2422"/>
      <c r="Y76" s="2297"/>
      <c r="Z76" s="2297"/>
      <c r="AA76" s="2297"/>
      <c r="AB76" s="2881"/>
      <c r="AC76" s="2881"/>
      <c r="AD76" s="2881"/>
      <c r="AE76" s="2882"/>
      <c r="AF76" s="2446"/>
      <c r="AG76" s="2297"/>
      <c r="AH76" s="2297"/>
      <c r="AI76" s="2447"/>
      <c r="AJ76" s="2297"/>
      <c r="AK76" s="2297"/>
      <c r="AL76" s="2297"/>
      <c r="AM76" s="2451"/>
      <c r="AN76" s="2297"/>
      <c r="AO76" s="2297"/>
      <c r="AP76" s="2297"/>
      <c r="AQ76" s="2451"/>
      <c r="AR76" s="2422"/>
      <c r="AS76" s="2297"/>
      <c r="AT76" s="2297"/>
      <c r="AU76" s="2451"/>
      <c r="AV76" s="2356"/>
      <c r="AW76" s="2356"/>
      <c r="AX76" s="2356"/>
      <c r="AY76" s="2880"/>
      <c r="AZ76" s="2356"/>
      <c r="BA76" s="2356"/>
      <c r="BB76" s="2356"/>
      <c r="BC76" s="2880"/>
      <c r="BD76" s="2356"/>
      <c r="BE76" s="2356"/>
      <c r="BF76" s="2356"/>
      <c r="BG76" s="2880"/>
      <c r="BH76" s="2356"/>
      <c r="BI76" s="2356"/>
      <c r="BJ76" s="2356"/>
      <c r="BK76" s="2880"/>
      <c r="BL76" s="2885"/>
      <c r="BM76" s="2375"/>
      <c r="BN76" s="2375"/>
      <c r="BO76" s="2375"/>
      <c r="BP76" s="2375"/>
      <c r="BQ76" s="2375"/>
      <c r="BR76" s="2375"/>
      <c r="BS76" s="2376"/>
      <c r="BT76" s="2370"/>
      <c r="BU76" s="2370"/>
      <c r="BV76" s="2370"/>
      <c r="BW76" s="2370"/>
      <c r="BX76" s="2370"/>
      <c r="BY76" s="2370"/>
      <c r="BZ76" s="2370"/>
      <c r="CA76" s="2370"/>
      <c r="CB76" s="2370"/>
      <c r="CC76" s="2370"/>
      <c r="CD76" s="2370"/>
      <c r="CE76" s="2370"/>
      <c r="CF76" s="2370"/>
      <c r="CG76" s="2370"/>
      <c r="CH76" s="2371"/>
      <c r="CI76" s="2886"/>
      <c r="CJ76" s="2886"/>
      <c r="CK76" s="2857"/>
      <c r="CL76" s="2857"/>
      <c r="CM76" s="2857"/>
      <c r="CQ76" s="2742"/>
      <c r="CR76" s="2743"/>
      <c r="CS76" s="2743"/>
      <c r="CT76" s="2744"/>
      <c r="EC76" s="109"/>
      <c r="ED76" s="109"/>
      <c r="EE76" s="109"/>
      <c r="EF76" s="109"/>
      <c r="EG76" s="109"/>
      <c r="EH76" s="109"/>
      <c r="EI76" s="109"/>
      <c r="EJ76" s="109"/>
      <c r="EK76" s="109"/>
      <c r="EL76" s="109"/>
      <c r="EM76" s="109"/>
      <c r="EN76" s="109"/>
      <c r="EO76" s="109"/>
      <c r="EP76" s="109"/>
      <c r="EQ76" s="109"/>
      <c r="ER76" s="109"/>
      <c r="ES76" s="109"/>
      <c r="ET76" s="109"/>
      <c r="EU76" s="109"/>
      <c r="EV76" s="109"/>
    </row>
    <row r="77" spans="1:152" ht="8.85" customHeight="1">
      <c r="A77" s="2518"/>
      <c r="B77" s="2523"/>
      <c r="C77" s="2524"/>
      <c r="D77" s="2524"/>
      <c r="E77" s="2524"/>
      <c r="F77" s="2524"/>
      <c r="G77" s="2528"/>
      <c r="H77" s="2911"/>
      <c r="I77" s="2911"/>
      <c r="J77" s="2911"/>
      <c r="K77" s="2911"/>
      <c r="L77" s="2480"/>
      <c r="M77" s="2481"/>
      <c r="N77" s="2481"/>
      <c r="O77" s="2482"/>
      <c r="P77" s="2913"/>
      <c r="Q77" s="2913"/>
      <c r="R77" s="2913"/>
      <c r="S77" s="2913"/>
      <c r="T77" s="2439"/>
      <c r="U77" s="2298"/>
      <c r="V77" s="2298"/>
      <c r="W77" s="2452"/>
      <c r="X77" s="2439"/>
      <c r="Y77" s="2298"/>
      <c r="Z77" s="2298"/>
      <c r="AA77" s="2298"/>
      <c r="AB77" s="2881"/>
      <c r="AC77" s="2881"/>
      <c r="AD77" s="2881"/>
      <c r="AE77" s="2882"/>
      <c r="AF77" s="2444"/>
      <c r="AG77" s="2298"/>
      <c r="AH77" s="2298"/>
      <c r="AI77" s="2445"/>
      <c r="AJ77" s="2298"/>
      <c r="AK77" s="2298"/>
      <c r="AL77" s="2298"/>
      <c r="AM77" s="2452"/>
      <c r="AN77" s="2298"/>
      <c r="AO77" s="2298"/>
      <c r="AP77" s="2298"/>
      <c r="AQ77" s="2452"/>
      <c r="AR77" s="2439"/>
      <c r="AS77" s="2298"/>
      <c r="AT77" s="2298"/>
      <c r="AU77" s="2452"/>
      <c r="AV77" s="2356"/>
      <c r="AW77" s="2356"/>
      <c r="AX77" s="2356"/>
      <c r="AY77" s="2880"/>
      <c r="AZ77" s="2356"/>
      <c r="BA77" s="2356"/>
      <c r="BB77" s="2356"/>
      <c r="BC77" s="2880"/>
      <c r="BD77" s="2356"/>
      <c r="BE77" s="2356"/>
      <c r="BF77" s="2356"/>
      <c r="BG77" s="2880"/>
      <c r="BH77" s="2356"/>
      <c r="BI77" s="2356"/>
      <c r="BJ77" s="2356"/>
      <c r="BK77" s="2880"/>
      <c r="BL77" s="2885"/>
      <c r="BM77" s="2375"/>
      <c r="BN77" s="2375"/>
      <c r="BO77" s="2375"/>
      <c r="BP77" s="2375"/>
      <c r="BQ77" s="2375"/>
      <c r="BR77" s="2375"/>
      <c r="BS77" s="2376"/>
      <c r="BT77" s="2372"/>
      <c r="BU77" s="2372"/>
      <c r="BV77" s="2372"/>
      <c r="BW77" s="2372"/>
      <c r="BX77" s="2372"/>
      <c r="BY77" s="2372"/>
      <c r="BZ77" s="2372"/>
      <c r="CA77" s="2372"/>
      <c r="CB77" s="2372"/>
      <c r="CC77" s="2372"/>
      <c r="CD77" s="2372"/>
      <c r="CE77" s="2372"/>
      <c r="CF77" s="2372"/>
      <c r="CG77" s="2372"/>
      <c r="CH77" s="2373"/>
      <c r="CI77" s="2886"/>
      <c r="CJ77" s="2886"/>
      <c r="CK77" s="2857"/>
      <c r="CL77" s="2857"/>
      <c r="CM77" s="2857"/>
      <c r="CQ77" s="2745"/>
      <c r="CR77" s="2746"/>
      <c r="CS77" s="2746"/>
      <c r="CT77" s="2747"/>
      <c r="EC77" s="109"/>
      <c r="ED77" s="109"/>
      <c r="EE77" s="109"/>
      <c r="EF77" s="109"/>
      <c r="EG77" s="109"/>
      <c r="EH77" s="109"/>
      <c r="EI77" s="109"/>
      <c r="EJ77" s="109"/>
      <c r="EK77" s="109"/>
      <c r="EL77" s="109"/>
      <c r="EM77" s="109"/>
      <c r="EN77" s="109"/>
      <c r="EO77" s="109"/>
      <c r="EP77" s="109"/>
      <c r="EQ77" s="109"/>
      <c r="ER77" s="109"/>
      <c r="ES77" s="109"/>
      <c r="ET77" s="109"/>
      <c r="EU77" s="109"/>
      <c r="EV77" s="109"/>
    </row>
    <row r="78" spans="1:152" ht="8.85" customHeight="1">
      <c r="A78" s="2518">
        <v>20</v>
      </c>
      <c r="B78" s="2525"/>
      <c r="C78" s="2520"/>
      <c r="D78" s="2520"/>
      <c r="E78" s="2520"/>
      <c r="F78" s="2520"/>
      <c r="G78" s="2529"/>
      <c r="H78" s="2911"/>
      <c r="I78" s="2911"/>
      <c r="J78" s="2911"/>
      <c r="K78" s="2911"/>
      <c r="L78" s="2474"/>
      <c r="M78" s="2475"/>
      <c r="N78" s="2475"/>
      <c r="O78" s="2476"/>
      <c r="P78" s="2912"/>
      <c r="Q78" s="2913"/>
      <c r="R78" s="2913"/>
      <c r="S78" s="2913"/>
      <c r="T78" s="2356"/>
      <c r="U78" s="2356"/>
      <c r="V78" s="2356"/>
      <c r="W78" s="2356"/>
      <c r="X78" s="2420"/>
      <c r="Y78" s="2421"/>
      <c r="Z78" s="2421"/>
      <c r="AA78" s="2421"/>
      <c r="AB78" s="2881" t="str">
        <f t="shared" ref="AB78" si="30">IF(L78="REJECTED",AB74,IF(X78="","",IF(N$22="","",N$22-X78)))</f>
        <v/>
      </c>
      <c r="AC78" s="2881"/>
      <c r="AD78" s="2881"/>
      <c r="AE78" s="2882"/>
      <c r="AF78" s="2440"/>
      <c r="AG78" s="2421"/>
      <c r="AH78" s="2421"/>
      <c r="AI78" s="2441"/>
      <c r="AJ78" s="2421"/>
      <c r="AK78" s="2421"/>
      <c r="AL78" s="2421"/>
      <c r="AM78" s="2483"/>
      <c r="AN78" s="2421"/>
      <c r="AO78" s="2421"/>
      <c r="AP78" s="2421"/>
      <c r="AQ78" s="2483"/>
      <c r="AR78" s="2420"/>
      <c r="AS78" s="2421"/>
      <c r="AT78" s="2421"/>
      <c r="AU78" s="2483"/>
      <c r="AV78" s="2356"/>
      <c r="AW78" s="2356"/>
      <c r="AX78" s="2356"/>
      <c r="AY78" s="2880"/>
      <c r="AZ78" s="2356"/>
      <c r="BA78" s="2356"/>
      <c r="BB78" s="2356"/>
      <c r="BC78" s="2880"/>
      <c r="BD78" s="2356"/>
      <c r="BE78" s="2356"/>
      <c r="BF78" s="2356"/>
      <c r="BG78" s="2880"/>
      <c r="BH78" s="2356"/>
      <c r="BI78" s="2356"/>
      <c r="BJ78" s="2356"/>
      <c r="BK78" s="2880"/>
      <c r="BL78" s="2885" t="str">
        <f t="shared" ref="BL78" si="31">IF(OR(L78="REJECTED",L78="Not Placed"),0,IF(AF78="","",SUM(AF78:AM81)-SUM(AN78:BK81)))</f>
        <v/>
      </c>
      <c r="BM78" s="2375"/>
      <c r="BN78" s="2375"/>
      <c r="BO78" s="2375"/>
      <c r="BP78" s="2375" t="str">
        <f t="shared" ref="BP78" si="32">IF(L78="REJECTED",BP74,IF(AF78="","",BP74+BL78))</f>
        <v/>
      </c>
      <c r="BQ78" s="2375"/>
      <c r="BR78" s="2375"/>
      <c r="BS78" s="2376"/>
      <c r="BT78" s="2368"/>
      <c r="BU78" s="2368"/>
      <c r="BV78" s="2368"/>
      <c r="BW78" s="2368"/>
      <c r="BX78" s="2368"/>
      <c r="BY78" s="2368"/>
      <c r="BZ78" s="2368"/>
      <c r="CA78" s="2368"/>
      <c r="CB78" s="2368"/>
      <c r="CC78" s="2368"/>
      <c r="CD78" s="2368"/>
      <c r="CE78" s="2368"/>
      <c r="CF78" s="2368"/>
      <c r="CG78" s="2368"/>
      <c r="CH78" s="2369"/>
      <c r="CI78" s="2886">
        <v>20</v>
      </c>
      <c r="CJ78" s="2886"/>
      <c r="CK78" s="2857" t="e">
        <f>'Concr. Curve'!BL36</f>
        <v>#DIV/0!</v>
      </c>
      <c r="CL78" s="2857"/>
      <c r="CM78" s="2857"/>
      <c r="CQ78" s="2967" t="str">
        <f t="shared" ref="CQ78" si="33">IF(OR(P78="",H78=""),"",MOD(P78-H78,1)*24*60)</f>
        <v/>
      </c>
      <c r="CR78" s="2968"/>
      <c r="CS78" s="2968"/>
      <c r="CT78" s="2969"/>
      <c r="EC78" s="109"/>
      <c r="ED78" s="109"/>
      <c r="EE78" s="109"/>
      <c r="EF78" s="109"/>
      <c r="EG78" s="109"/>
      <c r="EH78" s="109"/>
      <c r="EI78" s="109"/>
      <c r="EJ78" s="109"/>
      <c r="EK78" s="109"/>
      <c r="EL78" s="109"/>
      <c r="EM78" s="109"/>
      <c r="EN78" s="109"/>
      <c r="EO78" s="109"/>
      <c r="EP78" s="109"/>
      <c r="EQ78" s="109"/>
      <c r="ER78" s="109"/>
      <c r="ES78" s="109"/>
      <c r="ET78" s="109"/>
      <c r="EU78" s="109"/>
      <c r="EV78" s="109"/>
    </row>
    <row r="79" spans="1:152" ht="8.85" customHeight="1">
      <c r="A79" s="2518"/>
      <c r="B79" s="2530"/>
      <c r="C79" s="2522"/>
      <c r="D79" s="2522"/>
      <c r="E79" s="2522"/>
      <c r="F79" s="2522"/>
      <c r="G79" s="2527"/>
      <c r="H79" s="2911"/>
      <c r="I79" s="2911"/>
      <c r="J79" s="2911"/>
      <c r="K79" s="2911"/>
      <c r="L79" s="2477"/>
      <c r="M79" s="2478"/>
      <c r="N79" s="2478"/>
      <c r="O79" s="2479"/>
      <c r="P79" s="2913"/>
      <c r="Q79" s="2913"/>
      <c r="R79" s="2913"/>
      <c r="S79" s="2913"/>
      <c r="T79" s="2356"/>
      <c r="U79" s="2356"/>
      <c r="V79" s="2356"/>
      <c r="W79" s="2356"/>
      <c r="X79" s="2422"/>
      <c r="Y79" s="2297"/>
      <c r="Z79" s="2297"/>
      <c r="AA79" s="2297"/>
      <c r="AB79" s="2881"/>
      <c r="AC79" s="2881"/>
      <c r="AD79" s="2881"/>
      <c r="AE79" s="2882"/>
      <c r="AF79" s="2446"/>
      <c r="AG79" s="2297"/>
      <c r="AH79" s="2297"/>
      <c r="AI79" s="2447"/>
      <c r="AJ79" s="2297"/>
      <c r="AK79" s="2297"/>
      <c r="AL79" s="2297"/>
      <c r="AM79" s="2451"/>
      <c r="AN79" s="2297"/>
      <c r="AO79" s="2297"/>
      <c r="AP79" s="2297"/>
      <c r="AQ79" s="2451"/>
      <c r="AR79" s="2422"/>
      <c r="AS79" s="2297"/>
      <c r="AT79" s="2297"/>
      <c r="AU79" s="2451"/>
      <c r="AV79" s="2356"/>
      <c r="AW79" s="2356"/>
      <c r="AX79" s="2356"/>
      <c r="AY79" s="2880"/>
      <c r="AZ79" s="2356"/>
      <c r="BA79" s="2356"/>
      <c r="BB79" s="2356"/>
      <c r="BC79" s="2880"/>
      <c r="BD79" s="2356"/>
      <c r="BE79" s="2356"/>
      <c r="BF79" s="2356"/>
      <c r="BG79" s="2880"/>
      <c r="BH79" s="2356"/>
      <c r="BI79" s="2356"/>
      <c r="BJ79" s="2356"/>
      <c r="BK79" s="2880"/>
      <c r="BL79" s="2885"/>
      <c r="BM79" s="2375"/>
      <c r="BN79" s="2375"/>
      <c r="BO79" s="2375"/>
      <c r="BP79" s="2375"/>
      <c r="BQ79" s="2375"/>
      <c r="BR79" s="2375"/>
      <c r="BS79" s="2376"/>
      <c r="BT79" s="2370"/>
      <c r="BU79" s="2370"/>
      <c r="BV79" s="2370"/>
      <c r="BW79" s="2370"/>
      <c r="BX79" s="2370"/>
      <c r="BY79" s="2370"/>
      <c r="BZ79" s="2370"/>
      <c r="CA79" s="2370"/>
      <c r="CB79" s="2370"/>
      <c r="CC79" s="2370"/>
      <c r="CD79" s="2370"/>
      <c r="CE79" s="2370"/>
      <c r="CF79" s="2370"/>
      <c r="CG79" s="2370"/>
      <c r="CH79" s="2371"/>
      <c r="CI79" s="2886"/>
      <c r="CJ79" s="2886"/>
      <c r="CK79" s="2857"/>
      <c r="CL79" s="2857"/>
      <c r="CM79" s="2857"/>
      <c r="CQ79" s="2742"/>
      <c r="CR79" s="2743"/>
      <c r="CS79" s="2743"/>
      <c r="CT79" s="2744"/>
      <c r="EC79" s="109"/>
      <c r="ED79" s="109"/>
      <c r="EE79" s="109"/>
      <c r="EF79" s="109"/>
      <c r="EG79" s="109"/>
      <c r="EH79" s="109"/>
      <c r="EI79" s="109"/>
      <c r="EJ79" s="109"/>
      <c r="EK79" s="109"/>
      <c r="EL79" s="109"/>
      <c r="EM79" s="109"/>
      <c r="EN79" s="109"/>
      <c r="EO79" s="109"/>
      <c r="EP79" s="109"/>
      <c r="EQ79" s="109"/>
      <c r="ER79" s="109"/>
      <c r="ES79" s="109"/>
      <c r="ET79" s="109"/>
      <c r="EU79" s="109"/>
      <c r="EV79" s="109"/>
    </row>
    <row r="80" spans="1:152" ht="8.85" customHeight="1">
      <c r="A80" s="2518"/>
      <c r="B80" s="2530"/>
      <c r="C80" s="2522"/>
      <c r="D80" s="2522"/>
      <c r="E80" s="2522"/>
      <c r="F80" s="2522"/>
      <c r="G80" s="2527"/>
      <c r="H80" s="2911"/>
      <c r="I80" s="2911"/>
      <c r="J80" s="2911"/>
      <c r="K80" s="2911"/>
      <c r="L80" s="2477"/>
      <c r="M80" s="2478"/>
      <c r="N80" s="2478"/>
      <c r="O80" s="2479"/>
      <c r="P80" s="2913"/>
      <c r="Q80" s="2913"/>
      <c r="R80" s="2913"/>
      <c r="S80" s="2913"/>
      <c r="T80" s="2356"/>
      <c r="U80" s="2356"/>
      <c r="V80" s="2356"/>
      <c r="W80" s="2356"/>
      <c r="X80" s="2422"/>
      <c r="Y80" s="2297"/>
      <c r="Z80" s="2297"/>
      <c r="AA80" s="2297"/>
      <c r="AB80" s="2881"/>
      <c r="AC80" s="2881"/>
      <c r="AD80" s="2881"/>
      <c r="AE80" s="2882"/>
      <c r="AF80" s="2446"/>
      <c r="AG80" s="2297"/>
      <c r="AH80" s="2297"/>
      <c r="AI80" s="2447"/>
      <c r="AJ80" s="2297"/>
      <c r="AK80" s="2297"/>
      <c r="AL80" s="2297"/>
      <c r="AM80" s="2451"/>
      <c r="AN80" s="2297"/>
      <c r="AO80" s="2297"/>
      <c r="AP80" s="2297"/>
      <c r="AQ80" s="2451"/>
      <c r="AR80" s="2422"/>
      <c r="AS80" s="2297"/>
      <c r="AT80" s="2297"/>
      <c r="AU80" s="2451"/>
      <c r="AV80" s="2356"/>
      <c r="AW80" s="2356"/>
      <c r="AX80" s="2356"/>
      <c r="AY80" s="2880"/>
      <c r="AZ80" s="2356"/>
      <c r="BA80" s="2356"/>
      <c r="BB80" s="2356"/>
      <c r="BC80" s="2880"/>
      <c r="BD80" s="2356"/>
      <c r="BE80" s="2356"/>
      <c r="BF80" s="2356"/>
      <c r="BG80" s="2880"/>
      <c r="BH80" s="2356"/>
      <c r="BI80" s="2356"/>
      <c r="BJ80" s="2356"/>
      <c r="BK80" s="2880"/>
      <c r="BL80" s="2885"/>
      <c r="BM80" s="2375"/>
      <c r="BN80" s="2375"/>
      <c r="BO80" s="2375"/>
      <c r="BP80" s="2375"/>
      <c r="BQ80" s="2375"/>
      <c r="BR80" s="2375"/>
      <c r="BS80" s="2376"/>
      <c r="BT80" s="2370"/>
      <c r="BU80" s="2370"/>
      <c r="BV80" s="2370"/>
      <c r="BW80" s="2370"/>
      <c r="BX80" s="2370"/>
      <c r="BY80" s="2370"/>
      <c r="BZ80" s="2370"/>
      <c r="CA80" s="2370"/>
      <c r="CB80" s="2370"/>
      <c r="CC80" s="2370"/>
      <c r="CD80" s="2370"/>
      <c r="CE80" s="2370"/>
      <c r="CF80" s="2370"/>
      <c r="CG80" s="2370"/>
      <c r="CH80" s="2371"/>
      <c r="CI80" s="2886"/>
      <c r="CJ80" s="2886"/>
      <c r="CK80" s="2857"/>
      <c r="CL80" s="2857"/>
      <c r="CM80" s="2857"/>
      <c r="CQ80" s="2742"/>
      <c r="CR80" s="2743"/>
      <c r="CS80" s="2743"/>
      <c r="CT80" s="2744"/>
      <c r="EC80" s="109"/>
      <c r="ED80" s="109"/>
      <c r="EE80" s="109"/>
      <c r="EF80" s="109"/>
      <c r="EG80" s="109"/>
      <c r="EH80" s="109"/>
      <c r="EI80" s="109"/>
      <c r="EJ80" s="109"/>
      <c r="EK80" s="109"/>
      <c r="EL80" s="109"/>
      <c r="EM80" s="109"/>
      <c r="EN80" s="109"/>
      <c r="EO80" s="109"/>
      <c r="EP80" s="109"/>
      <c r="EQ80" s="109"/>
      <c r="ER80" s="109"/>
      <c r="ES80" s="109"/>
      <c r="ET80" s="109"/>
      <c r="EU80" s="109"/>
      <c r="EV80" s="109"/>
    </row>
    <row r="81" spans="1:152" ht="8.85" customHeight="1">
      <c r="A81" s="2518"/>
      <c r="B81" s="2523"/>
      <c r="C81" s="2524"/>
      <c r="D81" s="2524"/>
      <c r="E81" s="2524"/>
      <c r="F81" s="2524"/>
      <c r="G81" s="2528"/>
      <c r="H81" s="2911"/>
      <c r="I81" s="2911"/>
      <c r="J81" s="2911"/>
      <c r="K81" s="2911"/>
      <c r="L81" s="2480"/>
      <c r="M81" s="2481"/>
      <c r="N81" s="2481"/>
      <c r="O81" s="2482"/>
      <c r="P81" s="2913"/>
      <c r="Q81" s="2913"/>
      <c r="R81" s="2913"/>
      <c r="S81" s="2913"/>
      <c r="T81" s="2356"/>
      <c r="U81" s="2356"/>
      <c r="V81" s="2356"/>
      <c r="W81" s="2356"/>
      <c r="X81" s="2439"/>
      <c r="Y81" s="2298"/>
      <c r="Z81" s="2298"/>
      <c r="AA81" s="2298"/>
      <c r="AB81" s="2881"/>
      <c r="AC81" s="2881"/>
      <c r="AD81" s="2881"/>
      <c r="AE81" s="2882"/>
      <c r="AF81" s="2444"/>
      <c r="AG81" s="2298"/>
      <c r="AH81" s="2298"/>
      <c r="AI81" s="2445"/>
      <c r="AJ81" s="2298"/>
      <c r="AK81" s="2298"/>
      <c r="AL81" s="2298"/>
      <c r="AM81" s="2452"/>
      <c r="AN81" s="2298"/>
      <c r="AO81" s="2298"/>
      <c r="AP81" s="2298"/>
      <c r="AQ81" s="2452"/>
      <c r="AR81" s="2439"/>
      <c r="AS81" s="2298"/>
      <c r="AT81" s="2298"/>
      <c r="AU81" s="2452"/>
      <c r="AV81" s="2356"/>
      <c r="AW81" s="2356"/>
      <c r="AX81" s="2356"/>
      <c r="AY81" s="2880"/>
      <c r="AZ81" s="2356"/>
      <c r="BA81" s="2356"/>
      <c r="BB81" s="2356"/>
      <c r="BC81" s="2880"/>
      <c r="BD81" s="2356"/>
      <c r="BE81" s="2356"/>
      <c r="BF81" s="2356"/>
      <c r="BG81" s="2880"/>
      <c r="BH81" s="2356"/>
      <c r="BI81" s="2356"/>
      <c r="BJ81" s="2356"/>
      <c r="BK81" s="2880"/>
      <c r="BL81" s="2885"/>
      <c r="BM81" s="2375"/>
      <c r="BN81" s="2375"/>
      <c r="BO81" s="2375"/>
      <c r="BP81" s="2375"/>
      <c r="BQ81" s="2375"/>
      <c r="BR81" s="2375"/>
      <c r="BS81" s="2376"/>
      <c r="BT81" s="2372"/>
      <c r="BU81" s="2372"/>
      <c r="BV81" s="2372"/>
      <c r="BW81" s="2372"/>
      <c r="BX81" s="2372"/>
      <c r="BY81" s="2372"/>
      <c r="BZ81" s="2372"/>
      <c r="CA81" s="2372"/>
      <c r="CB81" s="2372"/>
      <c r="CC81" s="2372"/>
      <c r="CD81" s="2372"/>
      <c r="CE81" s="2372"/>
      <c r="CF81" s="2372"/>
      <c r="CG81" s="2372"/>
      <c r="CH81" s="2373"/>
      <c r="CI81" s="2886"/>
      <c r="CJ81" s="2886"/>
      <c r="CK81" s="2857"/>
      <c r="CL81" s="2857"/>
      <c r="CM81" s="2857"/>
      <c r="CQ81" s="2745"/>
      <c r="CR81" s="2746"/>
      <c r="CS81" s="2746"/>
      <c r="CT81" s="2747"/>
      <c r="EC81" s="109"/>
      <c r="ED81" s="109"/>
      <c r="EE81" s="109"/>
      <c r="EF81" s="109"/>
      <c r="EG81" s="109"/>
      <c r="EH81" s="109"/>
      <c r="EI81" s="109"/>
      <c r="EJ81" s="109"/>
      <c r="EK81" s="109"/>
      <c r="EL81" s="109"/>
      <c r="EM81" s="109"/>
      <c r="EN81" s="109"/>
      <c r="EO81" s="109"/>
      <c r="EP81" s="109"/>
      <c r="EQ81" s="109"/>
      <c r="ER81" s="109"/>
      <c r="ES81" s="109"/>
      <c r="ET81" s="109"/>
      <c r="EU81" s="109"/>
      <c r="EV81" s="109"/>
    </row>
    <row r="82" spans="1:152" ht="8.85" customHeight="1">
      <c r="A82" s="2518">
        <v>21</v>
      </c>
      <c r="B82" s="2525"/>
      <c r="C82" s="2520"/>
      <c r="D82" s="2520"/>
      <c r="E82" s="2520"/>
      <c r="F82" s="2520"/>
      <c r="G82" s="2529"/>
      <c r="H82" s="2911"/>
      <c r="I82" s="2911"/>
      <c r="J82" s="2911"/>
      <c r="K82" s="2911"/>
      <c r="L82" s="2474"/>
      <c r="M82" s="2475"/>
      <c r="N82" s="2475"/>
      <c r="O82" s="2476"/>
      <c r="P82" s="2912"/>
      <c r="Q82" s="2913"/>
      <c r="R82" s="2913"/>
      <c r="S82" s="2913"/>
      <c r="T82" s="2356"/>
      <c r="U82" s="2356"/>
      <c r="V82" s="2356"/>
      <c r="W82" s="2356"/>
      <c r="X82" s="2420"/>
      <c r="Y82" s="2421"/>
      <c r="Z82" s="2421"/>
      <c r="AA82" s="2421"/>
      <c r="AB82" s="2881" t="str">
        <f t="shared" ref="AB82" si="34">IF(L82="REJECTED",AB78,IF(X82="","",IF(N$22="","",N$22-X82)))</f>
        <v/>
      </c>
      <c r="AC82" s="2881"/>
      <c r="AD82" s="2881"/>
      <c r="AE82" s="2882"/>
      <c r="AF82" s="2440"/>
      <c r="AG82" s="2421"/>
      <c r="AH82" s="2421"/>
      <c r="AI82" s="2441"/>
      <c r="AJ82" s="2421"/>
      <c r="AK82" s="2421"/>
      <c r="AL82" s="2421"/>
      <c r="AM82" s="2483"/>
      <c r="AN82" s="2421"/>
      <c r="AO82" s="2421"/>
      <c r="AP82" s="2421"/>
      <c r="AQ82" s="2483"/>
      <c r="AR82" s="2420"/>
      <c r="AS82" s="2421"/>
      <c r="AT82" s="2421"/>
      <c r="AU82" s="2483"/>
      <c r="AV82" s="2356"/>
      <c r="AW82" s="2356"/>
      <c r="AX82" s="2356"/>
      <c r="AY82" s="2880"/>
      <c r="AZ82" s="2356"/>
      <c r="BA82" s="2356"/>
      <c r="BB82" s="2356"/>
      <c r="BC82" s="2880"/>
      <c r="BD82" s="2356"/>
      <c r="BE82" s="2356"/>
      <c r="BF82" s="2356"/>
      <c r="BG82" s="2880"/>
      <c r="BH82" s="2356"/>
      <c r="BI82" s="2356"/>
      <c r="BJ82" s="2356"/>
      <c r="BK82" s="2880"/>
      <c r="BL82" s="2885" t="str">
        <f t="shared" ref="BL82" si="35">IF(OR(L82="REJECTED",L82="Not Placed"),0,IF(AF82="","",SUM(AF82:AM85)-SUM(AN82:BK85)))</f>
        <v/>
      </c>
      <c r="BM82" s="2375"/>
      <c r="BN82" s="2375"/>
      <c r="BO82" s="2375"/>
      <c r="BP82" s="2375" t="str">
        <f t="shared" ref="BP82" si="36">IF(L82="REJECTED",BP78,IF(AF82="","",BP78+BL82))</f>
        <v/>
      </c>
      <c r="BQ82" s="2375"/>
      <c r="BR82" s="2375"/>
      <c r="BS82" s="2376"/>
      <c r="BT82" s="2368"/>
      <c r="BU82" s="2368"/>
      <c r="BV82" s="2368"/>
      <c r="BW82" s="2368"/>
      <c r="BX82" s="2368"/>
      <c r="BY82" s="2368"/>
      <c r="BZ82" s="2368"/>
      <c r="CA82" s="2368"/>
      <c r="CB82" s="2368"/>
      <c r="CC82" s="2368"/>
      <c r="CD82" s="2368"/>
      <c r="CE82" s="2368"/>
      <c r="CF82" s="2368"/>
      <c r="CG82" s="2368"/>
      <c r="CH82" s="2369"/>
      <c r="CI82" s="2886">
        <v>21</v>
      </c>
      <c r="CJ82" s="2886"/>
      <c r="CK82" s="2857" t="e">
        <f>'Concr. Curve'!BL35</f>
        <v>#DIV/0!</v>
      </c>
      <c r="CL82" s="2857"/>
      <c r="CM82" s="2857"/>
      <c r="CQ82" s="2967" t="str">
        <f t="shared" ref="CQ82" si="37">IF(OR(P82="",H82=""),"",MOD(P82-H82,1)*24*60)</f>
        <v/>
      </c>
      <c r="CR82" s="2968"/>
      <c r="CS82" s="2968"/>
      <c r="CT82" s="2969"/>
      <c r="EC82" s="109"/>
      <c r="ED82" s="109"/>
      <c r="EE82" s="109"/>
      <c r="EF82" s="109"/>
      <c r="EG82" s="109"/>
      <c r="EH82" s="109"/>
      <c r="EI82" s="109"/>
      <c r="EJ82" s="109"/>
      <c r="EK82" s="109"/>
      <c r="EL82" s="109"/>
      <c r="EM82" s="109"/>
      <c r="EN82" s="109"/>
      <c r="EO82" s="109"/>
      <c r="EP82" s="109"/>
      <c r="EQ82" s="109"/>
      <c r="ER82" s="109"/>
      <c r="ES82" s="109"/>
      <c r="ET82" s="109"/>
      <c r="EU82" s="109"/>
      <c r="EV82" s="109"/>
    </row>
    <row r="83" spans="1:152" ht="8.85" customHeight="1">
      <c r="A83" s="2518"/>
      <c r="B83" s="2530"/>
      <c r="C83" s="2522"/>
      <c r="D83" s="2522"/>
      <c r="E83" s="2522"/>
      <c r="F83" s="2522"/>
      <c r="G83" s="2527"/>
      <c r="H83" s="2911"/>
      <c r="I83" s="2911"/>
      <c r="J83" s="2911"/>
      <c r="K83" s="2911"/>
      <c r="L83" s="2477"/>
      <c r="M83" s="2478"/>
      <c r="N83" s="2478"/>
      <c r="O83" s="2479"/>
      <c r="P83" s="2913"/>
      <c r="Q83" s="2913"/>
      <c r="R83" s="2913"/>
      <c r="S83" s="2913"/>
      <c r="T83" s="2356"/>
      <c r="U83" s="2356"/>
      <c r="V83" s="2356"/>
      <c r="W83" s="2356"/>
      <c r="X83" s="2422"/>
      <c r="Y83" s="2297"/>
      <c r="Z83" s="2297"/>
      <c r="AA83" s="2297"/>
      <c r="AB83" s="2881"/>
      <c r="AC83" s="2881"/>
      <c r="AD83" s="2881"/>
      <c r="AE83" s="2882"/>
      <c r="AF83" s="2446"/>
      <c r="AG83" s="2297"/>
      <c r="AH83" s="2297"/>
      <c r="AI83" s="2447"/>
      <c r="AJ83" s="2297"/>
      <c r="AK83" s="2297"/>
      <c r="AL83" s="2297"/>
      <c r="AM83" s="2451"/>
      <c r="AN83" s="2297"/>
      <c r="AO83" s="2297"/>
      <c r="AP83" s="2297"/>
      <c r="AQ83" s="2451"/>
      <c r="AR83" s="2422"/>
      <c r="AS83" s="2297"/>
      <c r="AT83" s="2297"/>
      <c r="AU83" s="2451"/>
      <c r="AV83" s="2356"/>
      <c r="AW83" s="2356"/>
      <c r="AX83" s="2356"/>
      <c r="AY83" s="2880"/>
      <c r="AZ83" s="2356"/>
      <c r="BA83" s="2356"/>
      <c r="BB83" s="2356"/>
      <c r="BC83" s="2880"/>
      <c r="BD83" s="2356"/>
      <c r="BE83" s="2356"/>
      <c r="BF83" s="2356"/>
      <c r="BG83" s="2880"/>
      <c r="BH83" s="2356"/>
      <c r="BI83" s="2356"/>
      <c r="BJ83" s="2356"/>
      <c r="BK83" s="2880"/>
      <c r="BL83" s="2885"/>
      <c r="BM83" s="2375"/>
      <c r="BN83" s="2375"/>
      <c r="BO83" s="2375"/>
      <c r="BP83" s="2375"/>
      <c r="BQ83" s="2375"/>
      <c r="BR83" s="2375"/>
      <c r="BS83" s="2376"/>
      <c r="BT83" s="2370"/>
      <c r="BU83" s="2370"/>
      <c r="BV83" s="2370"/>
      <c r="BW83" s="2370"/>
      <c r="BX83" s="2370"/>
      <c r="BY83" s="2370"/>
      <c r="BZ83" s="2370"/>
      <c r="CA83" s="2370"/>
      <c r="CB83" s="2370"/>
      <c r="CC83" s="2370"/>
      <c r="CD83" s="2370"/>
      <c r="CE83" s="2370"/>
      <c r="CF83" s="2370"/>
      <c r="CG83" s="2370"/>
      <c r="CH83" s="2371"/>
      <c r="CI83" s="2886"/>
      <c r="CJ83" s="2886"/>
      <c r="CK83" s="2857"/>
      <c r="CL83" s="2857"/>
      <c r="CM83" s="2857"/>
      <c r="CQ83" s="2742"/>
      <c r="CR83" s="2743"/>
      <c r="CS83" s="2743"/>
      <c r="CT83" s="2744"/>
      <c r="EC83" s="109"/>
      <c r="ED83" s="109"/>
      <c r="EE83" s="109"/>
      <c r="EF83" s="109"/>
      <c r="EG83" s="109"/>
      <c r="EH83" s="109"/>
      <c r="EI83" s="109"/>
      <c r="EJ83" s="109"/>
      <c r="EK83" s="109"/>
      <c r="EL83" s="109"/>
      <c r="EM83" s="109"/>
      <c r="EN83" s="109"/>
      <c r="EO83" s="109"/>
      <c r="EP83" s="109"/>
      <c r="EQ83" s="109"/>
      <c r="ER83" s="109"/>
      <c r="ES83" s="109"/>
      <c r="ET83" s="109"/>
      <c r="EU83" s="109"/>
      <c r="EV83" s="109"/>
    </row>
    <row r="84" spans="1:152" ht="8.85" customHeight="1">
      <c r="A84" s="2518"/>
      <c r="B84" s="2530"/>
      <c r="C84" s="2522"/>
      <c r="D84" s="2522"/>
      <c r="E84" s="2522"/>
      <c r="F84" s="2522"/>
      <c r="G84" s="2527"/>
      <c r="H84" s="2911"/>
      <c r="I84" s="2911"/>
      <c r="J84" s="2911"/>
      <c r="K84" s="2911"/>
      <c r="L84" s="2477"/>
      <c r="M84" s="2478"/>
      <c r="N84" s="2478"/>
      <c r="O84" s="2479"/>
      <c r="P84" s="2913"/>
      <c r="Q84" s="2913"/>
      <c r="R84" s="2913"/>
      <c r="S84" s="2913"/>
      <c r="T84" s="2356"/>
      <c r="U84" s="2356"/>
      <c r="V84" s="2356"/>
      <c r="W84" s="2356"/>
      <c r="X84" s="2422"/>
      <c r="Y84" s="2297"/>
      <c r="Z84" s="2297"/>
      <c r="AA84" s="2297"/>
      <c r="AB84" s="2881"/>
      <c r="AC84" s="2881"/>
      <c r="AD84" s="2881"/>
      <c r="AE84" s="2882"/>
      <c r="AF84" s="2446"/>
      <c r="AG84" s="2297"/>
      <c r="AH84" s="2297"/>
      <c r="AI84" s="2447"/>
      <c r="AJ84" s="2297"/>
      <c r="AK84" s="2297"/>
      <c r="AL84" s="2297"/>
      <c r="AM84" s="2451"/>
      <c r="AN84" s="2297"/>
      <c r="AO84" s="2297"/>
      <c r="AP84" s="2297"/>
      <c r="AQ84" s="2451"/>
      <c r="AR84" s="2422"/>
      <c r="AS84" s="2297"/>
      <c r="AT84" s="2297"/>
      <c r="AU84" s="2451"/>
      <c r="AV84" s="2356"/>
      <c r="AW84" s="2356"/>
      <c r="AX84" s="2356"/>
      <c r="AY84" s="2880"/>
      <c r="AZ84" s="2356"/>
      <c r="BA84" s="2356"/>
      <c r="BB84" s="2356"/>
      <c r="BC84" s="2880"/>
      <c r="BD84" s="2356"/>
      <c r="BE84" s="2356"/>
      <c r="BF84" s="2356"/>
      <c r="BG84" s="2880"/>
      <c r="BH84" s="2356"/>
      <c r="BI84" s="2356"/>
      <c r="BJ84" s="2356"/>
      <c r="BK84" s="2880"/>
      <c r="BL84" s="2885"/>
      <c r="BM84" s="2375"/>
      <c r="BN84" s="2375"/>
      <c r="BO84" s="2375"/>
      <c r="BP84" s="2375"/>
      <c r="BQ84" s="2375"/>
      <c r="BR84" s="2375"/>
      <c r="BS84" s="2376"/>
      <c r="BT84" s="2370"/>
      <c r="BU84" s="2370"/>
      <c r="BV84" s="2370"/>
      <c r="BW84" s="2370"/>
      <c r="BX84" s="2370"/>
      <c r="BY84" s="2370"/>
      <c r="BZ84" s="2370"/>
      <c r="CA84" s="2370"/>
      <c r="CB84" s="2370"/>
      <c r="CC84" s="2370"/>
      <c r="CD84" s="2370"/>
      <c r="CE84" s="2370"/>
      <c r="CF84" s="2370"/>
      <c r="CG84" s="2370"/>
      <c r="CH84" s="2371"/>
      <c r="CI84" s="2886"/>
      <c r="CJ84" s="2886"/>
      <c r="CK84" s="2857"/>
      <c r="CL84" s="2857"/>
      <c r="CM84" s="2857"/>
      <c r="CQ84" s="2742"/>
      <c r="CR84" s="2743"/>
      <c r="CS84" s="2743"/>
      <c r="CT84" s="2744"/>
      <c r="EC84" s="109"/>
      <c r="ED84" s="109"/>
      <c r="EE84" s="109"/>
      <c r="EF84" s="109"/>
      <c r="EG84" s="109"/>
      <c r="EH84" s="109"/>
      <c r="EI84" s="109"/>
      <c r="EJ84" s="109"/>
      <c r="EK84" s="109"/>
      <c r="EL84" s="109"/>
      <c r="EM84" s="109"/>
      <c r="EN84" s="109"/>
      <c r="EO84" s="109"/>
      <c r="EP84" s="109"/>
      <c r="EQ84" s="109"/>
      <c r="ER84" s="109"/>
      <c r="ES84" s="109"/>
      <c r="ET84" s="109"/>
      <c r="EU84" s="109"/>
      <c r="EV84" s="109"/>
    </row>
    <row r="85" spans="1:152" ht="8.85" customHeight="1">
      <c r="A85" s="2518"/>
      <c r="B85" s="2523"/>
      <c r="C85" s="2524"/>
      <c r="D85" s="2524"/>
      <c r="E85" s="2524"/>
      <c r="F85" s="2524"/>
      <c r="G85" s="2528"/>
      <c r="H85" s="2911"/>
      <c r="I85" s="2911"/>
      <c r="J85" s="2911"/>
      <c r="K85" s="2911"/>
      <c r="L85" s="2480"/>
      <c r="M85" s="2481"/>
      <c r="N85" s="2481"/>
      <c r="O85" s="2482"/>
      <c r="P85" s="2913"/>
      <c r="Q85" s="2913"/>
      <c r="R85" s="2913"/>
      <c r="S85" s="2913"/>
      <c r="T85" s="2356"/>
      <c r="U85" s="2356"/>
      <c r="V85" s="2356"/>
      <c r="W85" s="2356"/>
      <c r="X85" s="2439"/>
      <c r="Y85" s="2298"/>
      <c r="Z85" s="2298"/>
      <c r="AA85" s="2298"/>
      <c r="AB85" s="2881"/>
      <c r="AC85" s="2881"/>
      <c r="AD85" s="2881"/>
      <c r="AE85" s="2882"/>
      <c r="AF85" s="2444"/>
      <c r="AG85" s="2298"/>
      <c r="AH85" s="2298"/>
      <c r="AI85" s="2445"/>
      <c r="AJ85" s="2298"/>
      <c r="AK85" s="2298"/>
      <c r="AL85" s="2298"/>
      <c r="AM85" s="2452"/>
      <c r="AN85" s="2298"/>
      <c r="AO85" s="2298"/>
      <c r="AP85" s="2298"/>
      <c r="AQ85" s="2452"/>
      <c r="AR85" s="2439"/>
      <c r="AS85" s="2298"/>
      <c r="AT85" s="2298"/>
      <c r="AU85" s="2452"/>
      <c r="AV85" s="2356"/>
      <c r="AW85" s="2356"/>
      <c r="AX85" s="2356"/>
      <c r="AY85" s="2880"/>
      <c r="AZ85" s="2356"/>
      <c r="BA85" s="2356"/>
      <c r="BB85" s="2356"/>
      <c r="BC85" s="2880"/>
      <c r="BD85" s="2356"/>
      <c r="BE85" s="2356"/>
      <c r="BF85" s="2356"/>
      <c r="BG85" s="2880"/>
      <c r="BH85" s="2356"/>
      <c r="BI85" s="2356"/>
      <c r="BJ85" s="2356"/>
      <c r="BK85" s="2880"/>
      <c r="BL85" s="2885"/>
      <c r="BM85" s="2375"/>
      <c r="BN85" s="2375"/>
      <c r="BO85" s="2375"/>
      <c r="BP85" s="2375"/>
      <c r="BQ85" s="2375"/>
      <c r="BR85" s="2375"/>
      <c r="BS85" s="2376"/>
      <c r="BT85" s="2372"/>
      <c r="BU85" s="2372"/>
      <c r="BV85" s="2372"/>
      <c r="BW85" s="2372"/>
      <c r="BX85" s="2372"/>
      <c r="BY85" s="2372"/>
      <c r="BZ85" s="2372"/>
      <c r="CA85" s="2372"/>
      <c r="CB85" s="2372"/>
      <c r="CC85" s="2372"/>
      <c r="CD85" s="2372"/>
      <c r="CE85" s="2372"/>
      <c r="CF85" s="2372"/>
      <c r="CG85" s="2372"/>
      <c r="CH85" s="2373"/>
      <c r="CI85" s="2886"/>
      <c r="CJ85" s="2886"/>
      <c r="CK85" s="2857"/>
      <c r="CL85" s="2857"/>
      <c r="CM85" s="2857"/>
      <c r="CQ85" s="2745"/>
      <c r="CR85" s="2746"/>
      <c r="CS85" s="2746"/>
      <c r="CT85" s="2747"/>
      <c r="EC85" s="109"/>
      <c r="ED85" s="109"/>
      <c r="EE85" s="109"/>
      <c r="EF85" s="109"/>
      <c r="EG85" s="109"/>
      <c r="EH85" s="109"/>
      <c r="EI85" s="109"/>
      <c r="EJ85" s="109"/>
      <c r="EK85" s="109"/>
      <c r="EL85" s="109"/>
      <c r="EM85" s="109"/>
      <c r="EN85" s="109"/>
      <c r="EO85" s="109"/>
      <c r="EP85" s="109"/>
      <c r="EQ85" s="109"/>
      <c r="ER85" s="109"/>
      <c r="ES85" s="109"/>
      <c r="ET85" s="109"/>
      <c r="EU85" s="109"/>
      <c r="EV85" s="109"/>
    </row>
    <row r="86" spans="1:152" ht="8.85" customHeight="1">
      <c r="A86" s="2518">
        <v>22</v>
      </c>
      <c r="B86" s="2525"/>
      <c r="C86" s="2520"/>
      <c r="D86" s="2520"/>
      <c r="E86" s="2520"/>
      <c r="F86" s="2520"/>
      <c r="G86" s="2529"/>
      <c r="H86" s="2911"/>
      <c r="I86" s="2911"/>
      <c r="J86" s="2911"/>
      <c r="K86" s="2911"/>
      <c r="L86" s="2474"/>
      <c r="M86" s="2475"/>
      <c r="N86" s="2475"/>
      <c r="O86" s="2476"/>
      <c r="P86" s="2912"/>
      <c r="Q86" s="2913"/>
      <c r="R86" s="2913"/>
      <c r="S86" s="2913"/>
      <c r="T86" s="2356"/>
      <c r="U86" s="2356"/>
      <c r="V86" s="2356"/>
      <c r="W86" s="2356"/>
      <c r="X86" s="2420"/>
      <c r="Y86" s="2421"/>
      <c r="Z86" s="2421"/>
      <c r="AA86" s="2421"/>
      <c r="AB86" s="2881" t="str">
        <f t="shared" ref="AB86" si="38">IF(L86="REJECTED",AB82,IF(X86="","",IF(N$22="","",N$22-X86)))</f>
        <v/>
      </c>
      <c r="AC86" s="2881"/>
      <c r="AD86" s="2881"/>
      <c r="AE86" s="2882"/>
      <c r="AF86" s="2440"/>
      <c r="AG86" s="2421"/>
      <c r="AH86" s="2421"/>
      <c r="AI86" s="2441"/>
      <c r="AJ86" s="2421"/>
      <c r="AK86" s="2421"/>
      <c r="AL86" s="2421"/>
      <c r="AM86" s="2483"/>
      <c r="AN86" s="2421"/>
      <c r="AO86" s="2421"/>
      <c r="AP86" s="2421"/>
      <c r="AQ86" s="2483"/>
      <c r="AR86" s="2420"/>
      <c r="AS86" s="2421"/>
      <c r="AT86" s="2421"/>
      <c r="AU86" s="2483"/>
      <c r="AV86" s="2356"/>
      <c r="AW86" s="2356"/>
      <c r="AX86" s="2356"/>
      <c r="AY86" s="2880"/>
      <c r="AZ86" s="2356"/>
      <c r="BA86" s="2356"/>
      <c r="BB86" s="2356"/>
      <c r="BC86" s="2880"/>
      <c r="BD86" s="2356"/>
      <c r="BE86" s="2356"/>
      <c r="BF86" s="2356"/>
      <c r="BG86" s="2880"/>
      <c r="BH86" s="2356"/>
      <c r="BI86" s="2356"/>
      <c r="BJ86" s="2356"/>
      <c r="BK86" s="2880"/>
      <c r="BL86" s="2885" t="str">
        <f t="shared" ref="BL86" si="39">IF(OR(L86="REJECTED",L86="Not Placed"),0,IF(AF86="","",SUM(AF86:AM89)-SUM(AN86:BK89)))</f>
        <v/>
      </c>
      <c r="BM86" s="2375"/>
      <c r="BN86" s="2375"/>
      <c r="BO86" s="2375"/>
      <c r="BP86" s="2375" t="str">
        <f t="shared" ref="BP86" si="40">IF(L86="REJECTED",BP82,IF(AF86="","",BP82+BL86))</f>
        <v/>
      </c>
      <c r="BQ86" s="2375"/>
      <c r="BR86" s="2375"/>
      <c r="BS86" s="2376"/>
      <c r="BT86" s="2368"/>
      <c r="BU86" s="2368"/>
      <c r="BV86" s="2368"/>
      <c r="BW86" s="2368"/>
      <c r="BX86" s="2368"/>
      <c r="BY86" s="2368"/>
      <c r="BZ86" s="2368"/>
      <c r="CA86" s="2368"/>
      <c r="CB86" s="2368"/>
      <c r="CC86" s="2368"/>
      <c r="CD86" s="2368"/>
      <c r="CE86" s="2368"/>
      <c r="CF86" s="2368"/>
      <c r="CG86" s="2368"/>
      <c r="CH86" s="2369"/>
      <c r="CI86" s="2886">
        <v>22</v>
      </c>
      <c r="CJ86" s="2886"/>
      <c r="CK86" s="2857" t="e">
        <f>'Concr. Curve'!BL34</f>
        <v>#DIV/0!</v>
      </c>
      <c r="CL86" s="2857"/>
      <c r="CM86" s="2857"/>
      <c r="CQ86" s="2967" t="str">
        <f t="shared" ref="CQ86" si="41">IF(OR(P86="",H86=""),"",MOD(P86-H86,1)*24*60)</f>
        <v/>
      </c>
      <c r="CR86" s="2968"/>
      <c r="CS86" s="2968"/>
      <c r="CT86" s="2969"/>
      <c r="EC86" s="109"/>
      <c r="ED86" s="109"/>
      <c r="EE86" s="109"/>
      <c r="EF86" s="109"/>
      <c r="EG86" s="109"/>
      <c r="EH86" s="109"/>
      <c r="EI86" s="109"/>
      <c r="EJ86" s="109"/>
      <c r="EK86" s="109"/>
      <c r="EL86" s="109"/>
      <c r="EM86" s="109"/>
      <c r="EN86" s="109"/>
      <c r="EO86" s="109"/>
      <c r="EP86" s="109"/>
      <c r="EQ86" s="109"/>
      <c r="ER86" s="109"/>
      <c r="ES86" s="109"/>
      <c r="ET86" s="109"/>
      <c r="EU86" s="109"/>
      <c r="EV86" s="109"/>
    </row>
    <row r="87" spans="1:152" ht="8.85" customHeight="1">
      <c r="A87" s="2518"/>
      <c r="B87" s="2530"/>
      <c r="C87" s="2522"/>
      <c r="D87" s="2522"/>
      <c r="E87" s="2522"/>
      <c r="F87" s="2522"/>
      <c r="G87" s="2527"/>
      <c r="H87" s="2911"/>
      <c r="I87" s="2911"/>
      <c r="J87" s="2911"/>
      <c r="K87" s="2911"/>
      <c r="L87" s="2477"/>
      <c r="M87" s="2478"/>
      <c r="N87" s="2478"/>
      <c r="O87" s="2479"/>
      <c r="P87" s="2913"/>
      <c r="Q87" s="2913"/>
      <c r="R87" s="2913"/>
      <c r="S87" s="2913"/>
      <c r="T87" s="2356"/>
      <c r="U87" s="2356"/>
      <c r="V87" s="2356"/>
      <c r="W87" s="2356"/>
      <c r="X87" s="2422"/>
      <c r="Y87" s="2297"/>
      <c r="Z87" s="2297"/>
      <c r="AA87" s="2297"/>
      <c r="AB87" s="2881"/>
      <c r="AC87" s="2881"/>
      <c r="AD87" s="2881"/>
      <c r="AE87" s="2882"/>
      <c r="AF87" s="2446"/>
      <c r="AG87" s="2297"/>
      <c r="AH87" s="2297"/>
      <c r="AI87" s="2447"/>
      <c r="AJ87" s="2297"/>
      <c r="AK87" s="2297"/>
      <c r="AL87" s="2297"/>
      <c r="AM87" s="2451"/>
      <c r="AN87" s="2297"/>
      <c r="AO87" s="2297"/>
      <c r="AP87" s="2297"/>
      <c r="AQ87" s="2451"/>
      <c r="AR87" s="2422"/>
      <c r="AS87" s="2297"/>
      <c r="AT87" s="2297"/>
      <c r="AU87" s="2451"/>
      <c r="AV87" s="2356"/>
      <c r="AW87" s="2356"/>
      <c r="AX87" s="2356"/>
      <c r="AY87" s="2880"/>
      <c r="AZ87" s="2356"/>
      <c r="BA87" s="2356"/>
      <c r="BB87" s="2356"/>
      <c r="BC87" s="2880"/>
      <c r="BD87" s="2356"/>
      <c r="BE87" s="2356"/>
      <c r="BF87" s="2356"/>
      <c r="BG87" s="2880"/>
      <c r="BH87" s="2356"/>
      <c r="BI87" s="2356"/>
      <c r="BJ87" s="2356"/>
      <c r="BK87" s="2880"/>
      <c r="BL87" s="2885"/>
      <c r="BM87" s="2375"/>
      <c r="BN87" s="2375"/>
      <c r="BO87" s="2375"/>
      <c r="BP87" s="2375"/>
      <c r="BQ87" s="2375"/>
      <c r="BR87" s="2375"/>
      <c r="BS87" s="2376"/>
      <c r="BT87" s="2370"/>
      <c r="BU87" s="2370"/>
      <c r="BV87" s="2370"/>
      <c r="BW87" s="2370"/>
      <c r="BX87" s="2370"/>
      <c r="BY87" s="2370"/>
      <c r="BZ87" s="2370"/>
      <c r="CA87" s="2370"/>
      <c r="CB87" s="2370"/>
      <c r="CC87" s="2370"/>
      <c r="CD87" s="2370"/>
      <c r="CE87" s="2370"/>
      <c r="CF87" s="2370"/>
      <c r="CG87" s="2370"/>
      <c r="CH87" s="2371"/>
      <c r="CI87" s="2886"/>
      <c r="CJ87" s="2886"/>
      <c r="CK87" s="2857"/>
      <c r="CL87" s="2857"/>
      <c r="CM87" s="2857"/>
      <c r="CQ87" s="2742"/>
      <c r="CR87" s="2743"/>
      <c r="CS87" s="2743"/>
      <c r="CT87" s="2744"/>
      <c r="EC87" s="109"/>
      <c r="ED87" s="109"/>
      <c r="EE87" s="109"/>
      <c r="EF87" s="109"/>
      <c r="EG87" s="109"/>
      <c r="EH87" s="109"/>
      <c r="EI87" s="109"/>
      <c r="EJ87" s="109"/>
      <c r="EK87" s="109"/>
      <c r="EL87" s="109"/>
      <c r="EM87" s="109"/>
      <c r="EN87" s="109"/>
      <c r="EO87" s="109"/>
      <c r="EP87" s="109"/>
      <c r="EQ87" s="109"/>
      <c r="ER87" s="109"/>
      <c r="ES87" s="109"/>
      <c r="ET87" s="109"/>
      <c r="EU87" s="109"/>
      <c r="EV87" s="109"/>
    </row>
    <row r="88" spans="1:152" ht="8.85" customHeight="1">
      <c r="A88" s="2518"/>
      <c r="B88" s="2530"/>
      <c r="C88" s="2522"/>
      <c r="D88" s="2522"/>
      <c r="E88" s="2522"/>
      <c r="F88" s="2522"/>
      <c r="G88" s="2527"/>
      <c r="H88" s="2911"/>
      <c r="I88" s="2911"/>
      <c r="J88" s="2911"/>
      <c r="K88" s="2911"/>
      <c r="L88" s="2477"/>
      <c r="M88" s="2478"/>
      <c r="N88" s="2478"/>
      <c r="O88" s="2479"/>
      <c r="P88" s="2913"/>
      <c r="Q88" s="2913"/>
      <c r="R88" s="2913"/>
      <c r="S88" s="2913"/>
      <c r="T88" s="2356"/>
      <c r="U88" s="2356"/>
      <c r="V88" s="2356"/>
      <c r="W88" s="2356"/>
      <c r="X88" s="2422"/>
      <c r="Y88" s="2297"/>
      <c r="Z88" s="2297"/>
      <c r="AA88" s="2297"/>
      <c r="AB88" s="2881"/>
      <c r="AC88" s="2881"/>
      <c r="AD88" s="2881"/>
      <c r="AE88" s="2882"/>
      <c r="AF88" s="2446"/>
      <c r="AG88" s="2297"/>
      <c r="AH88" s="2297"/>
      <c r="AI88" s="2447"/>
      <c r="AJ88" s="2297"/>
      <c r="AK88" s="2297"/>
      <c r="AL88" s="2297"/>
      <c r="AM88" s="2451"/>
      <c r="AN88" s="2297"/>
      <c r="AO88" s="2297"/>
      <c r="AP88" s="2297"/>
      <c r="AQ88" s="2451"/>
      <c r="AR88" s="2422"/>
      <c r="AS88" s="2297"/>
      <c r="AT88" s="2297"/>
      <c r="AU88" s="2451"/>
      <c r="AV88" s="2356"/>
      <c r="AW88" s="2356"/>
      <c r="AX88" s="2356"/>
      <c r="AY88" s="2880"/>
      <c r="AZ88" s="2356"/>
      <c r="BA88" s="2356"/>
      <c r="BB88" s="2356"/>
      <c r="BC88" s="2880"/>
      <c r="BD88" s="2356"/>
      <c r="BE88" s="2356"/>
      <c r="BF88" s="2356"/>
      <c r="BG88" s="2880"/>
      <c r="BH88" s="2356"/>
      <c r="BI88" s="2356"/>
      <c r="BJ88" s="2356"/>
      <c r="BK88" s="2880"/>
      <c r="BL88" s="2885"/>
      <c r="BM88" s="2375"/>
      <c r="BN88" s="2375"/>
      <c r="BO88" s="2375"/>
      <c r="BP88" s="2375"/>
      <c r="BQ88" s="2375"/>
      <c r="BR88" s="2375"/>
      <c r="BS88" s="2376"/>
      <c r="BT88" s="2370"/>
      <c r="BU88" s="2370"/>
      <c r="BV88" s="2370"/>
      <c r="BW88" s="2370"/>
      <c r="BX88" s="2370"/>
      <c r="BY88" s="2370"/>
      <c r="BZ88" s="2370"/>
      <c r="CA88" s="2370"/>
      <c r="CB88" s="2370"/>
      <c r="CC88" s="2370"/>
      <c r="CD88" s="2370"/>
      <c r="CE88" s="2370"/>
      <c r="CF88" s="2370"/>
      <c r="CG88" s="2370"/>
      <c r="CH88" s="2371"/>
      <c r="CI88" s="2886"/>
      <c r="CJ88" s="2886"/>
      <c r="CK88" s="2857"/>
      <c r="CL88" s="2857"/>
      <c r="CM88" s="2857"/>
      <c r="CQ88" s="2742"/>
      <c r="CR88" s="2743"/>
      <c r="CS88" s="2743"/>
      <c r="CT88" s="2744"/>
      <c r="EC88" s="109"/>
      <c r="ED88" s="109"/>
      <c r="EE88" s="109"/>
      <c r="EF88" s="109"/>
      <c r="EG88" s="109"/>
      <c r="EH88" s="109"/>
      <c r="EI88" s="109"/>
      <c r="EJ88" s="109"/>
      <c r="EK88" s="109"/>
      <c r="EL88" s="109"/>
      <c r="EM88" s="109"/>
      <c r="EN88" s="109"/>
      <c r="EO88" s="109"/>
      <c r="EP88" s="109"/>
      <c r="EQ88" s="109"/>
      <c r="ER88" s="109"/>
      <c r="ES88" s="109"/>
      <c r="ET88" s="109"/>
      <c r="EU88" s="109"/>
      <c r="EV88" s="109"/>
    </row>
    <row r="89" spans="1:152" ht="8.85" customHeight="1">
      <c r="A89" s="2518"/>
      <c r="B89" s="2523"/>
      <c r="C89" s="2524"/>
      <c r="D89" s="2524"/>
      <c r="E89" s="2524"/>
      <c r="F89" s="2524"/>
      <c r="G89" s="2528"/>
      <c r="H89" s="2911"/>
      <c r="I89" s="2911"/>
      <c r="J89" s="2911"/>
      <c r="K89" s="2911"/>
      <c r="L89" s="2480"/>
      <c r="M89" s="2481"/>
      <c r="N89" s="2481"/>
      <c r="O89" s="2482"/>
      <c r="P89" s="2913"/>
      <c r="Q89" s="2913"/>
      <c r="R89" s="2913"/>
      <c r="S89" s="2913"/>
      <c r="T89" s="2356"/>
      <c r="U89" s="2356"/>
      <c r="V89" s="2356"/>
      <c r="W89" s="2356"/>
      <c r="X89" s="2439"/>
      <c r="Y89" s="2298"/>
      <c r="Z89" s="2298"/>
      <c r="AA89" s="2298"/>
      <c r="AB89" s="2881"/>
      <c r="AC89" s="2881"/>
      <c r="AD89" s="2881"/>
      <c r="AE89" s="2882"/>
      <c r="AF89" s="2444"/>
      <c r="AG89" s="2298"/>
      <c r="AH89" s="2298"/>
      <c r="AI89" s="2445"/>
      <c r="AJ89" s="2298"/>
      <c r="AK89" s="2298"/>
      <c r="AL89" s="2298"/>
      <c r="AM89" s="2452"/>
      <c r="AN89" s="2298"/>
      <c r="AO89" s="2298"/>
      <c r="AP89" s="2298"/>
      <c r="AQ89" s="2452"/>
      <c r="AR89" s="2439"/>
      <c r="AS89" s="2298"/>
      <c r="AT89" s="2298"/>
      <c r="AU89" s="2452"/>
      <c r="AV89" s="2356"/>
      <c r="AW89" s="2356"/>
      <c r="AX89" s="2356"/>
      <c r="AY89" s="2880"/>
      <c r="AZ89" s="2356"/>
      <c r="BA89" s="2356"/>
      <c r="BB89" s="2356"/>
      <c r="BC89" s="2880"/>
      <c r="BD89" s="2356"/>
      <c r="BE89" s="2356"/>
      <c r="BF89" s="2356"/>
      <c r="BG89" s="2880"/>
      <c r="BH89" s="2356"/>
      <c r="BI89" s="2356"/>
      <c r="BJ89" s="2356"/>
      <c r="BK89" s="2880"/>
      <c r="BL89" s="2885"/>
      <c r="BM89" s="2375"/>
      <c r="BN89" s="2375"/>
      <c r="BO89" s="2375"/>
      <c r="BP89" s="2375"/>
      <c r="BQ89" s="2375"/>
      <c r="BR89" s="2375"/>
      <c r="BS89" s="2376"/>
      <c r="BT89" s="2372"/>
      <c r="BU89" s="2372"/>
      <c r="BV89" s="2372"/>
      <c r="BW89" s="2372"/>
      <c r="BX89" s="2372"/>
      <c r="BY89" s="2372"/>
      <c r="BZ89" s="2372"/>
      <c r="CA89" s="2372"/>
      <c r="CB89" s="2372"/>
      <c r="CC89" s="2372"/>
      <c r="CD89" s="2372"/>
      <c r="CE89" s="2372"/>
      <c r="CF89" s="2372"/>
      <c r="CG89" s="2372"/>
      <c r="CH89" s="2373"/>
      <c r="CI89" s="2886"/>
      <c r="CJ89" s="2886"/>
      <c r="CK89" s="2857"/>
      <c r="CL89" s="2857"/>
      <c r="CM89" s="2857"/>
      <c r="CQ89" s="2745"/>
      <c r="CR89" s="2746"/>
      <c r="CS89" s="2746"/>
      <c r="CT89" s="2747"/>
      <c r="EC89" s="109"/>
      <c r="ED89" s="109"/>
      <c r="EE89" s="109"/>
      <c r="EF89" s="109"/>
      <c r="EG89" s="109"/>
      <c r="EH89" s="109"/>
      <c r="EI89" s="109"/>
      <c r="EJ89" s="109"/>
      <c r="EK89" s="109"/>
      <c r="EL89" s="109"/>
      <c r="EM89" s="109"/>
      <c r="EN89" s="109"/>
      <c r="EO89" s="109"/>
      <c r="EP89" s="109"/>
      <c r="EQ89" s="109"/>
      <c r="ER89" s="109"/>
      <c r="ES89" s="109"/>
      <c r="ET89" s="109"/>
      <c r="EU89" s="109"/>
      <c r="EV89" s="109"/>
    </row>
    <row r="90" spans="1:152" ht="8.85" customHeight="1">
      <c r="A90" s="2518">
        <v>23</v>
      </c>
      <c r="B90" s="2525"/>
      <c r="C90" s="2520"/>
      <c r="D90" s="2520"/>
      <c r="E90" s="2520"/>
      <c r="F90" s="2520"/>
      <c r="G90" s="2529"/>
      <c r="H90" s="2911"/>
      <c r="I90" s="2911"/>
      <c r="J90" s="2911"/>
      <c r="K90" s="2911"/>
      <c r="L90" s="2474"/>
      <c r="M90" s="2475"/>
      <c r="N90" s="2475"/>
      <c r="O90" s="2476"/>
      <c r="P90" s="2912"/>
      <c r="Q90" s="2913"/>
      <c r="R90" s="2913"/>
      <c r="S90" s="2913"/>
      <c r="T90" s="2356"/>
      <c r="U90" s="2356"/>
      <c r="V90" s="2356"/>
      <c r="W90" s="2356"/>
      <c r="X90" s="2420"/>
      <c r="Y90" s="2421"/>
      <c r="Z90" s="2421"/>
      <c r="AA90" s="2421"/>
      <c r="AB90" s="2881" t="str">
        <f t="shared" ref="AB90" si="42">IF(L90="REJECTED",AB86,IF(X90="","",IF(N$22="","",N$22-X90)))</f>
        <v/>
      </c>
      <c r="AC90" s="2881"/>
      <c r="AD90" s="2881"/>
      <c r="AE90" s="2882"/>
      <c r="AF90" s="2440"/>
      <c r="AG90" s="2421"/>
      <c r="AH90" s="2421"/>
      <c r="AI90" s="2441"/>
      <c r="AJ90" s="2421"/>
      <c r="AK90" s="2421"/>
      <c r="AL90" s="2421"/>
      <c r="AM90" s="2483"/>
      <c r="AN90" s="2421"/>
      <c r="AO90" s="2421"/>
      <c r="AP90" s="2421"/>
      <c r="AQ90" s="2483"/>
      <c r="AR90" s="2420"/>
      <c r="AS90" s="2421"/>
      <c r="AT90" s="2421"/>
      <c r="AU90" s="2483"/>
      <c r="AV90" s="2356"/>
      <c r="AW90" s="2356"/>
      <c r="AX90" s="2356"/>
      <c r="AY90" s="2880"/>
      <c r="AZ90" s="2356"/>
      <c r="BA90" s="2356"/>
      <c r="BB90" s="2356"/>
      <c r="BC90" s="2880"/>
      <c r="BD90" s="2356"/>
      <c r="BE90" s="2356"/>
      <c r="BF90" s="2356"/>
      <c r="BG90" s="2880"/>
      <c r="BH90" s="2356"/>
      <c r="BI90" s="2356"/>
      <c r="BJ90" s="2356"/>
      <c r="BK90" s="2880"/>
      <c r="BL90" s="2885" t="str">
        <f>IF(OR(L90="REJECTED",L90="Not Placed"),0,IF(AF90="","",SUM(AF90:AM93)-SUM(AN90:BK93)))</f>
        <v/>
      </c>
      <c r="BM90" s="2375"/>
      <c r="BN90" s="2375"/>
      <c r="BO90" s="2375"/>
      <c r="BP90" s="2375" t="str">
        <f t="shared" ref="BP90" si="43">IF(L90="REJECTED",BP86,IF(AF90="","",BP86+BL90))</f>
        <v/>
      </c>
      <c r="BQ90" s="2375"/>
      <c r="BR90" s="2375"/>
      <c r="BS90" s="2376"/>
      <c r="BT90" s="2368"/>
      <c r="BU90" s="2368"/>
      <c r="BV90" s="2368"/>
      <c r="BW90" s="2368"/>
      <c r="BX90" s="2368"/>
      <c r="BY90" s="2368"/>
      <c r="BZ90" s="2368"/>
      <c r="CA90" s="2368"/>
      <c r="CB90" s="2368"/>
      <c r="CC90" s="2368"/>
      <c r="CD90" s="2368"/>
      <c r="CE90" s="2368"/>
      <c r="CF90" s="2368"/>
      <c r="CG90" s="2368"/>
      <c r="CH90" s="2369"/>
      <c r="CI90" s="2886">
        <v>23</v>
      </c>
      <c r="CJ90" s="2886"/>
      <c r="CK90" s="2857" t="e">
        <f>'Concr. Curve'!BL33</f>
        <v>#DIV/0!</v>
      </c>
      <c r="CL90" s="2857"/>
      <c r="CM90" s="2857"/>
      <c r="CQ90" s="2967" t="str">
        <f t="shared" ref="CQ90" si="44">IF(OR(P90="",H90=""),"",MOD(P90-H90,1)*24*60)</f>
        <v/>
      </c>
      <c r="CR90" s="2968"/>
      <c r="CS90" s="2968"/>
      <c r="CT90" s="2969"/>
      <c r="EC90" s="109"/>
      <c r="ED90" s="109"/>
      <c r="EE90" s="109"/>
      <c r="EF90" s="109"/>
      <c r="EG90" s="109"/>
      <c r="EH90" s="109"/>
      <c r="EI90" s="109"/>
      <c r="EJ90" s="109"/>
      <c r="EK90" s="109"/>
      <c r="EL90" s="109"/>
      <c r="EM90" s="109"/>
      <c r="EN90" s="109"/>
      <c r="EO90" s="109"/>
      <c r="EP90" s="109"/>
      <c r="EQ90" s="109"/>
      <c r="ER90" s="109"/>
      <c r="ES90" s="109"/>
      <c r="ET90" s="109"/>
      <c r="EU90" s="109"/>
      <c r="EV90" s="109"/>
    </row>
    <row r="91" spans="1:152" ht="8.85" customHeight="1">
      <c r="A91" s="2518"/>
      <c r="B91" s="2530"/>
      <c r="C91" s="2522"/>
      <c r="D91" s="2522"/>
      <c r="E91" s="2522"/>
      <c r="F91" s="2522"/>
      <c r="G91" s="2527"/>
      <c r="H91" s="2911"/>
      <c r="I91" s="2911"/>
      <c r="J91" s="2911"/>
      <c r="K91" s="2911"/>
      <c r="L91" s="2477"/>
      <c r="M91" s="2478"/>
      <c r="N91" s="2478"/>
      <c r="O91" s="2479"/>
      <c r="P91" s="2913"/>
      <c r="Q91" s="2913"/>
      <c r="R91" s="2913"/>
      <c r="S91" s="2913"/>
      <c r="T91" s="2356"/>
      <c r="U91" s="2356"/>
      <c r="V91" s="2356"/>
      <c r="W91" s="2356"/>
      <c r="X91" s="2422"/>
      <c r="Y91" s="2297"/>
      <c r="Z91" s="2297"/>
      <c r="AA91" s="2297"/>
      <c r="AB91" s="2881"/>
      <c r="AC91" s="2881"/>
      <c r="AD91" s="2881"/>
      <c r="AE91" s="2882"/>
      <c r="AF91" s="2446"/>
      <c r="AG91" s="2297"/>
      <c r="AH91" s="2297"/>
      <c r="AI91" s="2447"/>
      <c r="AJ91" s="2297"/>
      <c r="AK91" s="2297"/>
      <c r="AL91" s="2297"/>
      <c r="AM91" s="2451"/>
      <c r="AN91" s="2297"/>
      <c r="AO91" s="2297"/>
      <c r="AP91" s="2297"/>
      <c r="AQ91" s="2451"/>
      <c r="AR91" s="2422"/>
      <c r="AS91" s="2297"/>
      <c r="AT91" s="2297"/>
      <c r="AU91" s="2451"/>
      <c r="AV91" s="2356"/>
      <c r="AW91" s="2356"/>
      <c r="AX91" s="2356"/>
      <c r="AY91" s="2880"/>
      <c r="AZ91" s="2356"/>
      <c r="BA91" s="2356"/>
      <c r="BB91" s="2356"/>
      <c r="BC91" s="2880"/>
      <c r="BD91" s="2356"/>
      <c r="BE91" s="2356"/>
      <c r="BF91" s="2356"/>
      <c r="BG91" s="2880"/>
      <c r="BH91" s="2356"/>
      <c r="BI91" s="2356"/>
      <c r="BJ91" s="2356"/>
      <c r="BK91" s="2880"/>
      <c r="BL91" s="2885"/>
      <c r="BM91" s="2375"/>
      <c r="BN91" s="2375"/>
      <c r="BO91" s="2375"/>
      <c r="BP91" s="2375"/>
      <c r="BQ91" s="2375"/>
      <c r="BR91" s="2375"/>
      <c r="BS91" s="2376"/>
      <c r="BT91" s="2370"/>
      <c r="BU91" s="2370"/>
      <c r="BV91" s="2370"/>
      <c r="BW91" s="2370"/>
      <c r="BX91" s="2370"/>
      <c r="BY91" s="2370"/>
      <c r="BZ91" s="2370"/>
      <c r="CA91" s="2370"/>
      <c r="CB91" s="2370"/>
      <c r="CC91" s="2370"/>
      <c r="CD91" s="2370"/>
      <c r="CE91" s="2370"/>
      <c r="CF91" s="2370"/>
      <c r="CG91" s="2370"/>
      <c r="CH91" s="2371"/>
      <c r="CI91" s="2886"/>
      <c r="CJ91" s="2886"/>
      <c r="CK91" s="2857"/>
      <c r="CL91" s="2857"/>
      <c r="CM91" s="2857"/>
      <c r="CQ91" s="2742"/>
      <c r="CR91" s="2743"/>
      <c r="CS91" s="2743"/>
      <c r="CT91" s="2744"/>
      <c r="EC91" s="109"/>
      <c r="ED91" s="109"/>
      <c r="EE91" s="109"/>
      <c r="EF91" s="109"/>
      <c r="EG91" s="109"/>
      <c r="EH91" s="109"/>
      <c r="EI91" s="109"/>
      <c r="EJ91" s="109"/>
      <c r="EK91" s="109"/>
      <c r="EL91" s="109"/>
      <c r="EM91" s="109"/>
      <c r="EN91" s="109"/>
      <c r="EO91" s="109"/>
      <c r="EP91" s="109"/>
      <c r="EQ91" s="109"/>
      <c r="ER91" s="109"/>
      <c r="ES91" s="109"/>
      <c r="ET91" s="109"/>
      <c r="EU91" s="109"/>
      <c r="EV91" s="109"/>
    </row>
    <row r="92" spans="1:152" ht="8.85" customHeight="1">
      <c r="A92" s="2518"/>
      <c r="B92" s="2530"/>
      <c r="C92" s="2522"/>
      <c r="D92" s="2522"/>
      <c r="E92" s="2522"/>
      <c r="F92" s="2522"/>
      <c r="G92" s="2527"/>
      <c r="H92" s="2911"/>
      <c r="I92" s="2911"/>
      <c r="J92" s="2911"/>
      <c r="K92" s="2911"/>
      <c r="L92" s="2477"/>
      <c r="M92" s="2478"/>
      <c r="N92" s="2478"/>
      <c r="O92" s="2479"/>
      <c r="P92" s="2913"/>
      <c r="Q92" s="2913"/>
      <c r="R92" s="2913"/>
      <c r="S92" s="2913"/>
      <c r="T92" s="2356"/>
      <c r="U92" s="2356"/>
      <c r="V92" s="2356"/>
      <c r="W92" s="2356"/>
      <c r="X92" s="2422"/>
      <c r="Y92" s="2297"/>
      <c r="Z92" s="2297"/>
      <c r="AA92" s="2297"/>
      <c r="AB92" s="2881"/>
      <c r="AC92" s="2881"/>
      <c r="AD92" s="2881"/>
      <c r="AE92" s="2882"/>
      <c r="AF92" s="2446"/>
      <c r="AG92" s="2297"/>
      <c r="AH92" s="2297"/>
      <c r="AI92" s="2447"/>
      <c r="AJ92" s="2297"/>
      <c r="AK92" s="2297"/>
      <c r="AL92" s="2297"/>
      <c r="AM92" s="2451"/>
      <c r="AN92" s="2297"/>
      <c r="AO92" s="2297"/>
      <c r="AP92" s="2297"/>
      <c r="AQ92" s="2451"/>
      <c r="AR92" s="2422"/>
      <c r="AS92" s="2297"/>
      <c r="AT92" s="2297"/>
      <c r="AU92" s="2451"/>
      <c r="AV92" s="2356"/>
      <c r="AW92" s="2356"/>
      <c r="AX92" s="2356"/>
      <c r="AY92" s="2880"/>
      <c r="AZ92" s="2356"/>
      <c r="BA92" s="2356"/>
      <c r="BB92" s="2356"/>
      <c r="BC92" s="2880"/>
      <c r="BD92" s="2356"/>
      <c r="BE92" s="2356"/>
      <c r="BF92" s="2356"/>
      <c r="BG92" s="2880"/>
      <c r="BH92" s="2356"/>
      <c r="BI92" s="2356"/>
      <c r="BJ92" s="2356"/>
      <c r="BK92" s="2880"/>
      <c r="BL92" s="2885"/>
      <c r="BM92" s="2375"/>
      <c r="BN92" s="2375"/>
      <c r="BO92" s="2375"/>
      <c r="BP92" s="2375"/>
      <c r="BQ92" s="2375"/>
      <c r="BR92" s="2375"/>
      <c r="BS92" s="2376"/>
      <c r="BT92" s="2370"/>
      <c r="BU92" s="2370"/>
      <c r="BV92" s="2370"/>
      <c r="BW92" s="2370"/>
      <c r="BX92" s="2370"/>
      <c r="BY92" s="2370"/>
      <c r="BZ92" s="2370"/>
      <c r="CA92" s="2370"/>
      <c r="CB92" s="2370"/>
      <c r="CC92" s="2370"/>
      <c r="CD92" s="2370"/>
      <c r="CE92" s="2370"/>
      <c r="CF92" s="2370"/>
      <c r="CG92" s="2370"/>
      <c r="CH92" s="2371"/>
      <c r="CI92" s="2886"/>
      <c r="CJ92" s="2886"/>
      <c r="CK92" s="2857"/>
      <c r="CL92" s="2857"/>
      <c r="CM92" s="2857"/>
      <c r="CQ92" s="2742"/>
      <c r="CR92" s="2743"/>
      <c r="CS92" s="2743"/>
      <c r="CT92" s="2744"/>
      <c r="EC92" s="109"/>
      <c r="ED92" s="109"/>
      <c r="EE92" s="109"/>
      <c r="EF92" s="109"/>
      <c r="EG92" s="109"/>
      <c r="EH92" s="109"/>
      <c r="EI92" s="109"/>
      <c r="EJ92" s="109"/>
      <c r="EK92" s="109"/>
      <c r="EL92" s="109"/>
      <c r="EM92" s="109"/>
      <c r="EN92" s="109"/>
      <c r="EO92" s="109"/>
      <c r="EP92" s="109"/>
      <c r="EQ92" s="109"/>
      <c r="ER92" s="109"/>
      <c r="ES92" s="109"/>
      <c r="ET92" s="109"/>
      <c r="EU92" s="109"/>
      <c r="EV92" s="109"/>
    </row>
    <row r="93" spans="1:152" ht="8.85" customHeight="1">
      <c r="A93" s="2518"/>
      <c r="B93" s="2523"/>
      <c r="C93" s="2524"/>
      <c r="D93" s="2524"/>
      <c r="E93" s="2524"/>
      <c r="F93" s="2524"/>
      <c r="G93" s="2528"/>
      <c r="H93" s="2911"/>
      <c r="I93" s="2911"/>
      <c r="J93" s="2911"/>
      <c r="K93" s="2911"/>
      <c r="L93" s="2480"/>
      <c r="M93" s="2481"/>
      <c r="N93" s="2481"/>
      <c r="O93" s="2482"/>
      <c r="P93" s="2913"/>
      <c r="Q93" s="2913"/>
      <c r="R93" s="2913"/>
      <c r="S93" s="2913"/>
      <c r="T93" s="2356"/>
      <c r="U93" s="2356"/>
      <c r="V93" s="2356"/>
      <c r="W93" s="2356"/>
      <c r="X93" s="2439"/>
      <c r="Y93" s="2298"/>
      <c r="Z93" s="2298"/>
      <c r="AA93" s="2298"/>
      <c r="AB93" s="2881"/>
      <c r="AC93" s="2881"/>
      <c r="AD93" s="2881"/>
      <c r="AE93" s="2882"/>
      <c r="AF93" s="2444"/>
      <c r="AG93" s="2298"/>
      <c r="AH93" s="2298"/>
      <c r="AI93" s="2445"/>
      <c r="AJ93" s="2298"/>
      <c r="AK93" s="2298"/>
      <c r="AL93" s="2298"/>
      <c r="AM93" s="2452"/>
      <c r="AN93" s="2298"/>
      <c r="AO93" s="2298"/>
      <c r="AP93" s="2298"/>
      <c r="AQ93" s="2452"/>
      <c r="AR93" s="2439"/>
      <c r="AS93" s="2298"/>
      <c r="AT93" s="2298"/>
      <c r="AU93" s="2452"/>
      <c r="AV93" s="2356"/>
      <c r="AW93" s="2356"/>
      <c r="AX93" s="2356"/>
      <c r="AY93" s="2880"/>
      <c r="AZ93" s="2356"/>
      <c r="BA93" s="2356"/>
      <c r="BB93" s="2356"/>
      <c r="BC93" s="2880"/>
      <c r="BD93" s="2356"/>
      <c r="BE93" s="2356"/>
      <c r="BF93" s="2356"/>
      <c r="BG93" s="2880"/>
      <c r="BH93" s="2356"/>
      <c r="BI93" s="2356"/>
      <c r="BJ93" s="2356"/>
      <c r="BK93" s="2880"/>
      <c r="BL93" s="2885"/>
      <c r="BM93" s="2375"/>
      <c r="BN93" s="2375"/>
      <c r="BO93" s="2375"/>
      <c r="BP93" s="2375"/>
      <c r="BQ93" s="2375"/>
      <c r="BR93" s="2375"/>
      <c r="BS93" s="2376"/>
      <c r="BT93" s="2372"/>
      <c r="BU93" s="2372"/>
      <c r="BV93" s="2372"/>
      <c r="BW93" s="2372"/>
      <c r="BX93" s="2372"/>
      <c r="BY93" s="2372"/>
      <c r="BZ93" s="2372"/>
      <c r="CA93" s="2372"/>
      <c r="CB93" s="2372"/>
      <c r="CC93" s="2372"/>
      <c r="CD93" s="2372"/>
      <c r="CE93" s="2372"/>
      <c r="CF93" s="2372"/>
      <c r="CG93" s="2372"/>
      <c r="CH93" s="2373"/>
      <c r="CI93" s="2886"/>
      <c r="CJ93" s="2886"/>
      <c r="CK93" s="2857"/>
      <c r="CL93" s="2857"/>
      <c r="CM93" s="2857"/>
      <c r="CQ93" s="2745"/>
      <c r="CR93" s="2746"/>
      <c r="CS93" s="2746"/>
      <c r="CT93" s="2747"/>
      <c r="EC93" s="109"/>
      <c r="ED93" s="109"/>
      <c r="EE93" s="109"/>
      <c r="EF93" s="109"/>
      <c r="EG93" s="109"/>
      <c r="EH93" s="109"/>
      <c r="EI93" s="109"/>
      <c r="EJ93" s="109"/>
      <c r="EK93" s="109"/>
      <c r="EL93" s="109"/>
      <c r="EM93" s="109"/>
      <c r="EN93" s="109"/>
      <c r="EO93" s="109"/>
      <c r="EP93" s="109"/>
      <c r="EQ93" s="109"/>
      <c r="ER93" s="109"/>
      <c r="ES93" s="109"/>
      <c r="ET93" s="109"/>
      <c r="EU93" s="109"/>
      <c r="EV93" s="109"/>
    </row>
    <row r="94" spans="1:152" ht="8.85" customHeight="1">
      <c r="A94" s="2518">
        <v>24</v>
      </c>
      <c r="B94" s="2525"/>
      <c r="C94" s="2520"/>
      <c r="D94" s="2520"/>
      <c r="E94" s="2520"/>
      <c r="F94" s="2520"/>
      <c r="G94" s="2529"/>
      <c r="H94" s="2911"/>
      <c r="I94" s="2911"/>
      <c r="J94" s="2911"/>
      <c r="K94" s="2911"/>
      <c r="L94" s="2474"/>
      <c r="M94" s="2475"/>
      <c r="N94" s="2475"/>
      <c r="O94" s="2476"/>
      <c r="P94" s="2912"/>
      <c r="Q94" s="2913"/>
      <c r="R94" s="2913"/>
      <c r="S94" s="2913"/>
      <c r="T94" s="2356"/>
      <c r="U94" s="2356"/>
      <c r="V94" s="2356"/>
      <c r="W94" s="2356"/>
      <c r="X94" s="2420"/>
      <c r="Y94" s="2421"/>
      <c r="Z94" s="2421"/>
      <c r="AA94" s="2421"/>
      <c r="AB94" s="2881" t="str">
        <f t="shared" ref="AB94" si="45">IF(L94="REJECTED",AB90,IF(X94="","",IF(N$22="","",N$22-X94)))</f>
        <v/>
      </c>
      <c r="AC94" s="2881"/>
      <c r="AD94" s="2881"/>
      <c r="AE94" s="2882"/>
      <c r="AF94" s="2440"/>
      <c r="AG94" s="2421"/>
      <c r="AH94" s="2421"/>
      <c r="AI94" s="2441"/>
      <c r="AJ94" s="2421"/>
      <c r="AK94" s="2421"/>
      <c r="AL94" s="2421"/>
      <c r="AM94" s="2483"/>
      <c r="AN94" s="2421"/>
      <c r="AO94" s="2421"/>
      <c r="AP94" s="2421"/>
      <c r="AQ94" s="2483"/>
      <c r="AR94" s="2420"/>
      <c r="AS94" s="2421"/>
      <c r="AT94" s="2421"/>
      <c r="AU94" s="2483"/>
      <c r="AV94" s="2356"/>
      <c r="AW94" s="2356"/>
      <c r="AX94" s="2356"/>
      <c r="AY94" s="2880"/>
      <c r="AZ94" s="2356"/>
      <c r="BA94" s="2356"/>
      <c r="BB94" s="2356"/>
      <c r="BC94" s="2880"/>
      <c r="BD94" s="2356"/>
      <c r="BE94" s="2356"/>
      <c r="BF94" s="2356"/>
      <c r="BG94" s="2880"/>
      <c r="BH94" s="2356"/>
      <c r="BI94" s="2356"/>
      <c r="BJ94" s="2356"/>
      <c r="BK94" s="2880"/>
      <c r="BL94" s="2885" t="str">
        <f t="shared" ref="BL94" si="46">IF(OR(L94="REJECTED",L94="Not Placed"),0,IF(AF94="","",SUM(AF94:AM97)-SUM(AN94:BK97)))</f>
        <v/>
      </c>
      <c r="BM94" s="2375"/>
      <c r="BN94" s="2375"/>
      <c r="BO94" s="2375"/>
      <c r="BP94" s="2375" t="str">
        <f t="shared" ref="BP94" si="47">IF(L94="REJECTED",BP90,IF(AF94="","",BP90+BL94))</f>
        <v/>
      </c>
      <c r="BQ94" s="2375"/>
      <c r="BR94" s="2375"/>
      <c r="BS94" s="2376"/>
      <c r="BT94" s="2368"/>
      <c r="BU94" s="2368"/>
      <c r="BV94" s="2368"/>
      <c r="BW94" s="2368"/>
      <c r="BX94" s="2368"/>
      <c r="BY94" s="2368"/>
      <c r="BZ94" s="2368"/>
      <c r="CA94" s="2368"/>
      <c r="CB94" s="2368"/>
      <c r="CC94" s="2368"/>
      <c r="CD94" s="2368"/>
      <c r="CE94" s="2368"/>
      <c r="CF94" s="2368"/>
      <c r="CG94" s="2368"/>
      <c r="CH94" s="2369"/>
      <c r="CI94" s="2886">
        <v>24</v>
      </c>
      <c r="CJ94" s="2886"/>
      <c r="CK94" s="2857" t="e">
        <f>'Concr. Curve'!BL32</f>
        <v>#DIV/0!</v>
      </c>
      <c r="CL94" s="2857"/>
      <c r="CM94" s="2857"/>
      <c r="CQ94" s="2967" t="str">
        <f t="shared" ref="CQ94" si="48">IF(OR(P94="",H94=""),"",MOD(P94-H94,1)*24*60)</f>
        <v/>
      </c>
      <c r="CR94" s="2968"/>
      <c r="CS94" s="2968"/>
      <c r="CT94" s="2969"/>
      <c r="EC94" s="109"/>
      <c r="ED94" s="109"/>
      <c r="EE94" s="109"/>
      <c r="EF94" s="109"/>
      <c r="EG94" s="109"/>
      <c r="EH94" s="109"/>
      <c r="EI94" s="109"/>
      <c r="EJ94" s="109"/>
      <c r="EK94" s="109"/>
      <c r="EL94" s="109"/>
      <c r="EM94" s="109"/>
      <c r="EN94" s="109"/>
      <c r="EO94" s="109"/>
      <c r="EP94" s="109"/>
      <c r="EQ94" s="109"/>
      <c r="ER94" s="109"/>
      <c r="ES94" s="109"/>
      <c r="ET94" s="109"/>
      <c r="EU94" s="109"/>
      <c r="EV94" s="109"/>
    </row>
    <row r="95" spans="1:152" ht="8.85" customHeight="1">
      <c r="A95" s="2518"/>
      <c r="B95" s="2530"/>
      <c r="C95" s="2522"/>
      <c r="D95" s="2522"/>
      <c r="E95" s="2522"/>
      <c r="F95" s="2522"/>
      <c r="G95" s="2527"/>
      <c r="H95" s="2911"/>
      <c r="I95" s="2911"/>
      <c r="J95" s="2911"/>
      <c r="K95" s="2911"/>
      <c r="L95" s="2477"/>
      <c r="M95" s="2478"/>
      <c r="N95" s="2478"/>
      <c r="O95" s="2479"/>
      <c r="P95" s="2913"/>
      <c r="Q95" s="2913"/>
      <c r="R95" s="2913"/>
      <c r="S95" s="2913"/>
      <c r="T95" s="2356"/>
      <c r="U95" s="2356"/>
      <c r="V95" s="2356"/>
      <c r="W95" s="2356"/>
      <c r="X95" s="2422"/>
      <c r="Y95" s="2297"/>
      <c r="Z95" s="2297"/>
      <c r="AA95" s="2297"/>
      <c r="AB95" s="2881"/>
      <c r="AC95" s="2881"/>
      <c r="AD95" s="2881"/>
      <c r="AE95" s="2882"/>
      <c r="AF95" s="2446"/>
      <c r="AG95" s="2297"/>
      <c r="AH95" s="2297"/>
      <c r="AI95" s="2447"/>
      <c r="AJ95" s="2297"/>
      <c r="AK95" s="2297"/>
      <c r="AL95" s="2297"/>
      <c r="AM95" s="2451"/>
      <c r="AN95" s="2297"/>
      <c r="AO95" s="2297"/>
      <c r="AP95" s="2297"/>
      <c r="AQ95" s="2451"/>
      <c r="AR95" s="2422"/>
      <c r="AS95" s="2297"/>
      <c r="AT95" s="2297"/>
      <c r="AU95" s="2451"/>
      <c r="AV95" s="2356"/>
      <c r="AW95" s="2356"/>
      <c r="AX95" s="2356"/>
      <c r="AY95" s="2880"/>
      <c r="AZ95" s="2356"/>
      <c r="BA95" s="2356"/>
      <c r="BB95" s="2356"/>
      <c r="BC95" s="2880"/>
      <c r="BD95" s="2356"/>
      <c r="BE95" s="2356"/>
      <c r="BF95" s="2356"/>
      <c r="BG95" s="2880"/>
      <c r="BH95" s="2356"/>
      <c r="BI95" s="2356"/>
      <c r="BJ95" s="2356"/>
      <c r="BK95" s="2880"/>
      <c r="BL95" s="2885"/>
      <c r="BM95" s="2375"/>
      <c r="BN95" s="2375"/>
      <c r="BO95" s="2375"/>
      <c r="BP95" s="2375"/>
      <c r="BQ95" s="2375"/>
      <c r="BR95" s="2375"/>
      <c r="BS95" s="2376"/>
      <c r="BT95" s="2370"/>
      <c r="BU95" s="2370"/>
      <c r="BV95" s="2370"/>
      <c r="BW95" s="2370"/>
      <c r="BX95" s="2370"/>
      <c r="BY95" s="2370"/>
      <c r="BZ95" s="2370"/>
      <c r="CA95" s="2370"/>
      <c r="CB95" s="2370"/>
      <c r="CC95" s="2370"/>
      <c r="CD95" s="2370"/>
      <c r="CE95" s="2370"/>
      <c r="CF95" s="2370"/>
      <c r="CG95" s="2370"/>
      <c r="CH95" s="2371"/>
      <c r="CI95" s="2886"/>
      <c r="CJ95" s="2886"/>
      <c r="CK95" s="2857"/>
      <c r="CL95" s="2857"/>
      <c r="CM95" s="2857"/>
      <c r="CQ95" s="2742"/>
      <c r="CR95" s="2743"/>
      <c r="CS95" s="2743"/>
      <c r="CT95" s="2744"/>
      <c r="EC95" s="109"/>
      <c r="ED95" s="109"/>
      <c r="EE95" s="109"/>
      <c r="EF95" s="109"/>
      <c r="EG95" s="109"/>
      <c r="EH95" s="109"/>
      <c r="EI95" s="109"/>
      <c r="EJ95" s="109"/>
      <c r="EK95" s="109"/>
      <c r="EL95" s="109"/>
      <c r="EM95" s="109"/>
      <c r="EN95" s="109"/>
      <c r="EO95" s="109"/>
      <c r="EP95" s="109"/>
      <c r="EQ95" s="109"/>
      <c r="ER95" s="109"/>
      <c r="ES95" s="109"/>
      <c r="ET95" s="109"/>
      <c r="EU95" s="109"/>
      <c r="EV95" s="109"/>
    </row>
    <row r="96" spans="1:152" ht="8.85" customHeight="1">
      <c r="A96" s="2518"/>
      <c r="B96" s="2530"/>
      <c r="C96" s="2522"/>
      <c r="D96" s="2522"/>
      <c r="E96" s="2522"/>
      <c r="F96" s="2522"/>
      <c r="G96" s="2527"/>
      <c r="H96" s="2911"/>
      <c r="I96" s="2911"/>
      <c r="J96" s="2911"/>
      <c r="K96" s="2911"/>
      <c r="L96" s="2477"/>
      <c r="M96" s="2478"/>
      <c r="N96" s="2478"/>
      <c r="O96" s="2479"/>
      <c r="P96" s="2913"/>
      <c r="Q96" s="2913"/>
      <c r="R96" s="2913"/>
      <c r="S96" s="2913"/>
      <c r="T96" s="2356"/>
      <c r="U96" s="2356"/>
      <c r="V96" s="2356"/>
      <c r="W96" s="2356"/>
      <c r="X96" s="2422"/>
      <c r="Y96" s="2297"/>
      <c r="Z96" s="2297"/>
      <c r="AA96" s="2297"/>
      <c r="AB96" s="2881"/>
      <c r="AC96" s="2881"/>
      <c r="AD96" s="2881"/>
      <c r="AE96" s="2882"/>
      <c r="AF96" s="2446"/>
      <c r="AG96" s="2297"/>
      <c r="AH96" s="2297"/>
      <c r="AI96" s="2447"/>
      <c r="AJ96" s="2297"/>
      <c r="AK96" s="2297"/>
      <c r="AL96" s="2297"/>
      <c r="AM96" s="2451"/>
      <c r="AN96" s="2297"/>
      <c r="AO96" s="2297"/>
      <c r="AP96" s="2297"/>
      <c r="AQ96" s="2451"/>
      <c r="AR96" s="2422"/>
      <c r="AS96" s="2297"/>
      <c r="AT96" s="2297"/>
      <c r="AU96" s="2451"/>
      <c r="AV96" s="2356"/>
      <c r="AW96" s="2356"/>
      <c r="AX96" s="2356"/>
      <c r="AY96" s="2880"/>
      <c r="AZ96" s="2356"/>
      <c r="BA96" s="2356"/>
      <c r="BB96" s="2356"/>
      <c r="BC96" s="2880"/>
      <c r="BD96" s="2356"/>
      <c r="BE96" s="2356"/>
      <c r="BF96" s="2356"/>
      <c r="BG96" s="2880"/>
      <c r="BH96" s="2356"/>
      <c r="BI96" s="2356"/>
      <c r="BJ96" s="2356"/>
      <c r="BK96" s="2880"/>
      <c r="BL96" s="2885"/>
      <c r="BM96" s="2375"/>
      <c r="BN96" s="2375"/>
      <c r="BO96" s="2375"/>
      <c r="BP96" s="2375"/>
      <c r="BQ96" s="2375"/>
      <c r="BR96" s="2375"/>
      <c r="BS96" s="2376"/>
      <c r="BT96" s="2370"/>
      <c r="BU96" s="2370"/>
      <c r="BV96" s="2370"/>
      <c r="BW96" s="2370"/>
      <c r="BX96" s="2370"/>
      <c r="BY96" s="2370"/>
      <c r="BZ96" s="2370"/>
      <c r="CA96" s="2370"/>
      <c r="CB96" s="2370"/>
      <c r="CC96" s="2370"/>
      <c r="CD96" s="2370"/>
      <c r="CE96" s="2370"/>
      <c r="CF96" s="2370"/>
      <c r="CG96" s="2370"/>
      <c r="CH96" s="2371"/>
      <c r="CI96" s="2886"/>
      <c r="CJ96" s="2886"/>
      <c r="CK96" s="2857"/>
      <c r="CL96" s="2857"/>
      <c r="CM96" s="2857"/>
      <c r="CQ96" s="2742"/>
      <c r="CR96" s="2743"/>
      <c r="CS96" s="2743"/>
      <c r="CT96" s="2744"/>
      <c r="EC96" s="109"/>
      <c r="ED96" s="109"/>
      <c r="EE96" s="109"/>
      <c r="EF96" s="109"/>
      <c r="EG96" s="109"/>
      <c r="EH96" s="109"/>
      <c r="EI96" s="109"/>
      <c r="EJ96" s="109"/>
      <c r="EK96" s="109"/>
      <c r="EL96" s="109"/>
      <c r="EM96" s="109"/>
      <c r="EN96" s="109"/>
      <c r="EO96" s="109"/>
      <c r="EP96" s="109"/>
      <c r="EQ96" s="109"/>
      <c r="ER96" s="109"/>
      <c r="ES96" s="109"/>
      <c r="ET96" s="109"/>
      <c r="EU96" s="109"/>
      <c r="EV96" s="109"/>
    </row>
    <row r="97" spans="1:152" ht="8.85" customHeight="1">
      <c r="A97" s="2518"/>
      <c r="B97" s="2523"/>
      <c r="C97" s="2524"/>
      <c r="D97" s="2524"/>
      <c r="E97" s="2524"/>
      <c r="F97" s="2524"/>
      <c r="G97" s="2528"/>
      <c r="H97" s="2911"/>
      <c r="I97" s="2911"/>
      <c r="J97" s="2911"/>
      <c r="K97" s="2911"/>
      <c r="L97" s="2480"/>
      <c r="M97" s="2481"/>
      <c r="N97" s="2481"/>
      <c r="O97" s="2482"/>
      <c r="P97" s="2913"/>
      <c r="Q97" s="2913"/>
      <c r="R97" s="2913"/>
      <c r="S97" s="2913"/>
      <c r="T97" s="2356"/>
      <c r="U97" s="2356"/>
      <c r="V97" s="2356"/>
      <c r="W97" s="2356"/>
      <c r="X97" s="2439"/>
      <c r="Y97" s="2298"/>
      <c r="Z97" s="2298"/>
      <c r="AA97" s="2298"/>
      <c r="AB97" s="2881"/>
      <c r="AC97" s="2881"/>
      <c r="AD97" s="2881"/>
      <c r="AE97" s="2882"/>
      <c r="AF97" s="2444"/>
      <c r="AG97" s="2298"/>
      <c r="AH97" s="2298"/>
      <c r="AI97" s="2445"/>
      <c r="AJ97" s="2298"/>
      <c r="AK97" s="2298"/>
      <c r="AL97" s="2298"/>
      <c r="AM97" s="2452"/>
      <c r="AN97" s="2298"/>
      <c r="AO97" s="2298"/>
      <c r="AP97" s="2298"/>
      <c r="AQ97" s="2452"/>
      <c r="AR97" s="2439"/>
      <c r="AS97" s="2298"/>
      <c r="AT97" s="2298"/>
      <c r="AU97" s="2452"/>
      <c r="AV97" s="2356"/>
      <c r="AW97" s="2356"/>
      <c r="AX97" s="2356"/>
      <c r="AY97" s="2880"/>
      <c r="AZ97" s="2356"/>
      <c r="BA97" s="2356"/>
      <c r="BB97" s="2356"/>
      <c r="BC97" s="2880"/>
      <c r="BD97" s="2356"/>
      <c r="BE97" s="2356"/>
      <c r="BF97" s="2356"/>
      <c r="BG97" s="2880"/>
      <c r="BH97" s="2356"/>
      <c r="BI97" s="2356"/>
      <c r="BJ97" s="2356"/>
      <c r="BK97" s="2880"/>
      <c r="BL97" s="2885"/>
      <c r="BM97" s="2375"/>
      <c r="BN97" s="2375"/>
      <c r="BO97" s="2375"/>
      <c r="BP97" s="2375"/>
      <c r="BQ97" s="2375"/>
      <c r="BR97" s="2375"/>
      <c r="BS97" s="2376"/>
      <c r="BT97" s="2372"/>
      <c r="BU97" s="2372"/>
      <c r="BV97" s="2372"/>
      <c r="BW97" s="2372"/>
      <c r="BX97" s="2372"/>
      <c r="BY97" s="2372"/>
      <c r="BZ97" s="2372"/>
      <c r="CA97" s="2372"/>
      <c r="CB97" s="2372"/>
      <c r="CC97" s="2372"/>
      <c r="CD97" s="2372"/>
      <c r="CE97" s="2372"/>
      <c r="CF97" s="2372"/>
      <c r="CG97" s="2372"/>
      <c r="CH97" s="2373"/>
      <c r="CI97" s="2886"/>
      <c r="CJ97" s="2886"/>
      <c r="CK97" s="2857"/>
      <c r="CL97" s="2857"/>
      <c r="CM97" s="2857"/>
      <c r="CQ97" s="2745"/>
      <c r="CR97" s="2746"/>
      <c r="CS97" s="2746"/>
      <c r="CT97" s="2747"/>
      <c r="EC97" s="109"/>
      <c r="ED97" s="109"/>
      <c r="EE97" s="109"/>
      <c r="EF97" s="109"/>
      <c r="EG97" s="109"/>
      <c r="EH97" s="109"/>
      <c r="EI97" s="109"/>
      <c r="EJ97" s="109"/>
      <c r="EK97" s="109"/>
      <c r="EL97" s="109"/>
      <c r="EM97" s="109"/>
      <c r="EN97" s="109"/>
      <c r="EO97" s="109"/>
      <c r="EP97" s="109"/>
      <c r="EQ97" s="109"/>
      <c r="ER97" s="109"/>
      <c r="ES97" s="109"/>
      <c r="ET97" s="109"/>
      <c r="EU97" s="109"/>
      <c r="EV97" s="109"/>
    </row>
    <row r="98" spans="1:152" ht="8.85" customHeight="1">
      <c r="A98" s="2518">
        <v>25</v>
      </c>
      <c r="B98" s="2525"/>
      <c r="C98" s="2520"/>
      <c r="D98" s="2520"/>
      <c r="E98" s="2520"/>
      <c r="F98" s="2520"/>
      <c r="G98" s="2529"/>
      <c r="H98" s="2911"/>
      <c r="I98" s="2911"/>
      <c r="J98" s="2911"/>
      <c r="K98" s="2911"/>
      <c r="L98" s="2474"/>
      <c r="M98" s="2475"/>
      <c r="N98" s="2475"/>
      <c r="O98" s="2476"/>
      <c r="P98" s="2912"/>
      <c r="Q98" s="2913"/>
      <c r="R98" s="2913"/>
      <c r="S98" s="2913"/>
      <c r="T98" s="2356"/>
      <c r="U98" s="2356"/>
      <c r="V98" s="2356"/>
      <c r="W98" s="2356"/>
      <c r="X98" s="2420"/>
      <c r="Y98" s="2421"/>
      <c r="Z98" s="2421"/>
      <c r="AA98" s="2421"/>
      <c r="AB98" s="2881" t="str">
        <f t="shared" ref="AB98" si="49">IF(L98="REJECTED",AB94,IF(X98="","",IF(N$22="","",N$22-X98)))</f>
        <v/>
      </c>
      <c r="AC98" s="2881"/>
      <c r="AD98" s="2881"/>
      <c r="AE98" s="2882"/>
      <c r="AF98" s="2440"/>
      <c r="AG98" s="2421"/>
      <c r="AH98" s="2421"/>
      <c r="AI98" s="2441"/>
      <c r="AJ98" s="2421"/>
      <c r="AK98" s="2421"/>
      <c r="AL98" s="2421"/>
      <c r="AM98" s="2483"/>
      <c r="AN98" s="2421"/>
      <c r="AO98" s="2421"/>
      <c r="AP98" s="2421"/>
      <c r="AQ98" s="2483"/>
      <c r="AR98" s="2420"/>
      <c r="AS98" s="2421"/>
      <c r="AT98" s="2421"/>
      <c r="AU98" s="2483"/>
      <c r="AV98" s="2356"/>
      <c r="AW98" s="2356"/>
      <c r="AX98" s="2356"/>
      <c r="AY98" s="2880"/>
      <c r="AZ98" s="2356"/>
      <c r="BA98" s="2356"/>
      <c r="BB98" s="2356"/>
      <c r="BC98" s="2880"/>
      <c r="BD98" s="2356"/>
      <c r="BE98" s="2356"/>
      <c r="BF98" s="2356"/>
      <c r="BG98" s="2880"/>
      <c r="BH98" s="2356"/>
      <c r="BI98" s="2356"/>
      <c r="BJ98" s="2356"/>
      <c r="BK98" s="2880"/>
      <c r="BL98" s="2885" t="str">
        <f t="shared" ref="BL98" si="50">IF(OR(L98="REJECTED",L98="Not Placed"),0,IF(AF98="","",SUM(AF98:AM101)-SUM(AN98:BK101)))</f>
        <v/>
      </c>
      <c r="BM98" s="2375"/>
      <c r="BN98" s="2375"/>
      <c r="BO98" s="2375"/>
      <c r="BP98" s="2375" t="str">
        <f>IF(L98="REJECTED",BP94,IF(AF98="","",BP94+BL98))</f>
        <v/>
      </c>
      <c r="BQ98" s="2375"/>
      <c r="BR98" s="2375"/>
      <c r="BS98" s="2376"/>
      <c r="BT98" s="2368"/>
      <c r="BU98" s="2368"/>
      <c r="BV98" s="2368"/>
      <c r="BW98" s="2368"/>
      <c r="BX98" s="2368"/>
      <c r="BY98" s="2368"/>
      <c r="BZ98" s="2368"/>
      <c r="CA98" s="2368"/>
      <c r="CB98" s="2368"/>
      <c r="CC98" s="2368"/>
      <c r="CD98" s="2368"/>
      <c r="CE98" s="2368"/>
      <c r="CF98" s="2368"/>
      <c r="CG98" s="2368"/>
      <c r="CH98" s="2369"/>
      <c r="CI98" s="2886">
        <v>25</v>
      </c>
      <c r="CJ98" s="2886"/>
      <c r="CK98" s="2857" t="e">
        <f>'Concr. Curve'!BL31</f>
        <v>#DIV/0!</v>
      </c>
      <c r="CL98" s="2857"/>
      <c r="CM98" s="2857"/>
      <c r="CQ98" s="2967" t="str">
        <f t="shared" ref="CQ98" si="51">IF(OR(P98="",H98=""),"",MOD(P98-H98,1)*24*60)</f>
        <v/>
      </c>
      <c r="CR98" s="2968"/>
      <c r="CS98" s="2968"/>
      <c r="CT98" s="2969"/>
      <c r="EC98" s="109"/>
      <c r="ED98" s="109"/>
      <c r="EE98" s="109"/>
      <c r="EF98" s="109"/>
      <c r="EG98" s="109"/>
      <c r="EH98" s="109"/>
      <c r="EI98" s="109"/>
      <c r="EJ98" s="109"/>
      <c r="EK98" s="109"/>
      <c r="EL98" s="109"/>
      <c r="EM98" s="109"/>
      <c r="EN98" s="109"/>
      <c r="EO98" s="109"/>
      <c r="EP98" s="109"/>
      <c r="EQ98" s="109"/>
      <c r="ER98" s="109"/>
      <c r="ES98" s="109"/>
      <c r="ET98" s="109"/>
      <c r="EU98" s="109"/>
      <c r="EV98" s="109"/>
    </row>
    <row r="99" spans="1:152" ht="8.85" customHeight="1">
      <c r="A99" s="2518"/>
      <c r="B99" s="2530"/>
      <c r="C99" s="2522"/>
      <c r="D99" s="2522"/>
      <c r="E99" s="2522"/>
      <c r="F99" s="2522"/>
      <c r="G99" s="2527"/>
      <c r="H99" s="2911"/>
      <c r="I99" s="2911"/>
      <c r="J99" s="2911"/>
      <c r="K99" s="2911"/>
      <c r="L99" s="2477"/>
      <c r="M99" s="2478"/>
      <c r="N99" s="2478"/>
      <c r="O99" s="2479"/>
      <c r="P99" s="2913"/>
      <c r="Q99" s="2913"/>
      <c r="R99" s="2913"/>
      <c r="S99" s="2913"/>
      <c r="T99" s="2356"/>
      <c r="U99" s="2356"/>
      <c r="V99" s="2356"/>
      <c r="W99" s="2356"/>
      <c r="X99" s="2422"/>
      <c r="Y99" s="2297"/>
      <c r="Z99" s="2297"/>
      <c r="AA99" s="2297"/>
      <c r="AB99" s="2881"/>
      <c r="AC99" s="2881"/>
      <c r="AD99" s="2881"/>
      <c r="AE99" s="2882"/>
      <c r="AF99" s="2446"/>
      <c r="AG99" s="2297"/>
      <c r="AH99" s="2297"/>
      <c r="AI99" s="2447"/>
      <c r="AJ99" s="2297"/>
      <c r="AK99" s="2297"/>
      <c r="AL99" s="2297"/>
      <c r="AM99" s="2451"/>
      <c r="AN99" s="2297"/>
      <c r="AO99" s="2297"/>
      <c r="AP99" s="2297"/>
      <c r="AQ99" s="2451"/>
      <c r="AR99" s="2422"/>
      <c r="AS99" s="2297"/>
      <c r="AT99" s="2297"/>
      <c r="AU99" s="2451"/>
      <c r="AV99" s="2356"/>
      <c r="AW99" s="2356"/>
      <c r="AX99" s="2356"/>
      <c r="AY99" s="2880"/>
      <c r="AZ99" s="2356"/>
      <c r="BA99" s="2356"/>
      <c r="BB99" s="2356"/>
      <c r="BC99" s="2880"/>
      <c r="BD99" s="2356"/>
      <c r="BE99" s="2356"/>
      <c r="BF99" s="2356"/>
      <c r="BG99" s="2880"/>
      <c r="BH99" s="2356"/>
      <c r="BI99" s="2356"/>
      <c r="BJ99" s="2356"/>
      <c r="BK99" s="2880"/>
      <c r="BL99" s="2885"/>
      <c r="BM99" s="2375"/>
      <c r="BN99" s="2375"/>
      <c r="BO99" s="2375"/>
      <c r="BP99" s="2375"/>
      <c r="BQ99" s="2375"/>
      <c r="BR99" s="2375"/>
      <c r="BS99" s="2376"/>
      <c r="BT99" s="2370"/>
      <c r="BU99" s="2370"/>
      <c r="BV99" s="2370"/>
      <c r="BW99" s="2370"/>
      <c r="BX99" s="2370"/>
      <c r="BY99" s="2370"/>
      <c r="BZ99" s="2370"/>
      <c r="CA99" s="2370"/>
      <c r="CB99" s="2370"/>
      <c r="CC99" s="2370"/>
      <c r="CD99" s="2370"/>
      <c r="CE99" s="2370"/>
      <c r="CF99" s="2370"/>
      <c r="CG99" s="2370"/>
      <c r="CH99" s="2371"/>
      <c r="CI99" s="2886"/>
      <c r="CJ99" s="2886"/>
      <c r="CK99" s="2857"/>
      <c r="CL99" s="2857"/>
      <c r="CM99" s="2857"/>
      <c r="CQ99" s="2742"/>
      <c r="CR99" s="2743"/>
      <c r="CS99" s="2743"/>
      <c r="CT99" s="2744"/>
      <c r="EC99" s="109"/>
      <c r="ED99" s="109"/>
      <c r="EE99" s="109"/>
      <c r="EF99" s="109"/>
      <c r="EG99" s="109"/>
      <c r="EH99" s="109"/>
      <c r="EI99" s="109"/>
      <c r="EJ99" s="109"/>
      <c r="EK99" s="109"/>
      <c r="EL99" s="109"/>
      <c r="EM99" s="109"/>
      <c r="EN99" s="109"/>
      <c r="EO99" s="109"/>
      <c r="EP99" s="109"/>
      <c r="EQ99" s="109"/>
      <c r="ER99" s="109"/>
      <c r="ES99" s="109"/>
      <c r="ET99" s="109"/>
      <c r="EU99" s="109"/>
      <c r="EV99" s="109"/>
    </row>
    <row r="100" spans="1:152" ht="8.85" customHeight="1">
      <c r="A100" s="2518"/>
      <c r="B100" s="2530"/>
      <c r="C100" s="2522"/>
      <c r="D100" s="2522"/>
      <c r="E100" s="2522"/>
      <c r="F100" s="2522"/>
      <c r="G100" s="2527"/>
      <c r="H100" s="2911"/>
      <c r="I100" s="2911"/>
      <c r="J100" s="2911"/>
      <c r="K100" s="2911"/>
      <c r="L100" s="2477"/>
      <c r="M100" s="2478"/>
      <c r="N100" s="2478"/>
      <c r="O100" s="2479"/>
      <c r="P100" s="2913"/>
      <c r="Q100" s="2913"/>
      <c r="R100" s="2913"/>
      <c r="S100" s="2913"/>
      <c r="T100" s="2356"/>
      <c r="U100" s="2356"/>
      <c r="V100" s="2356"/>
      <c r="W100" s="2356"/>
      <c r="X100" s="2422"/>
      <c r="Y100" s="2297"/>
      <c r="Z100" s="2297"/>
      <c r="AA100" s="2297"/>
      <c r="AB100" s="2881"/>
      <c r="AC100" s="2881"/>
      <c r="AD100" s="2881"/>
      <c r="AE100" s="2882"/>
      <c r="AF100" s="2446"/>
      <c r="AG100" s="2297"/>
      <c r="AH100" s="2297"/>
      <c r="AI100" s="2447"/>
      <c r="AJ100" s="2297"/>
      <c r="AK100" s="2297"/>
      <c r="AL100" s="2297"/>
      <c r="AM100" s="2451"/>
      <c r="AN100" s="2297"/>
      <c r="AO100" s="2297"/>
      <c r="AP100" s="2297"/>
      <c r="AQ100" s="2451"/>
      <c r="AR100" s="2422"/>
      <c r="AS100" s="2297"/>
      <c r="AT100" s="2297"/>
      <c r="AU100" s="2451"/>
      <c r="AV100" s="2356"/>
      <c r="AW100" s="2356"/>
      <c r="AX100" s="2356"/>
      <c r="AY100" s="2880"/>
      <c r="AZ100" s="2356"/>
      <c r="BA100" s="2356"/>
      <c r="BB100" s="2356"/>
      <c r="BC100" s="2880"/>
      <c r="BD100" s="2356"/>
      <c r="BE100" s="2356"/>
      <c r="BF100" s="2356"/>
      <c r="BG100" s="2880"/>
      <c r="BH100" s="2356"/>
      <c r="BI100" s="2356"/>
      <c r="BJ100" s="2356"/>
      <c r="BK100" s="2880"/>
      <c r="BL100" s="2885"/>
      <c r="BM100" s="2375"/>
      <c r="BN100" s="2375"/>
      <c r="BO100" s="2375"/>
      <c r="BP100" s="2375"/>
      <c r="BQ100" s="2375"/>
      <c r="BR100" s="2375"/>
      <c r="BS100" s="2376"/>
      <c r="BT100" s="2370"/>
      <c r="BU100" s="2370"/>
      <c r="BV100" s="2370"/>
      <c r="BW100" s="2370"/>
      <c r="BX100" s="2370"/>
      <c r="BY100" s="2370"/>
      <c r="BZ100" s="2370"/>
      <c r="CA100" s="2370"/>
      <c r="CB100" s="2370"/>
      <c r="CC100" s="2370"/>
      <c r="CD100" s="2370"/>
      <c r="CE100" s="2370"/>
      <c r="CF100" s="2370"/>
      <c r="CG100" s="2370"/>
      <c r="CH100" s="2371"/>
      <c r="CI100" s="2886"/>
      <c r="CJ100" s="2886"/>
      <c r="CK100" s="2857"/>
      <c r="CL100" s="2857"/>
      <c r="CM100" s="2857"/>
      <c r="CQ100" s="2742"/>
      <c r="CR100" s="2743"/>
      <c r="CS100" s="2743"/>
      <c r="CT100" s="2744"/>
      <c r="EC100" s="109"/>
      <c r="ED100" s="109"/>
      <c r="EE100" s="109"/>
      <c r="EF100" s="109"/>
      <c r="EG100" s="109"/>
      <c r="EH100" s="109"/>
      <c r="EI100" s="109"/>
      <c r="EJ100" s="109"/>
      <c r="EK100" s="109"/>
      <c r="EL100" s="109"/>
      <c r="EM100" s="109"/>
      <c r="EN100" s="109"/>
      <c r="EO100" s="109"/>
      <c r="EP100" s="109"/>
      <c r="EQ100" s="109"/>
      <c r="ER100" s="109"/>
      <c r="ES100" s="109"/>
      <c r="ET100" s="109"/>
      <c r="EU100" s="109"/>
      <c r="EV100" s="109"/>
    </row>
    <row r="101" spans="1:152" ht="8.85" customHeight="1" thickBot="1">
      <c r="A101" s="2518"/>
      <c r="B101" s="2523"/>
      <c r="C101" s="2524"/>
      <c r="D101" s="2524"/>
      <c r="E101" s="2524"/>
      <c r="F101" s="2524"/>
      <c r="G101" s="2528"/>
      <c r="H101" s="2911"/>
      <c r="I101" s="2911"/>
      <c r="J101" s="2911"/>
      <c r="K101" s="2911"/>
      <c r="L101" s="2480"/>
      <c r="M101" s="2481"/>
      <c r="N101" s="2481"/>
      <c r="O101" s="2482"/>
      <c r="P101" s="2913"/>
      <c r="Q101" s="2913"/>
      <c r="R101" s="2913"/>
      <c r="S101" s="2913"/>
      <c r="T101" s="2361"/>
      <c r="U101" s="2361"/>
      <c r="V101" s="2361"/>
      <c r="W101" s="2361"/>
      <c r="X101" s="2439"/>
      <c r="Y101" s="2298"/>
      <c r="Z101" s="2298"/>
      <c r="AA101" s="2298"/>
      <c r="AB101" s="2881"/>
      <c r="AC101" s="2881"/>
      <c r="AD101" s="2881"/>
      <c r="AE101" s="2882"/>
      <c r="AF101" s="2472"/>
      <c r="AG101" s="2424"/>
      <c r="AH101" s="2424"/>
      <c r="AI101" s="2473"/>
      <c r="AJ101" s="2424"/>
      <c r="AK101" s="2424"/>
      <c r="AL101" s="2424"/>
      <c r="AM101" s="2486"/>
      <c r="AN101" s="2424"/>
      <c r="AO101" s="2424"/>
      <c r="AP101" s="2424"/>
      <c r="AQ101" s="2486"/>
      <c r="AR101" s="2423"/>
      <c r="AS101" s="2424"/>
      <c r="AT101" s="2424"/>
      <c r="AU101" s="2486"/>
      <c r="AV101" s="2361"/>
      <c r="AW101" s="2361"/>
      <c r="AX101" s="2361"/>
      <c r="AY101" s="2917"/>
      <c r="AZ101" s="2361"/>
      <c r="BA101" s="2361"/>
      <c r="BB101" s="2361"/>
      <c r="BC101" s="2917"/>
      <c r="BD101" s="2361"/>
      <c r="BE101" s="2361"/>
      <c r="BF101" s="2361"/>
      <c r="BG101" s="2917"/>
      <c r="BH101" s="2361"/>
      <c r="BI101" s="2361"/>
      <c r="BJ101" s="2361"/>
      <c r="BK101" s="2917"/>
      <c r="BL101" s="2916"/>
      <c r="BM101" s="2407"/>
      <c r="BN101" s="2407"/>
      <c r="BO101" s="2407"/>
      <c r="BP101" s="2407"/>
      <c r="BQ101" s="2407"/>
      <c r="BR101" s="2407"/>
      <c r="BS101" s="2408"/>
      <c r="BT101" s="2914"/>
      <c r="BU101" s="2914"/>
      <c r="BV101" s="2914"/>
      <c r="BW101" s="2914"/>
      <c r="BX101" s="2914"/>
      <c r="BY101" s="2914"/>
      <c r="BZ101" s="2914"/>
      <c r="CA101" s="2914"/>
      <c r="CB101" s="2914"/>
      <c r="CC101" s="2914"/>
      <c r="CD101" s="2914"/>
      <c r="CE101" s="2914"/>
      <c r="CF101" s="2914"/>
      <c r="CG101" s="2914"/>
      <c r="CH101" s="2915"/>
      <c r="CI101" s="2886"/>
      <c r="CJ101" s="2886"/>
      <c r="CK101" s="2857"/>
      <c r="CL101" s="2857"/>
      <c r="CM101" s="2857"/>
      <c r="CQ101" s="2745"/>
      <c r="CR101" s="2746"/>
      <c r="CS101" s="2746"/>
      <c r="CT101" s="2747"/>
      <c r="EC101" s="109"/>
      <c r="ED101" s="109"/>
      <c r="EE101" s="109"/>
      <c r="EF101" s="109"/>
      <c r="EG101" s="109"/>
      <c r="EH101" s="109"/>
      <c r="EI101" s="109"/>
      <c r="EJ101" s="109"/>
      <c r="EK101" s="109"/>
      <c r="EL101" s="109"/>
      <c r="EM101" s="109"/>
      <c r="EN101" s="109"/>
      <c r="EO101" s="109"/>
      <c r="EP101" s="109"/>
      <c r="EQ101" s="109"/>
      <c r="ER101" s="109"/>
      <c r="ES101" s="109"/>
      <c r="ET101" s="109"/>
      <c r="EU101" s="109"/>
      <c r="EV101" s="109"/>
    </row>
    <row r="102" spans="1:152" ht="9.6" customHeight="1">
      <c r="A102" s="1"/>
      <c r="B102" s="2488" t="s">
        <v>207</v>
      </c>
      <c r="C102" s="2489"/>
      <c r="D102" s="2489"/>
      <c r="E102" s="2489"/>
      <c r="F102" s="2489"/>
      <c r="G102" s="2489"/>
      <c r="H102" s="2489"/>
      <c r="I102" s="2489"/>
      <c r="J102" s="2489"/>
      <c r="K102" s="2489"/>
      <c r="L102" s="2489"/>
      <c r="M102" s="2489"/>
      <c r="N102" s="2489"/>
      <c r="O102" s="2489"/>
      <c r="P102" s="2489"/>
      <c r="Q102" s="2489"/>
      <c r="R102" s="2489"/>
      <c r="S102" s="2489"/>
      <c r="T102" s="2644"/>
      <c r="U102" s="2644"/>
      <c r="V102" s="2644"/>
      <c r="W102" s="2644"/>
      <c r="X102" s="2644"/>
      <c r="Y102" s="2644"/>
      <c r="Z102" s="2644"/>
      <c r="AA102" s="2644"/>
      <c r="AB102" s="2644"/>
      <c r="AC102" s="2962"/>
      <c r="AD102" s="2962"/>
      <c r="AE102" s="2963"/>
      <c r="AF102" s="2365" t="str">
        <f>IF(SUM(AF42:AI101)=0,"",IF(Y103="",SUM(AF42:AI101),SUM(AF42:AI101)-Y103))</f>
        <v/>
      </c>
      <c r="AG102" s="2366"/>
      <c r="AH102" s="2366"/>
      <c r="AI102" s="2367"/>
      <c r="AJ102" s="2924" t="str">
        <f>IF(SUM(AJ42:AM101)=0,"",SUM(AJ42:AM101))</f>
        <v/>
      </c>
      <c r="AK102" s="2925"/>
      <c r="AL102" s="2925"/>
      <c r="AM102" s="2926"/>
      <c r="AN102" s="2921" t="str">
        <f>IF(SUM(AN42:AQ101)=0,"",SUM(AN42:AQ101))</f>
        <v/>
      </c>
      <c r="AO102" s="2921"/>
      <c r="AP102" s="2921"/>
      <c r="AQ102" s="2350"/>
      <c r="AR102" s="2350" t="str">
        <f>IF(SUM(AR42:AU101)=0,"",SUM(AR42:AU101))</f>
        <v/>
      </c>
      <c r="AS102" s="2351"/>
      <c r="AT102" s="2351"/>
      <c r="AU102" s="2351"/>
      <c r="AV102" s="2353" t="str">
        <f>IF(SUM(AV42:AY101)=0,"",SUM(AV42:AY101))</f>
        <v/>
      </c>
      <c r="AW102" s="2353"/>
      <c r="AX102" s="2353"/>
      <c r="AY102" s="2353"/>
      <c r="AZ102" s="2377" t="str">
        <f>IF(SUM(AZ42:BC101)=0,"",SUM(AZ42:BC101))</f>
        <v/>
      </c>
      <c r="BA102" s="2921"/>
      <c r="BB102" s="2921"/>
      <c r="BC102" s="2350"/>
      <c r="BD102" s="2352" t="str">
        <f>IF(SUM(BD42:BG101)=0,"",SUM(BD42:BG101))</f>
        <v/>
      </c>
      <c r="BE102" s="2353"/>
      <c r="BF102" s="2353"/>
      <c r="BG102" s="2353"/>
      <c r="BH102" s="2365" t="str">
        <f>IF(SUM(BH42:BK101)=0,"",SUM(BH42:BK101))</f>
        <v/>
      </c>
      <c r="BI102" s="2366"/>
      <c r="BJ102" s="2366"/>
      <c r="BK102" s="2367"/>
      <c r="BL102" s="2365" t="str">
        <f>IF(SUM(BL42:BO101)=0,"",SUM(BL42:BO101))</f>
        <v/>
      </c>
      <c r="BM102" s="2366"/>
      <c r="BN102" s="2366"/>
      <c r="BO102" s="2366"/>
      <c r="BP102" s="2933"/>
      <c r="BQ102" s="2934"/>
      <c r="BR102" s="2934"/>
      <c r="BS102" s="2934"/>
      <c r="BT102" s="2934"/>
      <c r="BU102" s="2934"/>
      <c r="BV102" s="2934"/>
      <c r="BW102" s="2934"/>
      <c r="BX102" s="2934"/>
      <c r="BY102" s="2934"/>
      <c r="BZ102" s="2934"/>
      <c r="CA102" s="2934"/>
      <c r="CB102" s="2934"/>
      <c r="CC102" s="2934"/>
      <c r="CD102" s="2934"/>
      <c r="CE102" s="2934"/>
      <c r="CF102" s="2934"/>
      <c r="CG102" s="2934"/>
      <c r="CH102" s="2935"/>
      <c r="EC102" s="109"/>
      <c r="ED102" s="109"/>
      <c r="EE102" s="109"/>
      <c r="EF102" s="109"/>
      <c r="EG102" s="109"/>
      <c r="EH102" s="109"/>
      <c r="EI102" s="109"/>
      <c r="EJ102" s="109"/>
      <c r="EK102" s="109"/>
      <c r="EL102" s="109"/>
      <c r="EM102" s="109"/>
      <c r="EN102" s="109"/>
      <c r="EO102" s="109"/>
      <c r="EP102" s="109"/>
      <c r="EQ102" s="109"/>
      <c r="ER102" s="109"/>
      <c r="ES102" s="109"/>
      <c r="ET102" s="109"/>
      <c r="EU102" s="109"/>
      <c r="EV102" s="109"/>
    </row>
    <row r="103" spans="1:152" ht="9.6" customHeight="1">
      <c r="A103" s="1"/>
      <c r="B103" s="2490"/>
      <c r="C103" s="2491"/>
      <c r="D103" s="2491"/>
      <c r="E103" s="2491"/>
      <c r="F103" s="2491"/>
      <c r="G103" s="2491"/>
      <c r="H103" s="2491"/>
      <c r="I103" s="2491"/>
      <c r="J103" s="2491"/>
      <c r="K103" s="2491"/>
      <c r="L103" s="2491"/>
      <c r="M103" s="2491"/>
      <c r="N103" s="2491"/>
      <c r="O103" s="2491"/>
      <c r="P103" s="2491"/>
      <c r="Q103" s="2491"/>
      <c r="R103" s="2491"/>
      <c r="S103" s="2491"/>
      <c r="T103" s="2957" t="str">
        <f>IF(SUM(AF42:AI101)=0,"",SUM(AF42:AI101))</f>
        <v/>
      </c>
      <c r="U103" s="2958"/>
      <c r="V103" s="2958"/>
      <c r="W103" s="2959"/>
      <c r="X103" s="2966" t="s">
        <v>196</v>
      </c>
      <c r="Y103" s="2564" t="str">
        <f>IF('Concr. Pg 1'!EW122=0,"",'Concr. Pg 1'!EW122)</f>
        <v/>
      </c>
      <c r="Z103" s="2565"/>
      <c r="AA103" s="2565"/>
      <c r="AB103" s="2566"/>
      <c r="AC103" s="2961" t="s">
        <v>197</v>
      </c>
      <c r="AD103" s="2961"/>
      <c r="AE103" s="2961"/>
      <c r="AF103" s="2365"/>
      <c r="AG103" s="2366"/>
      <c r="AH103" s="2366"/>
      <c r="AI103" s="2367"/>
      <c r="AJ103" s="2927"/>
      <c r="AK103" s="2928"/>
      <c r="AL103" s="2928"/>
      <c r="AM103" s="2929"/>
      <c r="AN103" s="2922"/>
      <c r="AO103" s="2922"/>
      <c r="AP103" s="2922"/>
      <c r="AQ103" s="2352"/>
      <c r="AR103" s="2352"/>
      <c r="AS103" s="2353"/>
      <c r="AT103" s="2353"/>
      <c r="AU103" s="2353"/>
      <c r="AV103" s="2353"/>
      <c r="AW103" s="2353"/>
      <c r="AX103" s="2353"/>
      <c r="AY103" s="2353"/>
      <c r="AZ103" s="2378"/>
      <c r="BA103" s="2922"/>
      <c r="BB103" s="2922"/>
      <c r="BC103" s="2352"/>
      <c r="BD103" s="2352"/>
      <c r="BE103" s="2353"/>
      <c r="BF103" s="2353"/>
      <c r="BG103" s="2353"/>
      <c r="BH103" s="2365"/>
      <c r="BI103" s="2366"/>
      <c r="BJ103" s="2366"/>
      <c r="BK103" s="2367"/>
      <c r="BL103" s="2365"/>
      <c r="BM103" s="2366"/>
      <c r="BN103" s="2366"/>
      <c r="BO103" s="2366"/>
      <c r="BP103" s="2936"/>
      <c r="BQ103" s="2937"/>
      <c r="BR103" s="2937"/>
      <c r="BS103" s="2937"/>
      <c r="BT103" s="2937"/>
      <c r="BU103" s="2937"/>
      <c r="BV103" s="2937"/>
      <c r="BW103" s="2937"/>
      <c r="BX103" s="2937"/>
      <c r="BY103" s="2937"/>
      <c r="BZ103" s="2937"/>
      <c r="CA103" s="2937"/>
      <c r="CB103" s="2937"/>
      <c r="CC103" s="2937"/>
      <c r="CD103" s="2937"/>
      <c r="CE103" s="2937"/>
      <c r="CF103" s="2937"/>
      <c r="CG103" s="2937"/>
      <c r="CH103" s="2938"/>
      <c r="EC103" s="109"/>
      <c r="ED103" s="109"/>
      <c r="EE103" s="109"/>
      <c r="EF103" s="109"/>
      <c r="EG103" s="109"/>
      <c r="EH103" s="109"/>
      <c r="EI103" s="109"/>
      <c r="EJ103" s="109"/>
      <c r="EK103" s="109"/>
      <c r="EL103" s="109"/>
      <c r="EM103" s="109"/>
      <c r="EN103" s="109"/>
      <c r="EO103" s="109"/>
      <c r="EP103" s="109"/>
      <c r="EQ103" s="109"/>
      <c r="ER103" s="109"/>
      <c r="ES103" s="109"/>
      <c r="ET103" s="109"/>
      <c r="EU103" s="109"/>
      <c r="EV103" s="109"/>
    </row>
    <row r="104" spans="1:152" ht="9.6" customHeight="1">
      <c r="A104" s="1"/>
      <c r="B104" s="2490"/>
      <c r="C104" s="2491"/>
      <c r="D104" s="2491"/>
      <c r="E104" s="2491"/>
      <c r="F104" s="2491"/>
      <c r="G104" s="2491"/>
      <c r="H104" s="2491"/>
      <c r="I104" s="2491"/>
      <c r="J104" s="2491"/>
      <c r="K104" s="2491"/>
      <c r="L104" s="2491"/>
      <c r="M104" s="2491"/>
      <c r="N104" s="2491"/>
      <c r="O104" s="2491"/>
      <c r="P104" s="2491"/>
      <c r="Q104" s="2491"/>
      <c r="R104" s="2491"/>
      <c r="S104" s="2491"/>
      <c r="T104" s="2500"/>
      <c r="U104" s="2501"/>
      <c r="V104" s="2501"/>
      <c r="W104" s="2502"/>
      <c r="X104" s="2966"/>
      <c r="Y104" s="2567"/>
      <c r="Z104" s="2568"/>
      <c r="AA104" s="2568"/>
      <c r="AB104" s="2569"/>
      <c r="AC104" s="2961"/>
      <c r="AD104" s="2961"/>
      <c r="AE104" s="2961"/>
      <c r="AF104" s="2947"/>
      <c r="AG104" s="2948"/>
      <c r="AH104" s="2948"/>
      <c r="AI104" s="2949"/>
      <c r="AJ104" s="2930"/>
      <c r="AK104" s="2931"/>
      <c r="AL104" s="2931"/>
      <c r="AM104" s="2932"/>
      <c r="AN104" s="2923"/>
      <c r="AO104" s="2923"/>
      <c r="AP104" s="2923"/>
      <c r="AQ104" s="2354"/>
      <c r="AR104" s="2354"/>
      <c r="AS104" s="2355"/>
      <c r="AT104" s="2355"/>
      <c r="AU104" s="2355"/>
      <c r="AV104" s="2355"/>
      <c r="AW104" s="2355"/>
      <c r="AX104" s="2355"/>
      <c r="AY104" s="2355"/>
      <c r="AZ104" s="2379"/>
      <c r="BA104" s="2923"/>
      <c r="BB104" s="2923"/>
      <c r="BC104" s="2354"/>
      <c r="BD104" s="2354"/>
      <c r="BE104" s="2355"/>
      <c r="BF104" s="2355"/>
      <c r="BG104" s="2355"/>
      <c r="BH104" s="2947"/>
      <c r="BI104" s="2948"/>
      <c r="BJ104" s="2948"/>
      <c r="BK104" s="2949"/>
      <c r="BL104" s="2947"/>
      <c r="BM104" s="2948"/>
      <c r="BN104" s="2948"/>
      <c r="BO104" s="2948"/>
      <c r="BP104" s="2936"/>
      <c r="BQ104" s="2937"/>
      <c r="BR104" s="2937"/>
      <c r="BS104" s="2937"/>
      <c r="BT104" s="2937"/>
      <c r="BU104" s="2937"/>
      <c r="BV104" s="2937"/>
      <c r="BW104" s="2937"/>
      <c r="BX104" s="2937"/>
      <c r="BY104" s="2937"/>
      <c r="BZ104" s="2937"/>
      <c r="CA104" s="2937"/>
      <c r="CB104" s="2937"/>
      <c r="CC104" s="2937"/>
      <c r="CD104" s="2937"/>
      <c r="CE104" s="2937"/>
      <c r="CF104" s="2937"/>
      <c r="CG104" s="2937"/>
      <c r="CH104" s="2938"/>
      <c r="EC104" s="109"/>
      <c r="ED104" s="109"/>
      <c r="EE104" s="109"/>
      <c r="EF104" s="109"/>
      <c r="EG104" s="109"/>
      <c r="EH104" s="109"/>
      <c r="EI104" s="109"/>
      <c r="EJ104" s="109"/>
      <c r="EK104" s="109"/>
      <c r="EL104" s="109"/>
      <c r="EM104" s="109"/>
      <c r="EN104" s="109"/>
      <c r="EO104" s="109"/>
      <c r="EP104" s="109"/>
      <c r="EQ104" s="109"/>
      <c r="ER104" s="109"/>
      <c r="ES104" s="109"/>
      <c r="ET104" s="109"/>
      <c r="EU104" s="109"/>
      <c r="EV104" s="109"/>
    </row>
    <row r="105" spans="1:152" ht="18" customHeight="1">
      <c r="A105" s="1"/>
      <c r="B105" s="2874" t="s">
        <v>215</v>
      </c>
      <c r="C105" s="2875"/>
      <c r="D105" s="2875"/>
      <c r="E105" s="2875"/>
      <c r="F105" s="2875"/>
      <c r="G105" s="2875"/>
      <c r="H105" s="2875"/>
      <c r="I105" s="2875"/>
      <c r="J105" s="2875"/>
      <c r="K105" s="2875"/>
      <c r="L105" s="2875"/>
      <c r="M105" s="2875"/>
      <c r="N105" s="2875"/>
      <c r="O105" s="2875"/>
      <c r="P105" s="2875"/>
      <c r="Q105" s="2875"/>
      <c r="R105" s="2875"/>
      <c r="S105" s="2875"/>
      <c r="T105" s="2878" t="s">
        <v>200</v>
      </c>
      <c r="U105" s="2878"/>
      <c r="V105" s="2878"/>
      <c r="W105" s="2878"/>
      <c r="X105" s="2966"/>
      <c r="Y105" s="2553" t="s">
        <v>205</v>
      </c>
      <c r="Z105" s="2553"/>
      <c r="AA105" s="2553"/>
      <c r="AB105" s="2553"/>
      <c r="AC105" s="2961"/>
      <c r="AD105" s="2961"/>
      <c r="AE105" s="2961"/>
      <c r="AF105" s="2956" t="s">
        <v>322</v>
      </c>
      <c r="AG105" s="2956"/>
      <c r="AH105" s="2956"/>
      <c r="AI105" s="2956"/>
      <c r="AJ105" s="2942" t="s">
        <v>146</v>
      </c>
      <c r="AK105" s="2942"/>
      <c r="AL105" s="2942"/>
      <c r="AM105" s="2942"/>
      <c r="AN105" s="2920" t="s">
        <v>230</v>
      </c>
      <c r="AO105" s="2920"/>
      <c r="AP105" s="2920"/>
      <c r="AQ105" s="2920"/>
      <c r="AR105" s="2920"/>
      <c r="AS105" s="2918" t="s">
        <v>211</v>
      </c>
      <c r="AT105" s="2918"/>
      <c r="AU105" s="2918"/>
      <c r="AV105" s="2918"/>
      <c r="AW105" s="2919"/>
      <c r="AX105" s="2943" t="str">
        <f>IF(SUM(AF42:AI101)=0,"",IF(SUM(AJ42:AM101)="",SUM(AN42:AQ101)-0+SUM(AR102:BG104),SUM(AN42:AQ101)-SUM(AJ42:AM101)+SUM(AR102:BG104)))</f>
        <v/>
      </c>
      <c r="AY105" s="2944"/>
      <c r="AZ105" s="2944"/>
      <c r="BA105" s="2945"/>
      <c r="BB105" s="2950"/>
      <c r="BC105" s="2951"/>
      <c r="BD105" s="2951"/>
      <c r="BE105" s="2951"/>
      <c r="BF105" s="2951"/>
      <c r="BG105" s="2951"/>
      <c r="BH105" s="2946" t="s">
        <v>212</v>
      </c>
      <c r="BI105" s="2946"/>
      <c r="BJ105" s="2946"/>
      <c r="BK105" s="2946"/>
      <c r="BL105" s="2946" t="s">
        <v>213</v>
      </c>
      <c r="BM105" s="2946"/>
      <c r="BN105" s="2946"/>
      <c r="BO105" s="2946"/>
      <c r="BP105" s="2936"/>
      <c r="BQ105" s="2937"/>
      <c r="BR105" s="2937"/>
      <c r="BS105" s="2937"/>
      <c r="BT105" s="2937"/>
      <c r="BU105" s="2937"/>
      <c r="BV105" s="2937"/>
      <c r="BW105" s="2937"/>
      <c r="BX105" s="2937"/>
      <c r="BY105" s="2937"/>
      <c r="BZ105" s="2937"/>
      <c r="CA105" s="2937"/>
      <c r="CB105" s="2937"/>
      <c r="CC105" s="2937"/>
      <c r="CD105" s="2937"/>
      <c r="CE105" s="2937"/>
      <c r="CF105" s="2937"/>
      <c r="CG105" s="2937"/>
      <c r="CH105" s="2938"/>
    </row>
    <row r="106" spans="1:152" ht="15.9" customHeight="1" thickBot="1">
      <c r="B106" s="2876"/>
      <c r="C106" s="2877"/>
      <c r="D106" s="2877"/>
      <c r="E106" s="2877"/>
      <c r="F106" s="2877"/>
      <c r="G106" s="2877"/>
      <c r="H106" s="2877"/>
      <c r="I106" s="2877"/>
      <c r="J106" s="2877"/>
      <c r="K106" s="2877"/>
      <c r="L106" s="2877"/>
      <c r="M106" s="2877"/>
      <c r="N106" s="2877"/>
      <c r="O106" s="2877"/>
      <c r="P106" s="2877"/>
      <c r="Q106" s="2877"/>
      <c r="R106" s="2877"/>
      <c r="S106" s="2877"/>
      <c r="T106" s="2879"/>
      <c r="U106" s="2879"/>
      <c r="V106" s="2879"/>
      <c r="W106" s="2879"/>
      <c r="X106" s="146"/>
      <c r="Y106" s="2960"/>
      <c r="Z106" s="2960"/>
      <c r="AA106" s="2960"/>
      <c r="AB106" s="2960"/>
      <c r="AC106" s="2964"/>
      <c r="AD106" s="2964"/>
      <c r="AE106" s="2965"/>
      <c r="AF106" s="2952" t="s">
        <v>321</v>
      </c>
      <c r="AG106" s="2953"/>
      <c r="AH106" s="2953"/>
      <c r="AI106" s="2953"/>
      <c r="AJ106" s="2953"/>
      <c r="AK106" s="2953"/>
      <c r="AL106" s="2953"/>
      <c r="AM106" s="2953"/>
      <c r="AN106" s="2953"/>
      <c r="AO106" s="2953"/>
      <c r="AP106" s="2953"/>
      <c r="AQ106" s="2953"/>
      <c r="AR106" s="2953"/>
      <c r="AS106" s="2953"/>
      <c r="AT106" s="2953"/>
      <c r="AU106" s="2953"/>
      <c r="AV106" s="2953"/>
      <c r="AW106" s="2953"/>
      <c r="AX106" s="2954"/>
      <c r="AY106" s="2954"/>
      <c r="AZ106" s="2954"/>
      <c r="BA106" s="2954"/>
      <c r="BB106" s="2953"/>
      <c r="BC106" s="2953"/>
      <c r="BD106" s="2953"/>
      <c r="BE106" s="2953"/>
      <c r="BF106" s="2953"/>
      <c r="BG106" s="2953"/>
      <c r="BH106" s="2953"/>
      <c r="BI106" s="2953"/>
      <c r="BJ106" s="2953"/>
      <c r="BK106" s="2953"/>
      <c r="BL106" s="2953"/>
      <c r="BM106" s="2953"/>
      <c r="BN106" s="2953"/>
      <c r="BO106" s="2955"/>
      <c r="BP106" s="2939"/>
      <c r="BQ106" s="2940"/>
      <c r="BR106" s="2940"/>
      <c r="BS106" s="2940"/>
      <c r="BT106" s="2940"/>
      <c r="BU106" s="2940"/>
      <c r="BV106" s="2940"/>
      <c r="BW106" s="2940"/>
      <c r="BX106" s="2940"/>
      <c r="BY106" s="2940"/>
      <c r="BZ106" s="2940"/>
      <c r="CA106" s="2940"/>
      <c r="CB106" s="2940"/>
      <c r="CC106" s="2940"/>
      <c r="CD106" s="2940"/>
      <c r="CE106" s="2940"/>
      <c r="CF106" s="2940"/>
      <c r="CG106" s="2940"/>
      <c r="CH106" s="2941"/>
      <c r="DS106" s="148" t="s">
        <v>219</v>
      </c>
    </row>
    <row r="107" spans="1:152" ht="15" customHeight="1">
      <c r="CM107" s="5"/>
      <c r="CN107" s="6"/>
      <c r="CO107" s="6"/>
      <c r="CP107" s="6"/>
      <c r="CQ107" s="6"/>
      <c r="CR107" s="6"/>
      <c r="CS107" s="6"/>
      <c r="CT107" s="6"/>
      <c r="CU107" s="6"/>
      <c r="CV107" s="6"/>
      <c r="CW107" s="6"/>
      <c r="CX107" s="6"/>
      <c r="CY107" s="6"/>
      <c r="CZ107" s="6"/>
      <c r="DA107" s="6"/>
      <c r="DB107" s="6"/>
      <c r="DC107" s="6"/>
      <c r="DD107" s="6"/>
      <c r="DE107" s="6"/>
      <c r="DF107" s="7"/>
      <c r="DJ107" s="2268" t="s">
        <v>222</v>
      </c>
      <c r="DK107" s="2268"/>
      <c r="DL107" s="2268"/>
      <c r="DM107" s="2268"/>
      <c r="DN107" s="2268"/>
      <c r="DO107" s="2268"/>
      <c r="DP107" s="2268"/>
      <c r="DS107" s="148" t="s">
        <v>220</v>
      </c>
    </row>
    <row r="108" spans="1:152" ht="15" customHeight="1">
      <c r="CM108" s="8"/>
      <c r="DF108" s="9"/>
      <c r="DJ108" s="2274">
        <f>'Concr. Pg 1'!DX120</f>
        <v>0</v>
      </c>
      <c r="DK108" s="2275"/>
      <c r="DL108" s="2275"/>
      <c r="DM108" s="2275"/>
      <c r="DN108" s="2275"/>
      <c r="DO108" s="2275"/>
      <c r="DP108" s="2276"/>
      <c r="DS108" s="113"/>
    </row>
    <row r="109" spans="1:152" ht="15" customHeight="1">
      <c r="CM109" s="8"/>
      <c r="CN109" s="2716" t="s">
        <v>61</v>
      </c>
      <c r="CO109" s="2716"/>
      <c r="CP109" s="2716"/>
      <c r="CQ109" s="2716"/>
      <c r="CR109" s="2716"/>
      <c r="CS109" s="2716"/>
      <c r="CT109" s="2716"/>
      <c r="CU109" s="2716"/>
      <c r="CV109" s="2716"/>
      <c r="CW109" s="2716"/>
      <c r="CX109" s="2716"/>
      <c r="CY109" s="2716"/>
      <c r="CZ109" s="2716"/>
      <c r="DA109" s="2256">
        <f>SUM(AF42:AI101)</f>
        <v>0</v>
      </c>
      <c r="DB109" s="2256"/>
      <c r="DC109" s="2256"/>
      <c r="DD109" s="2256"/>
      <c r="DF109" s="9"/>
      <c r="DJ109" s="2274">
        <f>'Concr. Pg 1'!DX121</f>
        <v>0</v>
      </c>
      <c r="DK109" s="2275"/>
      <c r="DL109" s="2275"/>
      <c r="DM109" s="2275"/>
      <c r="DN109" s="2275"/>
      <c r="DO109" s="2275"/>
      <c r="DP109" s="2276"/>
      <c r="DS109" s="113">
        <v>1</v>
      </c>
      <c r="DY109">
        <f>DJ109</f>
        <v>0</v>
      </c>
    </row>
    <row r="110" spans="1:152" ht="15" customHeight="1">
      <c r="AU110" s="18"/>
      <c r="CM110" s="8"/>
      <c r="CN110" s="2716"/>
      <c r="CO110" s="2716"/>
      <c r="CP110" s="2716"/>
      <c r="CQ110" s="2716"/>
      <c r="CR110" s="2716"/>
      <c r="CS110" s="2716"/>
      <c r="CT110" s="2716"/>
      <c r="CU110" s="2716"/>
      <c r="CV110" s="2716"/>
      <c r="CW110" s="2716"/>
      <c r="CX110" s="2716"/>
      <c r="CY110" s="2716"/>
      <c r="CZ110" s="2716"/>
      <c r="DA110" s="2256"/>
      <c r="DB110" s="2256"/>
      <c r="DC110" s="2256"/>
      <c r="DD110" s="2256"/>
      <c r="DF110" s="9"/>
      <c r="DJ110" s="2277">
        <f>'Concr. Pg 1'!DX122</f>
        <v>0</v>
      </c>
      <c r="DK110" s="2278"/>
      <c r="DL110" s="2278"/>
      <c r="DM110" s="2278"/>
      <c r="DN110" s="2278"/>
      <c r="DO110" s="2278"/>
      <c r="DP110" s="2279"/>
      <c r="DS110" s="113">
        <v>2</v>
      </c>
    </row>
    <row r="111" spans="1:152" ht="15" customHeight="1">
      <c r="CM111" s="8"/>
      <c r="DF111" s="9"/>
      <c r="DJ111" s="2274">
        <f>'Concr. Pg 1'!DX123</f>
        <v>0</v>
      </c>
      <c r="DK111" s="2275"/>
      <c r="DL111" s="2275"/>
      <c r="DM111" s="2275"/>
      <c r="DN111" s="2275"/>
      <c r="DO111" s="2275"/>
      <c r="DP111" s="2276"/>
      <c r="DS111" s="113">
        <v>3</v>
      </c>
    </row>
    <row r="112" spans="1:152" ht="15" customHeight="1">
      <c r="AU112" s="18"/>
      <c r="CM112" s="8"/>
      <c r="CN112" s="2716" t="s">
        <v>62</v>
      </c>
      <c r="CO112" s="2716"/>
      <c r="CP112" s="2716"/>
      <c r="CQ112" s="2716"/>
      <c r="CR112" s="2716"/>
      <c r="CS112" s="2716"/>
      <c r="CT112" s="2716"/>
      <c r="CU112" s="2716"/>
      <c r="CV112" s="2716"/>
      <c r="CW112" s="2716"/>
      <c r="CX112" s="2716"/>
      <c r="CY112" s="2716"/>
      <c r="CZ112" s="2716"/>
      <c r="DA112" s="2256">
        <f>IF(SUM(AN42:AQ101)="",0,SUM(AN42:AQ101)-SUM(AJ42:AM101)+SUM(AR102:BG104))</f>
        <v>0</v>
      </c>
      <c r="DB112" s="2256"/>
      <c r="DC112" s="2256"/>
      <c r="DD112" s="2256"/>
      <c r="DF112" s="9"/>
      <c r="DJ112" s="2277">
        <f>'Concr. Pg 1'!DX124</f>
        <v>0</v>
      </c>
      <c r="DK112" s="2278"/>
      <c r="DL112" s="2278"/>
      <c r="DM112" s="2278"/>
      <c r="DN112" s="2278"/>
      <c r="DO112" s="2278"/>
      <c r="DP112" s="2279"/>
      <c r="DS112" s="113">
        <v>4</v>
      </c>
    </row>
    <row r="113" spans="91:128" ht="15" customHeight="1">
      <c r="CM113" s="8"/>
      <c r="CN113" s="2716"/>
      <c r="CO113" s="2716"/>
      <c r="CP113" s="2716"/>
      <c r="CQ113" s="2716"/>
      <c r="CR113" s="2716"/>
      <c r="CS113" s="2716"/>
      <c r="CT113" s="2716"/>
      <c r="CU113" s="2716"/>
      <c r="CV113" s="2716"/>
      <c r="CW113" s="2716"/>
      <c r="CX113" s="2716"/>
      <c r="CY113" s="2716"/>
      <c r="CZ113" s="2716"/>
      <c r="DA113" s="2256"/>
      <c r="DB113" s="2256"/>
      <c r="DC113" s="2256"/>
      <c r="DD113" s="2256"/>
      <c r="DF113" s="9"/>
      <c r="DJ113" s="12" t="s">
        <v>148</v>
      </c>
      <c r="DK113" s="13"/>
      <c r="DL113" s="13"/>
      <c r="DM113" s="13"/>
      <c r="DN113" s="13"/>
      <c r="DO113" s="13"/>
      <c r="DP113" s="14"/>
      <c r="DS113" s="113">
        <v>5</v>
      </c>
    </row>
    <row r="114" spans="91:128" ht="15" customHeight="1">
      <c r="CM114" s="8"/>
      <c r="DF114" s="9"/>
      <c r="DJ114" s="12" t="s">
        <v>190</v>
      </c>
      <c r="DK114" s="13"/>
      <c r="DL114" s="13"/>
      <c r="DM114" s="13"/>
      <c r="DN114" s="13"/>
      <c r="DO114" s="13"/>
      <c r="DP114" s="14"/>
      <c r="DS114" s="113">
        <v>6</v>
      </c>
    </row>
    <row r="115" spans="91:128" ht="15" customHeight="1">
      <c r="CM115" s="8"/>
      <c r="CN115" s="2716" t="s">
        <v>63</v>
      </c>
      <c r="CO115" s="2716"/>
      <c r="CP115" s="2716"/>
      <c r="CQ115" s="2716"/>
      <c r="CR115" s="2716"/>
      <c r="CS115" s="2716"/>
      <c r="CT115" s="2716"/>
      <c r="CU115" s="2716"/>
      <c r="CV115" s="2716"/>
      <c r="CW115" s="2716"/>
      <c r="CX115" s="2716"/>
      <c r="CY115" s="2716"/>
      <c r="CZ115" s="2716"/>
      <c r="DA115" s="2256">
        <f>SUM(BL42:BO101)</f>
        <v>0</v>
      </c>
      <c r="DB115" s="2256"/>
      <c r="DC115" s="2256"/>
      <c r="DD115" s="2256"/>
      <c r="DF115" s="9"/>
      <c r="DS115" s="113">
        <v>7</v>
      </c>
    </row>
    <row r="116" spans="91:128" ht="15" customHeight="1">
      <c r="CM116" s="8"/>
      <c r="CN116" s="2716"/>
      <c r="CO116" s="2716"/>
      <c r="CP116" s="2716"/>
      <c r="CQ116" s="2716"/>
      <c r="CR116" s="2716"/>
      <c r="CS116" s="2716"/>
      <c r="CT116" s="2716"/>
      <c r="CU116" s="2716"/>
      <c r="CV116" s="2716"/>
      <c r="CW116" s="2716"/>
      <c r="CX116" s="2716"/>
      <c r="CY116" s="2716"/>
      <c r="CZ116" s="2716"/>
      <c r="DA116" s="2256"/>
      <c r="DB116" s="2256"/>
      <c r="DC116" s="2256"/>
      <c r="DD116" s="2256"/>
      <c r="DF116" s="9"/>
      <c r="DS116" s="113">
        <v>8</v>
      </c>
      <c r="DX116" s="274"/>
    </row>
    <row r="117" spans="91:128" ht="15" customHeight="1">
      <c r="CM117" s="8"/>
      <c r="DF117" s="9"/>
      <c r="DS117" s="113">
        <v>9</v>
      </c>
      <c r="DX117" s="274"/>
    </row>
    <row r="118" spans="91:128" ht="15" customHeight="1">
      <c r="CM118" s="8"/>
      <c r="CN118" s="2716" t="s">
        <v>66</v>
      </c>
      <c r="CO118" s="2716"/>
      <c r="CP118" s="2716"/>
      <c r="CQ118" s="2716"/>
      <c r="CR118" s="2716"/>
      <c r="CS118" s="2716"/>
      <c r="CT118" s="2716"/>
      <c r="CU118" s="2716"/>
      <c r="CV118" s="2716"/>
      <c r="CW118" s="2716"/>
      <c r="CX118" s="2716"/>
      <c r="CY118" s="2716"/>
      <c r="CZ118" s="2716"/>
      <c r="DA118" s="2256">
        <f>SUM(BH42:BK101)</f>
        <v>0</v>
      </c>
      <c r="DB118" s="2256"/>
      <c r="DC118" s="2256"/>
      <c r="DD118" s="2256"/>
      <c r="DF118" s="9"/>
      <c r="DS118" s="113">
        <v>10</v>
      </c>
    </row>
    <row r="119" spans="91:128" ht="15" customHeight="1">
      <c r="CM119" s="8"/>
      <c r="CN119" s="2716"/>
      <c r="CO119" s="2716"/>
      <c r="CP119" s="2716"/>
      <c r="CQ119" s="2716"/>
      <c r="CR119" s="2716"/>
      <c r="CS119" s="2716"/>
      <c r="CT119" s="2716"/>
      <c r="CU119" s="2716"/>
      <c r="CV119" s="2716"/>
      <c r="CW119" s="2716"/>
      <c r="CX119" s="2716"/>
      <c r="CY119" s="2716"/>
      <c r="CZ119" s="2716"/>
      <c r="DA119" s="2256"/>
      <c r="DB119" s="2256"/>
      <c r="DC119" s="2256"/>
      <c r="DD119" s="2256"/>
      <c r="DF119" s="9"/>
    </row>
    <row r="120" spans="91:128" ht="15" customHeight="1">
      <c r="CM120" s="8"/>
      <c r="DF120" s="9"/>
    </row>
    <row r="121" spans="91:128" ht="15" customHeight="1">
      <c r="CM121" s="8"/>
      <c r="CN121" s="2716" t="s">
        <v>137</v>
      </c>
      <c r="CO121" s="2716"/>
      <c r="CP121" s="2716"/>
      <c r="CQ121" s="2716"/>
      <c r="CR121" s="2716"/>
      <c r="CS121" s="2716"/>
      <c r="CT121" s="2716"/>
      <c r="CU121" s="2716"/>
      <c r="CV121" s="2716"/>
      <c r="CW121" s="2716"/>
      <c r="CX121" s="2716"/>
      <c r="CY121" s="2716"/>
      <c r="CZ121" s="2716"/>
      <c r="DA121" s="2256">
        <f>SUM(AJ42:AM101)</f>
        <v>0</v>
      </c>
      <c r="DB121" s="2256"/>
      <c r="DC121" s="2256"/>
      <c r="DD121" s="2256"/>
      <c r="DF121" s="9"/>
    </row>
    <row r="122" spans="91:128">
      <c r="CM122" s="8"/>
      <c r="CN122" s="2716"/>
      <c r="CO122" s="2716"/>
      <c r="CP122" s="2716"/>
      <c r="CQ122" s="2716"/>
      <c r="CR122" s="2716"/>
      <c r="CS122" s="2716"/>
      <c r="CT122" s="2716"/>
      <c r="CU122" s="2716"/>
      <c r="CV122" s="2716"/>
      <c r="CW122" s="2716"/>
      <c r="CX122" s="2716"/>
      <c r="CY122" s="2716"/>
      <c r="CZ122" s="2716"/>
      <c r="DA122" s="2256"/>
      <c r="DB122" s="2256"/>
      <c r="DC122" s="2256"/>
      <c r="DD122" s="2256"/>
      <c r="DF122" s="9"/>
    </row>
    <row r="123" spans="91:128">
      <c r="CM123" s="8"/>
      <c r="DF123" s="9"/>
    </row>
    <row r="124" spans="91:128" ht="15" customHeight="1">
      <c r="CM124" s="8"/>
      <c r="CN124" s="2716" t="s">
        <v>140</v>
      </c>
      <c r="CO124" s="2716"/>
      <c r="CP124" s="2716"/>
      <c r="CQ124" s="2716"/>
      <c r="CR124" s="2716"/>
      <c r="CS124" s="2716"/>
      <c r="CT124" s="2716"/>
      <c r="CU124" s="2716"/>
      <c r="CV124" s="2716"/>
      <c r="CW124" s="2716"/>
      <c r="CX124" s="2716"/>
      <c r="CY124" s="2716"/>
      <c r="CZ124" s="2716"/>
      <c r="DA124" s="2256">
        <f>SUM(AN42:AQ101)</f>
        <v>0</v>
      </c>
      <c r="DB124" s="2256"/>
      <c r="DC124" s="2256"/>
      <c r="DD124" s="2256"/>
      <c r="DF124" s="9"/>
    </row>
    <row r="125" spans="91:128" ht="15" customHeight="1">
      <c r="CM125" s="8"/>
      <c r="CN125" s="2716"/>
      <c r="CO125" s="2716"/>
      <c r="CP125" s="2716"/>
      <c r="CQ125" s="2716"/>
      <c r="CR125" s="2716"/>
      <c r="CS125" s="2716"/>
      <c r="CT125" s="2716"/>
      <c r="CU125" s="2716"/>
      <c r="CV125" s="2716"/>
      <c r="CW125" s="2716"/>
      <c r="CX125" s="2716"/>
      <c r="CY125" s="2716"/>
      <c r="CZ125" s="2716"/>
      <c r="DA125" s="2256"/>
      <c r="DB125" s="2256"/>
      <c r="DC125" s="2256"/>
      <c r="DD125" s="2256"/>
      <c r="DF125" s="9"/>
    </row>
    <row r="126" spans="91:128" ht="15.75" customHeight="1">
      <c r="CM126" s="8"/>
      <c r="DF126" s="9"/>
    </row>
    <row r="127" spans="91:128">
      <c r="CM127" s="15"/>
      <c r="CN127" s="16"/>
      <c r="CO127" s="16"/>
      <c r="CP127" s="16"/>
      <c r="CQ127" s="16"/>
      <c r="CR127" s="16"/>
      <c r="CS127" s="16"/>
      <c r="CT127" s="16"/>
      <c r="CU127" s="16"/>
      <c r="CV127" s="16"/>
      <c r="CW127" s="16"/>
      <c r="CX127" s="16"/>
      <c r="CY127" s="16"/>
      <c r="CZ127" s="16"/>
      <c r="DA127" s="16"/>
      <c r="DB127" s="16"/>
      <c r="DC127" s="16"/>
      <c r="DD127" s="16"/>
      <c r="DE127" s="16"/>
      <c r="DF127" s="17"/>
    </row>
  </sheetData>
  <sheetProtection algorithmName="SHA-512" hashValue="cD5SXmfx3ADOK964rkU2K9yIulqBL92ez/r7gCjuWHGRwTNJ+lFAObF0ayTNWwuhLpz19ypVLJ98TlojqMGt2g==" saltValue="NKORiVRncTojkqtRKT1Aiw==" spinCount="100000" sheet="1" selectLockedCells="1"/>
  <mergeCells count="493">
    <mergeCell ref="CQ98:CT101"/>
    <mergeCell ref="CQ78:CT81"/>
    <mergeCell ref="CO33:CV34"/>
    <mergeCell ref="CO35:CV36"/>
    <mergeCell ref="CO37:CV38"/>
    <mergeCell ref="CO39:CV41"/>
    <mergeCell ref="CQ82:CT85"/>
    <mergeCell ref="CQ86:CT89"/>
    <mergeCell ref="CQ90:CT93"/>
    <mergeCell ref="CQ94:CT97"/>
    <mergeCell ref="CQ42:CT45"/>
    <mergeCell ref="CQ46:CT49"/>
    <mergeCell ref="CQ50:CT53"/>
    <mergeCell ref="CQ54:CT57"/>
    <mergeCell ref="CQ58:CT61"/>
    <mergeCell ref="CQ62:CT65"/>
    <mergeCell ref="CQ66:CT69"/>
    <mergeCell ref="CQ70:CT73"/>
    <mergeCell ref="CQ74:CT77"/>
    <mergeCell ref="L36:O37"/>
    <mergeCell ref="L38:O39"/>
    <mergeCell ref="L40:O41"/>
    <mergeCell ref="CK74:CM77"/>
    <mergeCell ref="CK78:CM81"/>
    <mergeCell ref="CK82:CM85"/>
    <mergeCell ref="CK86:CM89"/>
    <mergeCell ref="CK90:CM93"/>
    <mergeCell ref="CK94:CM97"/>
    <mergeCell ref="BT74:CH77"/>
    <mergeCell ref="BL78:BO81"/>
    <mergeCell ref="BP78:BS81"/>
    <mergeCell ref="BL62:BO65"/>
    <mergeCell ref="BL66:BO69"/>
    <mergeCell ref="BP66:BS69"/>
    <mergeCell ref="BT78:CH81"/>
    <mergeCell ref="BT82:CH85"/>
    <mergeCell ref="AR94:AU97"/>
    <mergeCell ref="BL86:BO89"/>
    <mergeCell ref="BT94:CH97"/>
    <mergeCell ref="BP94:BS97"/>
    <mergeCell ref="BL90:BO93"/>
    <mergeCell ref="BD86:BG89"/>
    <mergeCell ref="AR82:AU85"/>
    <mergeCell ref="CK98:CM101"/>
    <mergeCell ref="CK38:CM41"/>
    <mergeCell ref="CK42:CM45"/>
    <mergeCell ref="CK46:CM49"/>
    <mergeCell ref="CK50:CM53"/>
    <mergeCell ref="CK54:CM57"/>
    <mergeCell ref="CK58:CM61"/>
    <mergeCell ref="CK62:CM65"/>
    <mergeCell ref="CK66:CM69"/>
    <mergeCell ref="CK70:CM73"/>
    <mergeCell ref="CS18:DM23"/>
    <mergeCell ref="CQ19:CR22"/>
    <mergeCell ref="CS25:DM31"/>
    <mergeCell ref="CQ26:CR29"/>
    <mergeCell ref="T103:W104"/>
    <mergeCell ref="Y103:AB104"/>
    <mergeCell ref="Y105:AB106"/>
    <mergeCell ref="AC103:AE105"/>
    <mergeCell ref="AC102:AE102"/>
    <mergeCell ref="AC106:AE106"/>
    <mergeCell ref="X103:X105"/>
    <mergeCell ref="T102:AB102"/>
    <mergeCell ref="X94:AA97"/>
    <mergeCell ref="AB98:AE101"/>
    <mergeCell ref="AN74:AQ77"/>
    <mergeCell ref="AJ78:AM81"/>
    <mergeCell ref="AJ94:AM97"/>
    <mergeCell ref="BP70:BS73"/>
    <mergeCell ref="BL54:BO57"/>
    <mergeCell ref="BP90:BS93"/>
    <mergeCell ref="BP54:BS57"/>
    <mergeCell ref="BP62:BS65"/>
    <mergeCell ref="BT66:CH69"/>
    <mergeCell ref="BT70:CH73"/>
    <mergeCell ref="AR86:AU89"/>
    <mergeCell ref="AZ82:BC85"/>
    <mergeCell ref="AR70:AU73"/>
    <mergeCell ref="AZ70:BC73"/>
    <mergeCell ref="DJ107:DP107"/>
    <mergeCell ref="DJ108:DP108"/>
    <mergeCell ref="DJ109:DP109"/>
    <mergeCell ref="DJ110:DP110"/>
    <mergeCell ref="DJ111:DP111"/>
    <mergeCell ref="CI74:CJ77"/>
    <mergeCell ref="CI78:CJ81"/>
    <mergeCell ref="BH90:BK93"/>
    <mergeCell ref="BD90:BG93"/>
    <mergeCell ref="BD82:BG85"/>
    <mergeCell ref="BT86:CH89"/>
    <mergeCell ref="BT90:CH93"/>
    <mergeCell ref="CI98:CJ101"/>
    <mergeCell ref="BL94:BO97"/>
    <mergeCell ref="BP98:BS101"/>
    <mergeCell ref="BP82:BS85"/>
    <mergeCell ref="BP86:BS89"/>
    <mergeCell ref="CI82:CJ85"/>
    <mergeCell ref="CI86:CJ89"/>
    <mergeCell ref="CI90:CJ93"/>
    <mergeCell ref="BT58:CH61"/>
    <mergeCell ref="BH70:BK73"/>
    <mergeCell ref="AF106:BO106"/>
    <mergeCell ref="AV94:AY97"/>
    <mergeCell ref="AJ90:AM93"/>
    <mergeCell ref="AR90:AU93"/>
    <mergeCell ref="BD78:BG81"/>
    <mergeCell ref="BH94:BK97"/>
    <mergeCell ref="BH82:BK85"/>
    <mergeCell ref="BH86:BK89"/>
    <mergeCell ref="AN86:AQ89"/>
    <mergeCell ref="AV82:AY85"/>
    <mergeCell ref="AF90:AI93"/>
    <mergeCell ref="AF94:AI97"/>
    <mergeCell ref="AF105:AI105"/>
    <mergeCell ref="AF102:AI104"/>
    <mergeCell ref="BD70:BG73"/>
    <mergeCell ref="BH66:BK69"/>
    <mergeCell ref="BL74:BO77"/>
    <mergeCell ref="BP74:BS77"/>
    <mergeCell ref="AZ94:BC97"/>
    <mergeCell ref="AZ90:BC93"/>
    <mergeCell ref="AN98:AQ101"/>
    <mergeCell ref="BD94:BG97"/>
    <mergeCell ref="DJ112:DP112"/>
    <mergeCell ref="DA118:DD119"/>
    <mergeCell ref="CN118:CZ119"/>
    <mergeCell ref="DA112:DD113"/>
    <mergeCell ref="CN112:CZ113"/>
    <mergeCell ref="DA115:DD116"/>
    <mergeCell ref="CN115:CZ116"/>
    <mergeCell ref="CN109:CZ110"/>
    <mergeCell ref="DA109:DD110"/>
    <mergeCell ref="CN121:CZ122"/>
    <mergeCell ref="DA121:DD122"/>
    <mergeCell ref="CN124:CZ125"/>
    <mergeCell ref="DA124:DD125"/>
    <mergeCell ref="AS105:AW105"/>
    <mergeCell ref="AN105:AR105"/>
    <mergeCell ref="AZ102:BC104"/>
    <mergeCell ref="AV102:AY104"/>
    <mergeCell ref="AJ102:AM104"/>
    <mergeCell ref="BP102:CH106"/>
    <mergeCell ref="AJ105:AM105"/>
    <mergeCell ref="AX105:BA105"/>
    <mergeCell ref="BH105:BK105"/>
    <mergeCell ref="BL105:BO105"/>
    <mergeCell ref="AN102:AQ104"/>
    <mergeCell ref="BL102:BO104"/>
    <mergeCell ref="BH102:BK104"/>
    <mergeCell ref="BD102:BG104"/>
    <mergeCell ref="AR102:AU104"/>
    <mergeCell ref="BB105:BG105"/>
    <mergeCell ref="CI94:CJ97"/>
    <mergeCell ref="BT98:CH101"/>
    <mergeCell ref="BL98:BO101"/>
    <mergeCell ref="BL82:BO85"/>
    <mergeCell ref="T98:W101"/>
    <mergeCell ref="H98:K101"/>
    <mergeCell ref="B98:G101"/>
    <mergeCell ref="L98:O101"/>
    <mergeCell ref="X98:AA101"/>
    <mergeCell ref="BH98:BK101"/>
    <mergeCell ref="AJ98:AM101"/>
    <mergeCell ref="BD98:BG101"/>
    <mergeCell ref="AV98:AY101"/>
    <mergeCell ref="AZ98:BC101"/>
    <mergeCell ref="AR98:AU101"/>
    <mergeCell ref="AN94:AQ97"/>
    <mergeCell ref="AV90:AY93"/>
    <mergeCell ref="AN90:AQ93"/>
    <mergeCell ref="AV86:AY89"/>
    <mergeCell ref="AZ86:BC89"/>
    <mergeCell ref="L86:O89"/>
    <mergeCell ref="P86:S89"/>
    <mergeCell ref="H90:K93"/>
    <mergeCell ref="L90:O93"/>
    <mergeCell ref="A94:A97"/>
    <mergeCell ref="A98:A101"/>
    <mergeCell ref="AF82:AI85"/>
    <mergeCell ref="H82:K85"/>
    <mergeCell ref="L82:O85"/>
    <mergeCell ref="P82:S85"/>
    <mergeCell ref="AF86:AI89"/>
    <mergeCell ref="H94:K97"/>
    <mergeCell ref="L94:O97"/>
    <mergeCell ref="P94:S97"/>
    <mergeCell ref="B94:G97"/>
    <mergeCell ref="T94:W97"/>
    <mergeCell ref="P98:S101"/>
    <mergeCell ref="T82:W85"/>
    <mergeCell ref="AF98:AI101"/>
    <mergeCell ref="AB94:AE97"/>
    <mergeCell ref="A90:A93"/>
    <mergeCell ref="T90:W93"/>
    <mergeCell ref="X90:AA93"/>
    <mergeCell ref="AB90:AE93"/>
    <mergeCell ref="X82:AA85"/>
    <mergeCell ref="T86:W89"/>
    <mergeCell ref="B90:G93"/>
    <mergeCell ref="H86:K89"/>
    <mergeCell ref="P90:S93"/>
    <mergeCell ref="B74:G77"/>
    <mergeCell ref="AN82:AQ85"/>
    <mergeCell ref="A78:A81"/>
    <mergeCell ref="AF78:AI81"/>
    <mergeCell ref="H78:K81"/>
    <mergeCell ref="L78:O81"/>
    <mergeCell ref="B82:G85"/>
    <mergeCell ref="B86:G89"/>
    <mergeCell ref="A82:A85"/>
    <mergeCell ref="A86:A89"/>
    <mergeCell ref="AJ82:AM85"/>
    <mergeCell ref="AJ86:AM89"/>
    <mergeCell ref="B78:G81"/>
    <mergeCell ref="X86:AA89"/>
    <mergeCell ref="AB82:AE85"/>
    <mergeCell ref="AB86:AE89"/>
    <mergeCell ref="P70:S73"/>
    <mergeCell ref="AJ70:AM73"/>
    <mergeCell ref="AN70:AQ73"/>
    <mergeCell ref="BH74:BK77"/>
    <mergeCell ref="P78:S81"/>
    <mergeCell ref="T78:W81"/>
    <mergeCell ref="X78:AA81"/>
    <mergeCell ref="AB78:AE81"/>
    <mergeCell ref="BH78:BK81"/>
    <mergeCell ref="AF74:AI77"/>
    <mergeCell ref="AR74:AU77"/>
    <mergeCell ref="AZ74:BC77"/>
    <mergeCell ref="AV74:AY77"/>
    <mergeCell ref="AJ74:AM77"/>
    <mergeCell ref="BD74:BG77"/>
    <mergeCell ref="AR78:AU81"/>
    <mergeCell ref="AZ78:BC81"/>
    <mergeCell ref="AV78:AY81"/>
    <mergeCell ref="AN78:AQ81"/>
    <mergeCell ref="A66:A69"/>
    <mergeCell ref="AF66:AI69"/>
    <mergeCell ref="H66:K69"/>
    <mergeCell ref="L66:O69"/>
    <mergeCell ref="P66:S69"/>
    <mergeCell ref="T66:W69"/>
    <mergeCell ref="X66:AA69"/>
    <mergeCell ref="AB66:AE69"/>
    <mergeCell ref="A74:A77"/>
    <mergeCell ref="H74:K77"/>
    <mergeCell ref="L74:O77"/>
    <mergeCell ref="P74:S77"/>
    <mergeCell ref="T74:W77"/>
    <mergeCell ref="X74:AA77"/>
    <mergeCell ref="AB74:AE77"/>
    <mergeCell ref="B66:G69"/>
    <mergeCell ref="B70:G73"/>
    <mergeCell ref="T70:W73"/>
    <mergeCell ref="X70:AA73"/>
    <mergeCell ref="AB70:AE73"/>
    <mergeCell ref="A70:A73"/>
    <mergeCell ref="AF70:AI73"/>
    <mergeCell ref="H70:K73"/>
    <mergeCell ref="L70:O73"/>
    <mergeCell ref="A42:A45"/>
    <mergeCell ref="AF42:AI45"/>
    <mergeCell ref="H42:K45"/>
    <mergeCell ref="L42:O45"/>
    <mergeCell ref="AB50:AE53"/>
    <mergeCell ref="P42:S45"/>
    <mergeCell ref="T42:W45"/>
    <mergeCell ref="X42:AA45"/>
    <mergeCell ref="AB42:AE45"/>
    <mergeCell ref="B50:G53"/>
    <mergeCell ref="A50:A53"/>
    <mergeCell ref="AF50:AI53"/>
    <mergeCell ref="A46:A49"/>
    <mergeCell ref="AF46:AI49"/>
    <mergeCell ref="H46:K49"/>
    <mergeCell ref="L46:O49"/>
    <mergeCell ref="H50:K53"/>
    <mergeCell ref="L50:O53"/>
    <mergeCell ref="P50:S53"/>
    <mergeCell ref="B42:G45"/>
    <mergeCell ref="B46:G49"/>
    <mergeCell ref="A62:A65"/>
    <mergeCell ref="AF62:AI65"/>
    <mergeCell ref="H62:K65"/>
    <mergeCell ref="L62:O65"/>
    <mergeCell ref="P62:S65"/>
    <mergeCell ref="T62:W65"/>
    <mergeCell ref="BP50:BS53"/>
    <mergeCell ref="A54:A57"/>
    <mergeCell ref="AF54:AI57"/>
    <mergeCell ref="H54:K57"/>
    <mergeCell ref="T54:W57"/>
    <mergeCell ref="A58:A61"/>
    <mergeCell ref="AF58:AI61"/>
    <mergeCell ref="H58:K61"/>
    <mergeCell ref="L58:O61"/>
    <mergeCell ref="P58:S61"/>
    <mergeCell ref="T58:W61"/>
    <mergeCell ref="AN58:AQ61"/>
    <mergeCell ref="AJ58:AM61"/>
    <mergeCell ref="B54:G57"/>
    <mergeCell ref="B58:G61"/>
    <mergeCell ref="BH62:BK65"/>
    <mergeCell ref="BP58:BS61"/>
    <mergeCell ref="AZ54:BC57"/>
    <mergeCell ref="B20:CH20"/>
    <mergeCell ref="B14:I16"/>
    <mergeCell ref="J14:X16"/>
    <mergeCell ref="Y14:AB16"/>
    <mergeCell ref="AC14:AM16"/>
    <mergeCell ref="AN14:AQ16"/>
    <mergeCell ref="CH25:CH27"/>
    <mergeCell ref="CH22:CH24"/>
    <mergeCell ref="C22:E30"/>
    <mergeCell ref="B22:B30"/>
    <mergeCell ref="W22:Z24"/>
    <mergeCell ref="F28:M30"/>
    <mergeCell ref="N28:R30"/>
    <mergeCell ref="B21:CH21"/>
    <mergeCell ref="J17:AC19"/>
    <mergeCell ref="B17:I19"/>
    <mergeCell ref="AD17:AG19"/>
    <mergeCell ref="W28:CG30"/>
    <mergeCell ref="CH28:CH30"/>
    <mergeCell ref="S28:V30"/>
    <mergeCell ref="S25:V27"/>
    <mergeCell ref="F22:M24"/>
    <mergeCell ref="N22:R24"/>
    <mergeCell ref="S22:V24"/>
    <mergeCell ref="B11:I13"/>
    <mergeCell ref="AF11:AJ13"/>
    <mergeCell ref="AD11:AE13"/>
    <mergeCell ref="AH17:CG19"/>
    <mergeCell ref="CH17:CH19"/>
    <mergeCell ref="BP11:BU13"/>
    <mergeCell ref="AU11:AZ13"/>
    <mergeCell ref="BV11:CG13"/>
    <mergeCell ref="AZ14:BG16"/>
    <mergeCell ref="BH14:BU16"/>
    <mergeCell ref="BV14:BY16"/>
    <mergeCell ref="CH14:CH16"/>
    <mergeCell ref="J11:AC13"/>
    <mergeCell ref="AR14:AY16"/>
    <mergeCell ref="BZ14:CG16"/>
    <mergeCell ref="BA11:BO13"/>
    <mergeCell ref="AK11:AR13"/>
    <mergeCell ref="AS11:AT13"/>
    <mergeCell ref="CB1:CH2"/>
    <mergeCell ref="B3:H5"/>
    <mergeCell ref="I3:CA5"/>
    <mergeCell ref="B1:H2"/>
    <mergeCell ref="I1:CA2"/>
    <mergeCell ref="B7:CH7"/>
    <mergeCell ref="B8:I10"/>
    <mergeCell ref="J8:AC10"/>
    <mergeCell ref="AD8:AE10"/>
    <mergeCell ref="AF8:AJ10"/>
    <mergeCell ref="AU8:BD10"/>
    <mergeCell ref="BE8:BO10"/>
    <mergeCell ref="BP8:BS10"/>
    <mergeCell ref="CB3:CH4"/>
    <mergeCell ref="CB5:CH6"/>
    <mergeCell ref="B6:H6"/>
    <mergeCell ref="I6:CA6"/>
    <mergeCell ref="BX8:BZ10"/>
    <mergeCell ref="CA8:CC10"/>
    <mergeCell ref="CD8:CF10"/>
    <mergeCell ref="CG8:CH10"/>
    <mergeCell ref="BT8:BW10"/>
    <mergeCell ref="AK8:AR10"/>
    <mergeCell ref="AS8:AT10"/>
    <mergeCell ref="CI70:CJ73"/>
    <mergeCell ref="BD58:BG61"/>
    <mergeCell ref="CI46:CJ49"/>
    <mergeCell ref="BP32:BS38"/>
    <mergeCell ref="B31:CH31"/>
    <mergeCell ref="AF32:AI38"/>
    <mergeCell ref="H32:K41"/>
    <mergeCell ref="P32:S41"/>
    <mergeCell ref="T32:W38"/>
    <mergeCell ref="BL50:BO53"/>
    <mergeCell ref="AZ42:BC45"/>
    <mergeCell ref="AV42:AY45"/>
    <mergeCell ref="BH42:BK45"/>
    <mergeCell ref="BD50:BG53"/>
    <mergeCell ref="AR50:AU53"/>
    <mergeCell ref="BL42:BO45"/>
    <mergeCell ref="AJ62:AM65"/>
    <mergeCell ref="X62:AA65"/>
    <mergeCell ref="AB62:AE65"/>
    <mergeCell ref="BD46:BG49"/>
    <mergeCell ref="AV70:AY73"/>
    <mergeCell ref="BL70:BO73"/>
    <mergeCell ref="AJ50:AM53"/>
    <mergeCell ref="AB39:AE41"/>
    <mergeCell ref="F25:M27"/>
    <mergeCell ref="N25:R27"/>
    <mergeCell ref="AA22:CG24"/>
    <mergeCell ref="W25:CG27"/>
    <mergeCell ref="BP46:BS49"/>
    <mergeCell ref="BT50:CH53"/>
    <mergeCell ref="BT32:CH35"/>
    <mergeCell ref="BT36:CH41"/>
    <mergeCell ref="BD34:BG41"/>
    <mergeCell ref="BT46:CH49"/>
    <mergeCell ref="BD42:BG45"/>
    <mergeCell ref="BH46:BK49"/>
    <mergeCell ref="B32:G41"/>
    <mergeCell ref="BH39:BK41"/>
    <mergeCell ref="AR42:AU45"/>
    <mergeCell ref="BL39:BO41"/>
    <mergeCell ref="BP39:BS41"/>
    <mergeCell ref="P46:S49"/>
    <mergeCell ref="T46:W49"/>
    <mergeCell ref="AJ46:AM49"/>
    <mergeCell ref="AV34:AY41"/>
    <mergeCell ref="AZ34:BC41"/>
    <mergeCell ref="AJ38:AM39"/>
    <mergeCell ref="AJ40:AQ41"/>
    <mergeCell ref="AV46:AY49"/>
    <mergeCell ref="AN42:AQ45"/>
    <mergeCell ref="AN46:AQ49"/>
    <mergeCell ref="AZ46:BC49"/>
    <mergeCell ref="CI42:CJ45"/>
    <mergeCell ref="AR66:AU69"/>
    <mergeCell ref="AZ66:BC69"/>
    <mergeCell ref="BH58:BK61"/>
    <mergeCell ref="BD62:BG65"/>
    <mergeCell ref="AR62:AU65"/>
    <mergeCell ref="AZ62:BC65"/>
    <mergeCell ref="BH54:BK57"/>
    <mergeCell ref="AZ58:BC61"/>
    <mergeCell ref="CI50:CJ53"/>
    <mergeCell ref="CI54:CJ57"/>
    <mergeCell ref="CI58:CJ61"/>
    <mergeCell ref="CI62:CJ65"/>
    <mergeCell ref="CI66:CJ69"/>
    <mergeCell ref="BT54:CH57"/>
    <mergeCell ref="BT62:CH65"/>
    <mergeCell ref="BT42:CH45"/>
    <mergeCell ref="BP42:BS45"/>
    <mergeCell ref="AV54:AY57"/>
    <mergeCell ref="AZ50:BC53"/>
    <mergeCell ref="BH32:BK38"/>
    <mergeCell ref="BL32:BO38"/>
    <mergeCell ref="AV58:AY61"/>
    <mergeCell ref="L54:O57"/>
    <mergeCell ref="P54:S57"/>
    <mergeCell ref="AR46:AU49"/>
    <mergeCell ref="AB54:AE57"/>
    <mergeCell ref="AJ54:AM57"/>
    <mergeCell ref="AN54:AQ57"/>
    <mergeCell ref="T50:W53"/>
    <mergeCell ref="X50:AA53"/>
    <mergeCell ref="AB46:AE49"/>
    <mergeCell ref="AR54:AU57"/>
    <mergeCell ref="AV50:AY53"/>
    <mergeCell ref="BH50:BK53"/>
    <mergeCell ref="BD54:BG57"/>
    <mergeCell ref="BL46:BO49"/>
    <mergeCell ref="AN50:AQ53"/>
    <mergeCell ref="BL58:BO61"/>
    <mergeCell ref="AF39:AI41"/>
    <mergeCell ref="T39:W41"/>
    <mergeCell ref="X46:AA49"/>
    <mergeCell ref="X39:AA41"/>
    <mergeCell ref="AN32:AQ33"/>
    <mergeCell ref="CQ14:EU16"/>
    <mergeCell ref="B102:S104"/>
    <mergeCell ref="B105:S106"/>
    <mergeCell ref="T105:W106"/>
    <mergeCell ref="B62:G65"/>
    <mergeCell ref="AJ32:AM33"/>
    <mergeCell ref="AJ34:AQ37"/>
    <mergeCell ref="AR34:AU41"/>
    <mergeCell ref="AR32:BG33"/>
    <mergeCell ref="L32:O35"/>
    <mergeCell ref="X32:AA38"/>
    <mergeCell ref="AB32:AE38"/>
    <mergeCell ref="AJ42:AM45"/>
    <mergeCell ref="AV62:AY65"/>
    <mergeCell ref="AV66:AY69"/>
    <mergeCell ref="AJ66:AM69"/>
    <mergeCell ref="X58:AA61"/>
    <mergeCell ref="AB58:AE61"/>
    <mergeCell ref="AR58:AU61"/>
    <mergeCell ref="X54:AA57"/>
    <mergeCell ref="AN62:AQ65"/>
    <mergeCell ref="AN66:AQ69"/>
    <mergeCell ref="BD66:BG69"/>
    <mergeCell ref="AN38:AQ39"/>
  </mergeCells>
  <conditionalFormatting sqref="H42 H46 H50 H54 H58 H62">
    <cfRule type="expression" dxfId="65" priority="4">
      <formula>NOT(FA100="")</formula>
    </cfRule>
  </conditionalFormatting>
  <conditionalFormatting sqref="H66 H70">
    <cfRule type="expression" dxfId="64" priority="5">
      <formula>NOT(FA124="")</formula>
    </cfRule>
  </conditionalFormatting>
  <conditionalFormatting sqref="J14:X16">
    <cfRule type="expression" dxfId="63" priority="36">
      <formula>J14=DJ108</formula>
    </cfRule>
  </conditionalFormatting>
  <conditionalFormatting sqref="L42:O101">
    <cfRule type="expression" dxfId="62" priority="6">
      <formula>OR($L42="REJECTED",$L42="Not Placed")</formula>
    </cfRule>
  </conditionalFormatting>
  <conditionalFormatting sqref="P42 P46 P50 P54 P58 P62">
    <cfRule type="expression" dxfId="61" priority="2">
      <formula>NOT(FI100="")</formula>
    </cfRule>
  </conditionalFormatting>
  <conditionalFormatting sqref="P66 P70">
    <cfRule type="expression" dxfId="60" priority="3">
      <formula>NOT(FI124="")</formula>
    </cfRule>
  </conditionalFormatting>
  <conditionalFormatting sqref="P42:S101">
    <cfRule type="expression" dxfId="59" priority="1">
      <formula>$CQ42&gt;105</formula>
    </cfRule>
  </conditionalFormatting>
  <conditionalFormatting sqref="AC14:AM16">
    <cfRule type="expression" dxfId="58" priority="35">
      <formula>AC14=DJ109</formula>
    </cfRule>
  </conditionalFormatting>
  <conditionalFormatting sqref="AF42:AI101">
    <cfRule type="expression" dxfId="57" priority="98">
      <formula>OR($L42="REJECTED",$L42="Not Placed")</formula>
    </cfRule>
  </conditionalFormatting>
  <conditionalFormatting sqref="AR14:AY16">
    <cfRule type="expression" dxfId="56" priority="34">
      <formula>AR14=DJ110</formula>
    </cfRule>
  </conditionalFormatting>
  <conditionalFormatting sqref="BH14:BU16">
    <cfRule type="expression" dxfId="55" priority="33">
      <formula>BH14=DJ111</formula>
    </cfRule>
  </conditionalFormatting>
  <conditionalFormatting sqref="BZ14:CG16">
    <cfRule type="expression" dxfId="54" priority="32">
      <formula>BZ14=DJ112</formula>
    </cfRule>
  </conditionalFormatting>
  <conditionalFormatting sqref="CQ42:CT101">
    <cfRule type="expression" dxfId="53" priority="16">
      <formula>$CQ42&gt;105</formula>
    </cfRule>
  </conditionalFormatting>
  <conditionalFormatting sqref="CQ14:EU16">
    <cfRule type="expression" dxfId="52" priority="31">
      <formula>AND(J14=DJ108,AC14=DJ109,AR14=DJ110,BH14=DJ111,BZ14=DJ112)</formula>
    </cfRule>
  </conditionalFormatting>
  <dataValidations count="9">
    <dataValidation type="list" allowBlank="1" showInputMessage="1" sqref="AC14:AM16" xr:uid="{00000000-0002-0000-0A00-000000000000}">
      <formula1>$DJ$109</formula1>
    </dataValidation>
    <dataValidation type="list" allowBlank="1" showInputMessage="1" sqref="AR14:AY16" xr:uid="{00000000-0002-0000-0A00-000001000000}">
      <formula1>$DJ$110</formula1>
    </dataValidation>
    <dataValidation type="list" allowBlank="1" showInputMessage="1" sqref="BH14:BU16" xr:uid="{00000000-0002-0000-0A00-000002000000}">
      <formula1>$DJ$111</formula1>
    </dataValidation>
    <dataValidation type="list" allowBlank="1" showInputMessage="1" sqref="BZ14:CG16" xr:uid="{00000000-0002-0000-0A00-000003000000}">
      <formula1>$DJ$112</formula1>
    </dataValidation>
    <dataValidation type="list" allowBlank="1" showInputMessage="1" sqref="L98 L94 L74 L78 L82 L86 L90" xr:uid="{9C3FF1F4-5333-481D-8019-8EDF0BAE8E79}">
      <formula1>$DJ$113:$DJ$114</formula1>
    </dataValidation>
    <dataValidation type="decimal" errorStyle="information" operator="greaterThan" allowBlank="1" showInputMessage="1" showErrorMessage="1" errorTitle="VD inputs should be &gt; 0.00 cy" error="If a truck load is REJECTED or Not Placed, click on &quot;Start Time or Load REJECTED or Not Placed&quot; (cell Lxx) for this truck, and use drop-down list to select &amp; apply &quot;REJECTED&quot; or &quot;Not Placed&quot;, &amp; input VD (cy) (cell AFxx)." sqref="AF42:AI101" xr:uid="{00000000-0002-0000-0A00-000005000000}">
      <formula1>0</formula1>
    </dataValidation>
    <dataValidation type="time" allowBlank="1" showInputMessage="1" showErrorMessage="1" errorTitle="Time Format Incorrect" error="This time is used in an equation.  Input format must produce a correct displayed time format.  For example &quot;4:00 pm&quot;, or &quot;4:00 PM&quot; or &quot;4 p&quot; would be OK.  Remember the blank space between &quot;pm&quot;  or &quot;am&quot;." sqref="H74:K101" xr:uid="{1816CB1B-6CDE-40CF-9BA3-4A29BC184FFD}">
      <formula1>0</formula1>
      <formula2>0.999988425925926</formula2>
    </dataValidation>
    <dataValidation type="time" allowBlank="1" showInputMessage="1" showErrorMessage="1" errorTitle=" Time Format  Incorrect" error="This time is used in an equation.  Input format must produce a correct displayed time format.  For example &quot;4:00 pm&quot;, or &quot;4:00 PM&quot; or &quot;4 p&quot; would be OK.  Remember the blank space between &quot;pm&quot;  or &quot;am&quot;." sqref="H42:K73 P42:S73" xr:uid="{00000000-0002-0000-0A00-000007000000}">
      <formula1>0</formula1>
      <formula2>0.999988425925926</formula2>
    </dataValidation>
    <dataValidation type="list" allowBlank="1" showInputMessage="1" errorTitle=" Time Format  Incorrect" error="This time is used in an equation.  Input format must produce a correct displayed time format.  For example &quot;4:00 pm&quot;, or &quot;4:00 PM&quot; or &quot;4 p&quot; would be OK.  Remember the blank space between &quot;pm&quot;  or &quot;am&quot;." sqref="L42:O73" xr:uid="{AD0B4802-8158-4E21-858E-77AFF1A49408}">
      <formula1>$DX$125:$DX$126</formula1>
    </dataValidation>
  </dataValidations>
  <printOptions horizontalCentered="1" verticalCentered="1"/>
  <pageMargins left="0" right="0" top="0" bottom="0" header="0" footer="0"/>
  <pageSetup scale="61" orientation="landscape" r:id="rId1"/>
  <ignoredErrors>
    <ignoredError sqref="J8 CQ42:CT101" unlockedFormula="1"/>
  </ignoredErrors>
  <extLst>
    <ext xmlns:x14="http://schemas.microsoft.com/office/spreadsheetml/2009/9/main" uri="{CCE6A557-97BC-4b89-ADB6-D9C93CAAB3DF}">
      <x14:dataValidations xmlns:xm="http://schemas.microsoft.com/office/excel/2006/main" count="8">
        <x14:dataValidation type="list" showInputMessage="1" xr:uid="{00000000-0002-0000-0A00-000009000000}">
          <x14:formula1>
            <xm:f>List!$H$2:$H$4</xm:f>
          </x14:formula1>
          <xm:sqref>J14:X16</xm:sqref>
        </x14:dataValidation>
        <x14:dataValidation type="list" allowBlank="1" showInputMessage="1" xr:uid="{00000000-0002-0000-0A00-00000A000000}">
          <x14:formula1>
            <xm:f>'Concr. Pg 1'!$DX$120:$ED$120</xm:f>
          </x14:formula1>
          <xm:sqref>J14:X16</xm:sqref>
        </x14:dataValidation>
        <x14:dataValidation type="list" allowBlank="1" showInputMessage="1" xr:uid="{00000000-0002-0000-0A00-00000B000000}">
          <x14:formula1>
            <xm:f>'Concr. Pg 1'!$DX$122</xm:f>
          </x14:formula1>
          <xm:sqref>AR14:AY16</xm:sqref>
        </x14:dataValidation>
        <x14:dataValidation type="list" allowBlank="1" showInputMessage="1" xr:uid="{00000000-0002-0000-0A00-00000C000000}">
          <x14:formula1>
            <xm:f>'Concr. Pg 1'!$DX$121</xm:f>
          </x14:formula1>
          <xm:sqref>AC14:AM16</xm:sqref>
        </x14:dataValidation>
        <x14:dataValidation type="list" allowBlank="1" showInputMessage="1" xr:uid="{00000000-0002-0000-0A00-00000D000000}">
          <x14:formula1>
            <xm:f>'Concr. Pg 1'!$DX$123:$ED$123</xm:f>
          </x14:formula1>
          <xm:sqref>BH14:BU16</xm:sqref>
        </x14:dataValidation>
        <x14:dataValidation type="list" allowBlank="1" showInputMessage="1" xr:uid="{00000000-0002-0000-0A00-00000E000000}">
          <x14:formula1>
            <xm:f>'Concr. Pg 1'!$DX$124:$ED$124</xm:f>
          </x14:formula1>
          <xm:sqref>BZ14:CG16</xm:sqref>
        </x14:dataValidation>
        <x14:dataValidation type="list" allowBlank="1" showInputMessage="1" xr:uid="{00000000-0002-0000-0A00-00000F000000}">
          <x14:formula1>
            <xm:f>List!$F$25:$F$32</xm:f>
          </x14:formula1>
          <xm:sqref>BX8:BZ10</xm:sqref>
        </x14:dataValidation>
        <x14:dataValidation type="list" showInputMessage="1" xr:uid="{00000000-0002-0000-0A00-000010000000}">
          <x14:formula1>
            <xm:f>List!$F$36:$F$43</xm:f>
          </x14:formula1>
          <xm:sqref>CD8:CF10</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9">
    <tabColor rgb="FF9AD35B"/>
    <pageSetUpPr fitToPage="1"/>
  </sheetPr>
  <dimension ref="A1:EV127"/>
  <sheetViews>
    <sheetView topLeftCell="A35" zoomScale="73" zoomScaleNormal="73" workbookViewId="0">
      <selection activeCell="H42" sqref="H42:K101"/>
    </sheetView>
  </sheetViews>
  <sheetFormatPr defaultColWidth="9.109375" defaultRowHeight="14.4"/>
  <cols>
    <col min="1" max="1" width="3.33203125" customWidth="1"/>
    <col min="2" max="86" width="2.5546875" customWidth="1"/>
    <col min="87" max="189" width="2.6640625" customWidth="1"/>
  </cols>
  <sheetData>
    <row r="1" spans="1:151" ht="9.6" customHeight="1">
      <c r="A1" s="1"/>
      <c r="B1" s="2242"/>
      <c r="C1" s="2242"/>
      <c r="D1" s="2242"/>
      <c r="E1" s="2242"/>
      <c r="F1" s="2242"/>
      <c r="G1" s="2242"/>
      <c r="H1" s="2242"/>
      <c r="I1" s="2242" t="s">
        <v>21</v>
      </c>
      <c r="J1" s="2242"/>
      <c r="K1" s="2242"/>
      <c r="L1" s="2242"/>
      <c r="M1" s="2242"/>
      <c r="N1" s="2242"/>
      <c r="O1" s="2242"/>
      <c r="P1" s="2242"/>
      <c r="Q1" s="2242"/>
      <c r="R1" s="2242"/>
      <c r="S1" s="2242"/>
      <c r="T1" s="2242"/>
      <c r="U1" s="2242"/>
      <c r="V1" s="2242"/>
      <c r="W1" s="2242"/>
      <c r="X1" s="2242"/>
      <c r="Y1" s="2242"/>
      <c r="Z1" s="2242"/>
      <c r="AA1" s="2242"/>
      <c r="AB1" s="2242"/>
      <c r="AC1" s="2242"/>
      <c r="AD1" s="2242"/>
      <c r="AE1" s="2242"/>
      <c r="AF1" s="2242"/>
      <c r="AG1" s="2242"/>
      <c r="AH1" s="2242"/>
      <c r="AI1" s="2242"/>
      <c r="AJ1" s="2242"/>
      <c r="AK1" s="2242"/>
      <c r="AL1" s="2242"/>
      <c r="AM1" s="2242"/>
      <c r="AN1" s="2242"/>
      <c r="AO1" s="2242"/>
      <c r="AP1" s="2242"/>
      <c r="AQ1" s="2242"/>
      <c r="AR1" s="2242"/>
      <c r="AS1" s="2242"/>
      <c r="AT1" s="2242"/>
      <c r="AU1" s="2242"/>
      <c r="AV1" s="2242"/>
      <c r="AW1" s="2242"/>
      <c r="AX1" s="2242"/>
      <c r="AY1" s="2242"/>
      <c r="AZ1" s="2242"/>
      <c r="BA1" s="2242"/>
      <c r="BB1" s="2242"/>
      <c r="BC1" s="2242"/>
      <c r="BD1" s="2242"/>
      <c r="BE1" s="2242"/>
      <c r="BF1" s="2242"/>
      <c r="BG1" s="2242"/>
      <c r="BH1" s="2242"/>
      <c r="BI1" s="2242"/>
      <c r="BJ1" s="2242"/>
      <c r="BK1" s="2242"/>
      <c r="BL1" s="2242"/>
      <c r="BM1" s="2242"/>
      <c r="BN1" s="2242"/>
      <c r="BO1" s="2242"/>
      <c r="BP1" s="2242"/>
      <c r="BQ1" s="2242"/>
      <c r="BR1" s="2242"/>
      <c r="BS1" s="2242"/>
      <c r="BT1" s="2242"/>
      <c r="BU1" s="2242"/>
      <c r="BV1" s="2242"/>
      <c r="BW1" s="2242"/>
      <c r="BX1" s="2242"/>
      <c r="BY1" s="2242"/>
      <c r="BZ1" s="2242"/>
      <c r="CA1" s="2242"/>
      <c r="CB1" s="2663" t="str">
        <f>'Concr. Pg 1'!CB1</f>
        <v>700-010-84</v>
      </c>
      <c r="CC1" s="2663"/>
      <c r="CD1" s="2663"/>
      <c r="CE1" s="2663"/>
      <c r="CF1" s="2663"/>
      <c r="CG1" s="2663"/>
      <c r="CH1" s="2663"/>
    </row>
    <row r="2" spans="1:151" ht="9.6" customHeight="1">
      <c r="A2" s="1"/>
      <c r="B2" s="2242"/>
      <c r="C2" s="2242"/>
      <c r="D2" s="2242"/>
      <c r="E2" s="2242"/>
      <c r="F2" s="2242"/>
      <c r="G2" s="2242"/>
      <c r="H2" s="2242"/>
      <c r="I2" s="2242"/>
      <c r="J2" s="2242"/>
      <c r="K2" s="2242"/>
      <c r="L2" s="2242"/>
      <c r="M2" s="2242"/>
      <c r="N2" s="2242"/>
      <c r="O2" s="2242"/>
      <c r="P2" s="2242"/>
      <c r="Q2" s="2242"/>
      <c r="R2" s="2242"/>
      <c r="S2" s="2242"/>
      <c r="T2" s="2242"/>
      <c r="U2" s="2242"/>
      <c r="V2" s="2242"/>
      <c r="W2" s="2242"/>
      <c r="X2" s="2242"/>
      <c r="Y2" s="2242"/>
      <c r="Z2" s="2242"/>
      <c r="AA2" s="2242"/>
      <c r="AB2" s="2242"/>
      <c r="AC2" s="2242"/>
      <c r="AD2" s="2242"/>
      <c r="AE2" s="2242"/>
      <c r="AF2" s="2242"/>
      <c r="AG2" s="2242"/>
      <c r="AH2" s="2242"/>
      <c r="AI2" s="2242"/>
      <c r="AJ2" s="2242"/>
      <c r="AK2" s="2242"/>
      <c r="AL2" s="2242"/>
      <c r="AM2" s="2242"/>
      <c r="AN2" s="2242"/>
      <c r="AO2" s="2242"/>
      <c r="AP2" s="2242"/>
      <c r="AQ2" s="2242"/>
      <c r="AR2" s="2242"/>
      <c r="AS2" s="2242"/>
      <c r="AT2" s="2242"/>
      <c r="AU2" s="2242"/>
      <c r="AV2" s="2242"/>
      <c r="AW2" s="2242"/>
      <c r="AX2" s="2242"/>
      <c r="AY2" s="2242"/>
      <c r="AZ2" s="2242"/>
      <c r="BA2" s="2242"/>
      <c r="BB2" s="2242"/>
      <c r="BC2" s="2242"/>
      <c r="BD2" s="2242"/>
      <c r="BE2" s="2242"/>
      <c r="BF2" s="2242"/>
      <c r="BG2" s="2242"/>
      <c r="BH2" s="2242"/>
      <c r="BI2" s="2242"/>
      <c r="BJ2" s="2242"/>
      <c r="BK2" s="2242"/>
      <c r="BL2" s="2242"/>
      <c r="BM2" s="2242"/>
      <c r="BN2" s="2242"/>
      <c r="BO2" s="2242"/>
      <c r="BP2" s="2242"/>
      <c r="BQ2" s="2242"/>
      <c r="BR2" s="2242"/>
      <c r="BS2" s="2242"/>
      <c r="BT2" s="2242"/>
      <c r="BU2" s="2242"/>
      <c r="BV2" s="2242"/>
      <c r="BW2" s="2242"/>
      <c r="BX2" s="2242"/>
      <c r="BY2" s="2242"/>
      <c r="BZ2" s="2242"/>
      <c r="CA2" s="2242"/>
      <c r="CB2" s="2663"/>
      <c r="CC2" s="2663"/>
      <c r="CD2" s="2663"/>
      <c r="CE2" s="2663"/>
      <c r="CF2" s="2663"/>
      <c r="CG2" s="2663"/>
      <c r="CH2" s="2663"/>
    </row>
    <row r="3" spans="1:151" ht="9.6" customHeight="1">
      <c r="A3" s="1"/>
      <c r="B3" s="2242"/>
      <c r="C3" s="2242"/>
      <c r="D3" s="2242"/>
      <c r="E3" s="2242"/>
      <c r="F3" s="2242"/>
      <c r="G3" s="2242"/>
      <c r="H3" s="2242"/>
      <c r="I3" s="2658" t="s">
        <v>22</v>
      </c>
      <c r="J3" s="2658"/>
      <c r="K3" s="2658"/>
      <c r="L3" s="2658"/>
      <c r="M3" s="2658"/>
      <c r="N3" s="2658"/>
      <c r="O3" s="2658"/>
      <c r="P3" s="2658"/>
      <c r="Q3" s="2658"/>
      <c r="R3" s="2658"/>
      <c r="S3" s="2658"/>
      <c r="T3" s="2658"/>
      <c r="U3" s="2658"/>
      <c r="V3" s="2658"/>
      <c r="W3" s="2658"/>
      <c r="X3" s="2658"/>
      <c r="Y3" s="2658"/>
      <c r="Z3" s="2658"/>
      <c r="AA3" s="2658"/>
      <c r="AB3" s="2658"/>
      <c r="AC3" s="2658"/>
      <c r="AD3" s="2658"/>
      <c r="AE3" s="2658"/>
      <c r="AF3" s="2658"/>
      <c r="AG3" s="2658"/>
      <c r="AH3" s="2658"/>
      <c r="AI3" s="2658"/>
      <c r="AJ3" s="2658"/>
      <c r="AK3" s="2658"/>
      <c r="AL3" s="2658"/>
      <c r="AM3" s="2658"/>
      <c r="AN3" s="2658"/>
      <c r="AO3" s="2658"/>
      <c r="AP3" s="2658"/>
      <c r="AQ3" s="2658"/>
      <c r="AR3" s="2658"/>
      <c r="AS3" s="2658"/>
      <c r="AT3" s="2658"/>
      <c r="AU3" s="2658"/>
      <c r="AV3" s="2658"/>
      <c r="AW3" s="2658"/>
      <c r="AX3" s="2658"/>
      <c r="AY3" s="2658"/>
      <c r="AZ3" s="2658"/>
      <c r="BA3" s="2658"/>
      <c r="BB3" s="2658"/>
      <c r="BC3" s="2658"/>
      <c r="BD3" s="2658"/>
      <c r="BE3" s="2658"/>
      <c r="BF3" s="2658"/>
      <c r="BG3" s="2658"/>
      <c r="BH3" s="2658"/>
      <c r="BI3" s="2658"/>
      <c r="BJ3" s="2658"/>
      <c r="BK3" s="2658"/>
      <c r="BL3" s="2658"/>
      <c r="BM3" s="2658"/>
      <c r="BN3" s="2658"/>
      <c r="BO3" s="2658"/>
      <c r="BP3" s="2658"/>
      <c r="BQ3" s="2658"/>
      <c r="BR3" s="2658"/>
      <c r="BS3" s="2658"/>
      <c r="BT3" s="2658"/>
      <c r="BU3" s="2658"/>
      <c r="BV3" s="2658"/>
      <c r="BW3" s="2658"/>
      <c r="BX3" s="2658"/>
      <c r="BY3" s="2658"/>
      <c r="BZ3" s="2658"/>
      <c r="CA3" s="2658"/>
      <c r="CB3" s="2663" t="s">
        <v>8</v>
      </c>
      <c r="CC3" s="2663"/>
      <c r="CD3" s="2663"/>
      <c r="CE3" s="2663"/>
      <c r="CF3" s="2663"/>
      <c r="CG3" s="2663"/>
      <c r="CH3" s="2663"/>
    </row>
    <row r="4" spans="1:151" ht="9.6" customHeight="1">
      <c r="A4" s="1"/>
      <c r="B4" s="2242"/>
      <c r="C4" s="2242"/>
      <c r="D4" s="2242"/>
      <c r="E4" s="2242"/>
      <c r="F4" s="2242"/>
      <c r="G4" s="2242"/>
      <c r="H4" s="2242"/>
      <c r="I4" s="2658"/>
      <c r="J4" s="2658"/>
      <c r="K4" s="2658"/>
      <c r="L4" s="2658"/>
      <c r="M4" s="2658"/>
      <c r="N4" s="2658"/>
      <c r="O4" s="2658"/>
      <c r="P4" s="2658"/>
      <c r="Q4" s="2658"/>
      <c r="R4" s="2658"/>
      <c r="S4" s="2658"/>
      <c r="T4" s="2658"/>
      <c r="U4" s="2658"/>
      <c r="V4" s="2658"/>
      <c r="W4" s="2658"/>
      <c r="X4" s="2658"/>
      <c r="Y4" s="2658"/>
      <c r="Z4" s="2658"/>
      <c r="AA4" s="2658"/>
      <c r="AB4" s="2658"/>
      <c r="AC4" s="2658"/>
      <c r="AD4" s="2658"/>
      <c r="AE4" s="2658"/>
      <c r="AF4" s="2658"/>
      <c r="AG4" s="2658"/>
      <c r="AH4" s="2658"/>
      <c r="AI4" s="2658"/>
      <c r="AJ4" s="2658"/>
      <c r="AK4" s="2658"/>
      <c r="AL4" s="2658"/>
      <c r="AM4" s="2658"/>
      <c r="AN4" s="2658"/>
      <c r="AO4" s="2658"/>
      <c r="AP4" s="2658"/>
      <c r="AQ4" s="2658"/>
      <c r="AR4" s="2658"/>
      <c r="AS4" s="2658"/>
      <c r="AT4" s="2658"/>
      <c r="AU4" s="2658"/>
      <c r="AV4" s="2658"/>
      <c r="AW4" s="2658"/>
      <c r="AX4" s="2658"/>
      <c r="AY4" s="2658"/>
      <c r="AZ4" s="2658"/>
      <c r="BA4" s="2658"/>
      <c r="BB4" s="2658"/>
      <c r="BC4" s="2658"/>
      <c r="BD4" s="2658"/>
      <c r="BE4" s="2658"/>
      <c r="BF4" s="2658"/>
      <c r="BG4" s="2658"/>
      <c r="BH4" s="2658"/>
      <c r="BI4" s="2658"/>
      <c r="BJ4" s="2658"/>
      <c r="BK4" s="2658"/>
      <c r="BL4" s="2658"/>
      <c r="BM4" s="2658"/>
      <c r="BN4" s="2658"/>
      <c r="BO4" s="2658"/>
      <c r="BP4" s="2658"/>
      <c r="BQ4" s="2658"/>
      <c r="BR4" s="2658"/>
      <c r="BS4" s="2658"/>
      <c r="BT4" s="2658"/>
      <c r="BU4" s="2658"/>
      <c r="BV4" s="2658"/>
      <c r="BW4" s="2658"/>
      <c r="BX4" s="2658"/>
      <c r="BY4" s="2658"/>
      <c r="BZ4" s="2658"/>
      <c r="CA4" s="2658"/>
      <c r="CB4" s="2663"/>
      <c r="CC4" s="2663"/>
      <c r="CD4" s="2663"/>
      <c r="CE4" s="2663"/>
      <c r="CF4" s="2663"/>
      <c r="CG4" s="2663"/>
      <c r="CH4" s="2663"/>
    </row>
    <row r="5" spans="1:151" ht="9.6" customHeight="1">
      <c r="A5" s="1"/>
      <c r="B5" s="2242"/>
      <c r="C5" s="2242"/>
      <c r="D5" s="2242"/>
      <c r="E5" s="2242"/>
      <c r="F5" s="2242"/>
      <c r="G5" s="2242"/>
      <c r="H5" s="2242"/>
      <c r="I5" s="2658"/>
      <c r="J5" s="2658"/>
      <c r="K5" s="2658"/>
      <c r="L5" s="2658"/>
      <c r="M5" s="2658"/>
      <c r="N5" s="2658"/>
      <c r="O5" s="2658"/>
      <c r="P5" s="2658"/>
      <c r="Q5" s="2658"/>
      <c r="R5" s="2658"/>
      <c r="S5" s="2658"/>
      <c r="T5" s="2658"/>
      <c r="U5" s="2658"/>
      <c r="V5" s="2658"/>
      <c r="W5" s="2658"/>
      <c r="X5" s="2658"/>
      <c r="Y5" s="2658"/>
      <c r="Z5" s="2658"/>
      <c r="AA5" s="2658"/>
      <c r="AB5" s="2658"/>
      <c r="AC5" s="2658"/>
      <c r="AD5" s="2658"/>
      <c r="AE5" s="2658"/>
      <c r="AF5" s="2658"/>
      <c r="AG5" s="2658"/>
      <c r="AH5" s="2658"/>
      <c r="AI5" s="2658"/>
      <c r="AJ5" s="2658"/>
      <c r="AK5" s="2658"/>
      <c r="AL5" s="2658"/>
      <c r="AM5" s="2658"/>
      <c r="AN5" s="2658"/>
      <c r="AO5" s="2658"/>
      <c r="AP5" s="2658"/>
      <c r="AQ5" s="2658"/>
      <c r="AR5" s="2658"/>
      <c r="AS5" s="2658"/>
      <c r="AT5" s="2658"/>
      <c r="AU5" s="2658"/>
      <c r="AV5" s="2658"/>
      <c r="AW5" s="2658"/>
      <c r="AX5" s="2658"/>
      <c r="AY5" s="2658"/>
      <c r="AZ5" s="2658"/>
      <c r="BA5" s="2658"/>
      <c r="BB5" s="2658"/>
      <c r="BC5" s="2658"/>
      <c r="BD5" s="2658"/>
      <c r="BE5" s="2658"/>
      <c r="BF5" s="2658"/>
      <c r="BG5" s="2658"/>
      <c r="BH5" s="2658"/>
      <c r="BI5" s="2658"/>
      <c r="BJ5" s="2658"/>
      <c r="BK5" s="2658"/>
      <c r="BL5" s="2658"/>
      <c r="BM5" s="2658"/>
      <c r="BN5" s="2658"/>
      <c r="BO5" s="2658"/>
      <c r="BP5" s="2658"/>
      <c r="BQ5" s="2658"/>
      <c r="BR5" s="2658"/>
      <c r="BS5" s="2658"/>
      <c r="BT5" s="2658"/>
      <c r="BU5" s="2658"/>
      <c r="BV5" s="2658"/>
      <c r="BW5" s="2658"/>
      <c r="BX5" s="2658"/>
      <c r="BY5" s="2658"/>
      <c r="BZ5" s="2658"/>
      <c r="CA5" s="2658"/>
      <c r="CB5" s="2664">
        <f>'Concr. Pg 1'!CB5:CH6</f>
        <v>45222</v>
      </c>
      <c r="CC5" s="2665"/>
      <c r="CD5" s="2665"/>
      <c r="CE5" s="2665"/>
      <c r="CF5" s="2665"/>
      <c r="CG5" s="2665"/>
      <c r="CH5" s="2665"/>
    </row>
    <row r="6" spans="1:151" ht="9.6" customHeight="1" thickBot="1">
      <c r="A6" s="1"/>
      <c r="B6" s="2242"/>
      <c r="C6" s="2242"/>
      <c r="D6" s="2242"/>
      <c r="E6" s="2242"/>
      <c r="F6" s="2242"/>
      <c r="G6" s="2242"/>
      <c r="H6" s="2242"/>
      <c r="I6" s="2242"/>
      <c r="J6" s="2242"/>
      <c r="K6" s="2242"/>
      <c r="L6" s="2242"/>
      <c r="M6" s="2242"/>
      <c r="N6" s="2242"/>
      <c r="O6" s="2242"/>
      <c r="P6" s="2242"/>
      <c r="Q6" s="2242"/>
      <c r="R6" s="2242"/>
      <c r="S6" s="2242"/>
      <c r="T6" s="2242"/>
      <c r="U6" s="2242"/>
      <c r="V6" s="2242"/>
      <c r="W6" s="2242"/>
      <c r="X6" s="2242"/>
      <c r="Y6" s="2242"/>
      <c r="Z6" s="2242"/>
      <c r="AA6" s="2242"/>
      <c r="AB6" s="2242"/>
      <c r="AC6" s="2242"/>
      <c r="AD6" s="2242"/>
      <c r="AE6" s="2242"/>
      <c r="AF6" s="2242"/>
      <c r="AG6" s="2242"/>
      <c r="AH6" s="2242"/>
      <c r="AI6" s="2242"/>
      <c r="AJ6" s="2242"/>
      <c r="AK6" s="2242"/>
      <c r="AL6" s="2242"/>
      <c r="AM6" s="2242"/>
      <c r="AN6" s="2242"/>
      <c r="AO6" s="2242"/>
      <c r="AP6" s="2242"/>
      <c r="AQ6" s="2242"/>
      <c r="AR6" s="2242"/>
      <c r="AS6" s="2242"/>
      <c r="AT6" s="2242"/>
      <c r="AU6" s="2242"/>
      <c r="AV6" s="2242"/>
      <c r="AW6" s="2242"/>
      <c r="AX6" s="2242"/>
      <c r="AY6" s="2242"/>
      <c r="AZ6" s="2242"/>
      <c r="BA6" s="2242"/>
      <c r="BB6" s="2242"/>
      <c r="BC6" s="2242"/>
      <c r="BD6" s="2242"/>
      <c r="BE6" s="2242"/>
      <c r="BF6" s="2242"/>
      <c r="BG6" s="2242"/>
      <c r="BH6" s="2242"/>
      <c r="BI6" s="2242"/>
      <c r="BJ6" s="2242"/>
      <c r="BK6" s="2242"/>
      <c r="BL6" s="2242"/>
      <c r="BM6" s="2242"/>
      <c r="BN6" s="2242"/>
      <c r="BO6" s="2242"/>
      <c r="BP6" s="2242"/>
      <c r="BQ6" s="2242"/>
      <c r="BR6" s="2242"/>
      <c r="BS6" s="2242"/>
      <c r="BT6" s="2242"/>
      <c r="BU6" s="2242"/>
      <c r="BV6" s="2242"/>
      <c r="BW6" s="2242"/>
      <c r="BX6" s="2242"/>
      <c r="BY6" s="2242"/>
      <c r="BZ6" s="2242"/>
      <c r="CA6" s="2242"/>
      <c r="CB6" s="2665"/>
      <c r="CC6" s="2665"/>
      <c r="CD6" s="2665"/>
      <c r="CE6" s="2665"/>
      <c r="CF6" s="2665"/>
      <c r="CG6" s="2665"/>
      <c r="CH6" s="2665"/>
    </row>
    <row r="7" spans="1:151" ht="9.6" customHeight="1">
      <c r="A7" s="1"/>
      <c r="B7" s="2643"/>
      <c r="C7" s="2644"/>
      <c r="D7" s="2644"/>
      <c r="E7" s="2644"/>
      <c r="F7" s="2644"/>
      <c r="G7" s="2644"/>
      <c r="H7" s="2644"/>
      <c r="I7" s="2644"/>
      <c r="J7" s="2644"/>
      <c r="K7" s="2644"/>
      <c r="L7" s="2644"/>
      <c r="M7" s="2644"/>
      <c r="N7" s="2644"/>
      <c r="O7" s="2644"/>
      <c r="P7" s="2644"/>
      <c r="Q7" s="2644"/>
      <c r="R7" s="2644"/>
      <c r="S7" s="2644"/>
      <c r="T7" s="2644"/>
      <c r="U7" s="2644"/>
      <c r="V7" s="2644"/>
      <c r="W7" s="2644"/>
      <c r="X7" s="2644"/>
      <c r="Y7" s="2644"/>
      <c r="Z7" s="2644"/>
      <c r="AA7" s="2644"/>
      <c r="AB7" s="2644"/>
      <c r="AC7" s="2644"/>
      <c r="AD7" s="2644"/>
      <c r="AE7" s="2644"/>
      <c r="AF7" s="2644"/>
      <c r="AG7" s="2644"/>
      <c r="AH7" s="2644"/>
      <c r="AI7" s="2644"/>
      <c r="AJ7" s="2644"/>
      <c r="AK7" s="2644"/>
      <c r="AL7" s="2644"/>
      <c r="AM7" s="2644"/>
      <c r="AN7" s="2644"/>
      <c r="AO7" s="2644"/>
      <c r="AP7" s="2644"/>
      <c r="AQ7" s="2644"/>
      <c r="AR7" s="2644"/>
      <c r="AS7" s="2644"/>
      <c r="AT7" s="2644"/>
      <c r="AU7" s="2644"/>
      <c r="AV7" s="2644"/>
      <c r="AW7" s="2644"/>
      <c r="AX7" s="2644"/>
      <c r="AY7" s="2644"/>
      <c r="AZ7" s="2644"/>
      <c r="BA7" s="2644"/>
      <c r="BB7" s="2644"/>
      <c r="BC7" s="2644"/>
      <c r="BD7" s="2644"/>
      <c r="BE7" s="2644"/>
      <c r="BF7" s="2644"/>
      <c r="BG7" s="2644"/>
      <c r="BH7" s="2644"/>
      <c r="BI7" s="2644"/>
      <c r="BJ7" s="2644"/>
      <c r="BK7" s="2644"/>
      <c r="BL7" s="2644"/>
      <c r="BM7" s="2644"/>
      <c r="BN7" s="2644"/>
      <c r="BO7" s="2644"/>
      <c r="BP7" s="2644"/>
      <c r="BQ7" s="2644"/>
      <c r="BR7" s="2644"/>
      <c r="BS7" s="2644"/>
      <c r="BT7" s="2644"/>
      <c r="BU7" s="2644"/>
      <c r="BV7" s="2644"/>
      <c r="BW7" s="2644"/>
      <c r="BX7" s="2644"/>
      <c r="BY7" s="2644"/>
      <c r="BZ7" s="2644"/>
      <c r="CA7" s="2644"/>
      <c r="CB7" s="2644"/>
      <c r="CC7" s="2644"/>
      <c r="CD7" s="2644"/>
      <c r="CE7" s="2644"/>
      <c r="CF7" s="2644"/>
      <c r="CG7" s="2644"/>
      <c r="CH7" s="2645"/>
    </row>
    <row r="8" spans="1:151" ht="9.6" customHeight="1">
      <c r="A8" s="1"/>
      <c r="B8" s="2638" t="s">
        <v>45</v>
      </c>
      <c r="C8" s="2639"/>
      <c r="D8" s="2639"/>
      <c r="E8" s="2639"/>
      <c r="F8" s="2639"/>
      <c r="G8" s="2639"/>
      <c r="H8" s="2639"/>
      <c r="I8" s="2639"/>
      <c r="J8" s="2891" t="str">
        <f>IF('Concr. Pg 1'!J8:AC10="","",'Concr. Pg 1'!J8:AC10)</f>
        <v/>
      </c>
      <c r="K8" s="2891"/>
      <c r="L8" s="2891"/>
      <c r="M8" s="2891"/>
      <c r="N8" s="2891"/>
      <c r="O8" s="2891"/>
      <c r="P8" s="2891"/>
      <c r="Q8" s="2891"/>
      <c r="R8" s="2891"/>
      <c r="S8" s="2891"/>
      <c r="T8" s="2891"/>
      <c r="U8" s="2891"/>
      <c r="V8" s="2891"/>
      <c r="W8" s="2891"/>
      <c r="X8" s="2891"/>
      <c r="Y8" s="2891"/>
      <c r="Z8" s="2891"/>
      <c r="AA8" s="2891"/>
      <c r="AB8" s="2891"/>
      <c r="AC8" s="2891"/>
      <c r="AD8" s="1859"/>
      <c r="AE8" s="1859"/>
      <c r="AF8" s="2639" t="s">
        <v>49</v>
      </c>
      <c r="AG8" s="2639"/>
      <c r="AH8" s="2639"/>
      <c r="AI8" s="2639"/>
      <c r="AJ8" s="2639"/>
      <c r="AK8" s="2893" t="str">
        <f>IF('Concr. Pg 1'!AK8:AP10="","",'Concr. Pg 1'!AK8:AP10)</f>
        <v/>
      </c>
      <c r="AL8" s="2893"/>
      <c r="AM8" s="2893"/>
      <c r="AN8" s="2893"/>
      <c r="AO8" s="2893"/>
      <c r="AP8" s="2893"/>
      <c r="AQ8" s="2893"/>
      <c r="AR8" s="2893"/>
      <c r="AS8" s="1859"/>
      <c r="AT8" s="1859"/>
      <c r="AU8" s="2639" t="s">
        <v>152</v>
      </c>
      <c r="AV8" s="2639"/>
      <c r="AW8" s="2639"/>
      <c r="AX8" s="2639"/>
      <c r="AY8" s="2639"/>
      <c r="AZ8" s="2639"/>
      <c r="BA8" s="2639"/>
      <c r="BB8" s="2639"/>
      <c r="BC8" s="2639"/>
      <c r="BD8" s="2639"/>
      <c r="BE8" s="2891" t="str">
        <f>IF('Concr. Pg 1'!BE8="","",'Concr. Pg 1'!BE8)</f>
        <v/>
      </c>
      <c r="BF8" s="2891"/>
      <c r="BG8" s="2891"/>
      <c r="BH8" s="2891"/>
      <c r="BI8" s="2891"/>
      <c r="BJ8" s="2891"/>
      <c r="BK8" s="2891"/>
      <c r="BL8" s="2891"/>
      <c r="BM8" s="2891"/>
      <c r="BN8" s="2891"/>
      <c r="BO8" s="2891"/>
      <c r="BP8" s="2662"/>
      <c r="BQ8" s="2662"/>
      <c r="BR8" s="2662"/>
      <c r="BS8" s="2662"/>
      <c r="BT8" s="2653" t="s">
        <v>10</v>
      </c>
      <c r="BU8" s="2653"/>
      <c r="BV8" s="2653"/>
      <c r="BW8" s="2653"/>
      <c r="BX8" s="2660">
        <v>4</v>
      </c>
      <c r="BY8" s="2660"/>
      <c r="BZ8" s="2660"/>
      <c r="CA8" s="2653" t="s">
        <v>981</v>
      </c>
      <c r="CB8" s="2653"/>
      <c r="CC8" s="2653"/>
      <c r="CD8" s="2660"/>
      <c r="CE8" s="2660"/>
      <c r="CF8" s="2660"/>
      <c r="CG8" s="2669"/>
      <c r="CH8" s="2670"/>
    </row>
    <row r="9" spans="1:151" ht="9.6" customHeight="1">
      <c r="A9" s="1"/>
      <c r="B9" s="2638"/>
      <c r="C9" s="2639"/>
      <c r="D9" s="2639"/>
      <c r="E9" s="2639"/>
      <c r="F9" s="2639"/>
      <c r="G9" s="2639"/>
      <c r="H9" s="2639"/>
      <c r="I9" s="2639"/>
      <c r="J9" s="2891"/>
      <c r="K9" s="2891"/>
      <c r="L9" s="2891"/>
      <c r="M9" s="2891"/>
      <c r="N9" s="2891"/>
      <c r="O9" s="2891"/>
      <c r="P9" s="2891"/>
      <c r="Q9" s="2891"/>
      <c r="R9" s="2891"/>
      <c r="S9" s="2891"/>
      <c r="T9" s="2891"/>
      <c r="U9" s="2891"/>
      <c r="V9" s="2891"/>
      <c r="W9" s="2891"/>
      <c r="X9" s="2891"/>
      <c r="Y9" s="2891"/>
      <c r="Z9" s="2891"/>
      <c r="AA9" s="2891"/>
      <c r="AB9" s="2891"/>
      <c r="AC9" s="2891"/>
      <c r="AD9" s="1859"/>
      <c r="AE9" s="1859"/>
      <c r="AF9" s="2639"/>
      <c r="AG9" s="2639"/>
      <c r="AH9" s="2639"/>
      <c r="AI9" s="2639"/>
      <c r="AJ9" s="2639"/>
      <c r="AK9" s="2893"/>
      <c r="AL9" s="2893"/>
      <c r="AM9" s="2893"/>
      <c r="AN9" s="2893"/>
      <c r="AO9" s="2893"/>
      <c r="AP9" s="2893"/>
      <c r="AQ9" s="2893"/>
      <c r="AR9" s="2893"/>
      <c r="AS9" s="1859"/>
      <c r="AT9" s="1859"/>
      <c r="AU9" s="2639"/>
      <c r="AV9" s="2639"/>
      <c r="AW9" s="2639"/>
      <c r="AX9" s="2639"/>
      <c r="AY9" s="2639"/>
      <c r="AZ9" s="2639"/>
      <c r="BA9" s="2639"/>
      <c r="BB9" s="2639"/>
      <c r="BC9" s="2639"/>
      <c r="BD9" s="2639"/>
      <c r="BE9" s="2891"/>
      <c r="BF9" s="2891"/>
      <c r="BG9" s="2891"/>
      <c r="BH9" s="2891"/>
      <c r="BI9" s="2891"/>
      <c r="BJ9" s="2891"/>
      <c r="BK9" s="2891"/>
      <c r="BL9" s="2891"/>
      <c r="BM9" s="2891"/>
      <c r="BN9" s="2891"/>
      <c r="BO9" s="2891"/>
      <c r="BP9" s="2662"/>
      <c r="BQ9" s="2662"/>
      <c r="BR9" s="2662"/>
      <c r="BS9" s="2662"/>
      <c r="BT9" s="2653"/>
      <c r="BU9" s="2653"/>
      <c r="BV9" s="2653"/>
      <c r="BW9" s="2653"/>
      <c r="BX9" s="2660"/>
      <c r="BY9" s="2660"/>
      <c r="BZ9" s="2660"/>
      <c r="CA9" s="2653"/>
      <c r="CB9" s="2653"/>
      <c r="CC9" s="2653"/>
      <c r="CD9" s="2660"/>
      <c r="CE9" s="2660"/>
      <c r="CF9" s="2660"/>
      <c r="CG9" s="2669"/>
      <c r="CH9" s="2670"/>
    </row>
    <row r="10" spans="1:151" ht="9.6" customHeight="1">
      <c r="A10" s="1"/>
      <c r="B10" s="2638"/>
      <c r="C10" s="2639"/>
      <c r="D10" s="2639"/>
      <c r="E10" s="2639"/>
      <c r="F10" s="2639"/>
      <c r="G10" s="2639"/>
      <c r="H10" s="2639"/>
      <c r="I10" s="2639"/>
      <c r="J10" s="2892"/>
      <c r="K10" s="2892"/>
      <c r="L10" s="2892"/>
      <c r="M10" s="2892"/>
      <c r="N10" s="2892"/>
      <c r="O10" s="2892"/>
      <c r="P10" s="2892"/>
      <c r="Q10" s="2892"/>
      <c r="R10" s="2892"/>
      <c r="S10" s="2892"/>
      <c r="T10" s="2892"/>
      <c r="U10" s="2892"/>
      <c r="V10" s="2892"/>
      <c r="W10" s="2892"/>
      <c r="X10" s="2892"/>
      <c r="Y10" s="2892"/>
      <c r="Z10" s="2892"/>
      <c r="AA10" s="2892"/>
      <c r="AB10" s="2892"/>
      <c r="AC10" s="2892"/>
      <c r="AD10" s="1859"/>
      <c r="AE10" s="1859"/>
      <c r="AF10" s="2639"/>
      <c r="AG10" s="2639"/>
      <c r="AH10" s="2639"/>
      <c r="AI10" s="2639"/>
      <c r="AJ10" s="2639"/>
      <c r="AK10" s="2894"/>
      <c r="AL10" s="2894"/>
      <c r="AM10" s="2894"/>
      <c r="AN10" s="2894"/>
      <c r="AO10" s="2894"/>
      <c r="AP10" s="2894"/>
      <c r="AQ10" s="2894"/>
      <c r="AR10" s="2894"/>
      <c r="AS10" s="1859"/>
      <c r="AT10" s="1859"/>
      <c r="AU10" s="2639"/>
      <c r="AV10" s="2639"/>
      <c r="AW10" s="2639"/>
      <c r="AX10" s="2639"/>
      <c r="AY10" s="2639"/>
      <c r="AZ10" s="2639"/>
      <c r="BA10" s="2639"/>
      <c r="BB10" s="2639"/>
      <c r="BC10" s="2639"/>
      <c r="BD10" s="2639"/>
      <c r="BE10" s="2892"/>
      <c r="BF10" s="2892"/>
      <c r="BG10" s="2892"/>
      <c r="BH10" s="2892"/>
      <c r="BI10" s="2892"/>
      <c r="BJ10" s="2892"/>
      <c r="BK10" s="2892"/>
      <c r="BL10" s="2892"/>
      <c r="BM10" s="2892"/>
      <c r="BN10" s="2892"/>
      <c r="BO10" s="2892"/>
      <c r="BP10" s="2662"/>
      <c r="BQ10" s="2662"/>
      <c r="BR10" s="2662"/>
      <c r="BS10" s="2662"/>
      <c r="BT10" s="2653"/>
      <c r="BU10" s="2653"/>
      <c r="BV10" s="2653"/>
      <c r="BW10" s="2653"/>
      <c r="BX10" s="2661"/>
      <c r="BY10" s="2661"/>
      <c r="BZ10" s="2661"/>
      <c r="CA10" s="2653"/>
      <c r="CB10" s="2653"/>
      <c r="CC10" s="2653"/>
      <c r="CD10" s="2661"/>
      <c r="CE10" s="2661"/>
      <c r="CF10" s="2661"/>
      <c r="CG10" s="2669"/>
      <c r="CH10" s="2670"/>
    </row>
    <row r="11" spans="1:151" ht="9.6" customHeight="1">
      <c r="A11" s="1"/>
      <c r="B11" s="2638" t="s">
        <v>46</v>
      </c>
      <c r="C11" s="2639"/>
      <c r="D11" s="2639"/>
      <c r="E11" s="2639"/>
      <c r="F11" s="2639"/>
      <c r="G11" s="2639"/>
      <c r="H11" s="2639"/>
      <c r="I11" s="2639"/>
      <c r="J11" s="2891" t="str">
        <f>IF('Concr. Pg 1'!J11:AC13="","",'Concr. Pg 1'!J11:AC13)</f>
        <v/>
      </c>
      <c r="K11" s="2891"/>
      <c r="L11" s="2891"/>
      <c r="M11" s="2891"/>
      <c r="N11" s="2891"/>
      <c r="O11" s="2891"/>
      <c r="P11" s="2891"/>
      <c r="Q11" s="2891"/>
      <c r="R11" s="2891"/>
      <c r="S11" s="2891"/>
      <c r="T11" s="2891"/>
      <c r="U11" s="2891"/>
      <c r="V11" s="2891"/>
      <c r="W11" s="2891"/>
      <c r="X11" s="2891"/>
      <c r="Y11" s="2891"/>
      <c r="Z11" s="2891"/>
      <c r="AA11" s="2891"/>
      <c r="AB11" s="2891"/>
      <c r="AC11" s="2891"/>
      <c r="AD11" s="1859"/>
      <c r="AE11" s="1859"/>
      <c r="AF11" s="2653" t="s">
        <v>122</v>
      </c>
      <c r="AG11" s="2653"/>
      <c r="AH11" s="2653"/>
      <c r="AI11" s="2653"/>
      <c r="AJ11" s="2653"/>
      <c r="AK11" s="2900" t="str">
        <f>IF('Concr. Pg 1'!AK11:AP13="","",'Concr. Pg 1'!AK11:AP13)</f>
        <v/>
      </c>
      <c r="AL11" s="2900"/>
      <c r="AM11" s="2900"/>
      <c r="AN11" s="2900"/>
      <c r="AO11" s="2900"/>
      <c r="AP11" s="2900"/>
      <c r="AQ11" s="2900"/>
      <c r="AR11" s="2900"/>
      <c r="AS11" s="1859"/>
      <c r="AT11" s="1859"/>
      <c r="AU11" s="2639" t="s">
        <v>50</v>
      </c>
      <c r="AV11" s="2639"/>
      <c r="AW11" s="2639"/>
      <c r="AX11" s="2639"/>
      <c r="AY11" s="2639"/>
      <c r="AZ11" s="2639"/>
      <c r="BA11" s="2891" t="str">
        <f>IF('Concr. Pg 1'!BA11="","",'Concr. Pg 1'!BA11)</f>
        <v/>
      </c>
      <c r="BB11" s="2891"/>
      <c r="BC11" s="2891"/>
      <c r="BD11" s="2891"/>
      <c r="BE11" s="2891"/>
      <c r="BF11" s="2891"/>
      <c r="BG11" s="2891"/>
      <c r="BH11" s="2891"/>
      <c r="BI11" s="2891"/>
      <c r="BJ11" s="2891"/>
      <c r="BK11" s="2891"/>
      <c r="BL11" s="2891"/>
      <c r="BM11" s="2891"/>
      <c r="BN11" s="2891"/>
      <c r="BO11" s="2891"/>
      <c r="BP11" s="2639" t="s">
        <v>153</v>
      </c>
      <c r="BQ11" s="2639"/>
      <c r="BR11" s="2639"/>
      <c r="BS11" s="2639"/>
      <c r="BT11" s="2639"/>
      <c r="BU11" s="2639"/>
      <c r="BV11" s="2891" t="str">
        <f>IF('Concr. Pg 1'!BV11:CD13="","",'Concr. Pg 1'!BV11:CD13)</f>
        <v/>
      </c>
      <c r="BW11" s="2891"/>
      <c r="BX11" s="2891"/>
      <c r="BY11" s="2891"/>
      <c r="BZ11" s="2891"/>
      <c r="CA11" s="2891"/>
      <c r="CB11" s="2891"/>
      <c r="CC11" s="2891"/>
      <c r="CD11" s="2891"/>
      <c r="CE11" s="2891"/>
      <c r="CF11" s="2891"/>
      <c r="CG11" s="2891"/>
      <c r="CH11" s="758"/>
      <c r="CI11" s="22"/>
      <c r="CJ11" s="22"/>
      <c r="CK11" s="22"/>
    </row>
    <row r="12" spans="1:151" ht="9.6" customHeight="1">
      <c r="A12" s="1"/>
      <c r="B12" s="2638"/>
      <c r="C12" s="2639"/>
      <c r="D12" s="2639"/>
      <c r="E12" s="2639"/>
      <c r="F12" s="2639"/>
      <c r="G12" s="2639"/>
      <c r="H12" s="2639"/>
      <c r="I12" s="2639"/>
      <c r="J12" s="2891"/>
      <c r="K12" s="2891"/>
      <c r="L12" s="2891"/>
      <c r="M12" s="2891"/>
      <c r="N12" s="2891"/>
      <c r="O12" s="2891"/>
      <c r="P12" s="2891"/>
      <c r="Q12" s="2891"/>
      <c r="R12" s="2891"/>
      <c r="S12" s="2891"/>
      <c r="T12" s="2891"/>
      <c r="U12" s="2891"/>
      <c r="V12" s="2891"/>
      <c r="W12" s="2891"/>
      <c r="X12" s="2891"/>
      <c r="Y12" s="2891"/>
      <c r="Z12" s="2891"/>
      <c r="AA12" s="2891"/>
      <c r="AB12" s="2891"/>
      <c r="AC12" s="2891"/>
      <c r="AD12" s="1859"/>
      <c r="AE12" s="1859"/>
      <c r="AF12" s="2653"/>
      <c r="AG12" s="2653"/>
      <c r="AH12" s="2653"/>
      <c r="AI12" s="2653"/>
      <c r="AJ12" s="2653"/>
      <c r="AK12" s="2893"/>
      <c r="AL12" s="2893"/>
      <c r="AM12" s="2893"/>
      <c r="AN12" s="2893"/>
      <c r="AO12" s="2893"/>
      <c r="AP12" s="2893"/>
      <c r="AQ12" s="2893"/>
      <c r="AR12" s="2893"/>
      <c r="AS12" s="1859"/>
      <c r="AT12" s="1859"/>
      <c r="AU12" s="2639"/>
      <c r="AV12" s="2639"/>
      <c r="AW12" s="2639"/>
      <c r="AX12" s="2639"/>
      <c r="AY12" s="2639"/>
      <c r="AZ12" s="2639"/>
      <c r="BA12" s="2891"/>
      <c r="BB12" s="2891"/>
      <c r="BC12" s="2891"/>
      <c r="BD12" s="2891"/>
      <c r="BE12" s="2891"/>
      <c r="BF12" s="2891"/>
      <c r="BG12" s="2891"/>
      <c r="BH12" s="2891"/>
      <c r="BI12" s="2891"/>
      <c r="BJ12" s="2891"/>
      <c r="BK12" s="2891"/>
      <c r="BL12" s="2891"/>
      <c r="BM12" s="2891"/>
      <c r="BN12" s="2891"/>
      <c r="BO12" s="2891"/>
      <c r="BP12" s="2639"/>
      <c r="BQ12" s="2639"/>
      <c r="BR12" s="2639"/>
      <c r="BS12" s="2639"/>
      <c r="BT12" s="2639"/>
      <c r="BU12" s="2639"/>
      <c r="BV12" s="2891"/>
      <c r="BW12" s="2891"/>
      <c r="BX12" s="2891"/>
      <c r="BY12" s="2891"/>
      <c r="BZ12" s="2891"/>
      <c r="CA12" s="2891"/>
      <c r="CB12" s="2891"/>
      <c r="CC12" s="2891"/>
      <c r="CD12" s="2891"/>
      <c r="CE12" s="2891"/>
      <c r="CF12" s="2891"/>
      <c r="CG12" s="2891"/>
      <c r="CH12" s="758"/>
      <c r="CI12" s="22"/>
      <c r="CJ12" s="22"/>
      <c r="CK12" s="22"/>
      <c r="CL12" s="22"/>
      <c r="CN12" s="22"/>
    </row>
    <row r="13" spans="1:151" ht="9.6" customHeight="1">
      <c r="A13" s="1"/>
      <c r="B13" s="2638"/>
      <c r="C13" s="2639"/>
      <c r="D13" s="2639"/>
      <c r="E13" s="2639"/>
      <c r="F13" s="2639"/>
      <c r="G13" s="2639"/>
      <c r="H13" s="2639"/>
      <c r="I13" s="2639"/>
      <c r="J13" s="2892"/>
      <c r="K13" s="2892"/>
      <c r="L13" s="2892"/>
      <c r="M13" s="2892"/>
      <c r="N13" s="2892"/>
      <c r="O13" s="2892"/>
      <c r="P13" s="2892"/>
      <c r="Q13" s="2892"/>
      <c r="R13" s="2892"/>
      <c r="S13" s="2892"/>
      <c r="T13" s="2892"/>
      <c r="U13" s="2892"/>
      <c r="V13" s="2892"/>
      <c r="W13" s="2892"/>
      <c r="X13" s="2892"/>
      <c r="Y13" s="2892"/>
      <c r="Z13" s="2892"/>
      <c r="AA13" s="2892"/>
      <c r="AB13" s="2892"/>
      <c r="AC13" s="2892"/>
      <c r="AD13" s="1859"/>
      <c r="AE13" s="1859"/>
      <c r="AF13" s="2653"/>
      <c r="AG13" s="2653"/>
      <c r="AH13" s="2653"/>
      <c r="AI13" s="2653"/>
      <c r="AJ13" s="2653"/>
      <c r="AK13" s="2894"/>
      <c r="AL13" s="2894"/>
      <c r="AM13" s="2894"/>
      <c r="AN13" s="2894"/>
      <c r="AO13" s="2894"/>
      <c r="AP13" s="2894"/>
      <c r="AQ13" s="2894"/>
      <c r="AR13" s="2894"/>
      <c r="AS13" s="1859"/>
      <c r="AT13" s="1859"/>
      <c r="AU13" s="2639"/>
      <c r="AV13" s="2639"/>
      <c r="AW13" s="2639"/>
      <c r="AX13" s="2639"/>
      <c r="AY13" s="2639"/>
      <c r="AZ13" s="2639"/>
      <c r="BA13" s="2892"/>
      <c r="BB13" s="2892"/>
      <c r="BC13" s="2892"/>
      <c r="BD13" s="2892"/>
      <c r="BE13" s="2892"/>
      <c r="BF13" s="2892"/>
      <c r="BG13" s="2892"/>
      <c r="BH13" s="2892"/>
      <c r="BI13" s="2892"/>
      <c r="BJ13" s="2892"/>
      <c r="BK13" s="2892"/>
      <c r="BL13" s="2892"/>
      <c r="BM13" s="2892"/>
      <c r="BN13" s="2892"/>
      <c r="BO13" s="2892"/>
      <c r="BP13" s="2639"/>
      <c r="BQ13" s="2639"/>
      <c r="BR13" s="2639"/>
      <c r="BS13" s="2639"/>
      <c r="BT13" s="2639"/>
      <c r="BU13" s="2639"/>
      <c r="BV13" s="2891"/>
      <c r="BW13" s="2891"/>
      <c r="BX13" s="2891"/>
      <c r="BY13" s="2891"/>
      <c r="BZ13" s="2891"/>
      <c r="CA13" s="2891"/>
      <c r="CB13" s="2891"/>
      <c r="CC13" s="2891"/>
      <c r="CD13" s="2891"/>
      <c r="CE13" s="2891"/>
      <c r="CF13" s="2891"/>
      <c r="CG13" s="2891"/>
      <c r="CH13" s="758"/>
      <c r="CI13" s="22"/>
      <c r="CJ13" s="22"/>
      <c r="CK13" s="22"/>
      <c r="CL13" s="22"/>
      <c r="CN13" s="22"/>
    </row>
    <row r="14" spans="1:151" ht="9.6" customHeight="1">
      <c r="A14" s="1"/>
      <c r="B14" s="2638" t="s">
        <v>48</v>
      </c>
      <c r="C14" s="2639"/>
      <c r="D14" s="2639"/>
      <c r="E14" s="2639"/>
      <c r="F14" s="2639"/>
      <c r="G14" s="2639"/>
      <c r="H14" s="2639"/>
      <c r="I14" s="2639"/>
      <c r="J14" s="2901"/>
      <c r="K14" s="2901"/>
      <c r="L14" s="2901"/>
      <c r="M14" s="2901"/>
      <c r="N14" s="2901"/>
      <c r="O14" s="2901"/>
      <c r="P14" s="2901"/>
      <c r="Q14" s="2901"/>
      <c r="R14" s="2901"/>
      <c r="S14" s="2901"/>
      <c r="T14" s="2901"/>
      <c r="U14" s="2901"/>
      <c r="V14" s="2901"/>
      <c r="W14" s="2901"/>
      <c r="X14" s="2901"/>
      <c r="Y14" s="2640" t="s">
        <v>54</v>
      </c>
      <c r="Z14" s="2640"/>
      <c r="AA14" s="2640"/>
      <c r="AB14" s="2640"/>
      <c r="AC14" s="2896"/>
      <c r="AD14" s="2896"/>
      <c r="AE14" s="2896"/>
      <c r="AF14" s="2896"/>
      <c r="AG14" s="2896"/>
      <c r="AH14" s="2896"/>
      <c r="AI14" s="2896"/>
      <c r="AJ14" s="2896"/>
      <c r="AK14" s="2896"/>
      <c r="AL14" s="2896"/>
      <c r="AM14" s="2896"/>
      <c r="AN14" s="2321" t="s">
        <v>53</v>
      </c>
      <c r="AO14" s="2321"/>
      <c r="AP14" s="2321"/>
      <c r="AQ14" s="2321"/>
      <c r="AR14" s="2898"/>
      <c r="AS14" s="2898"/>
      <c r="AT14" s="2898"/>
      <c r="AU14" s="2898"/>
      <c r="AV14" s="2898"/>
      <c r="AW14" s="2898"/>
      <c r="AX14" s="2898"/>
      <c r="AY14" s="2898"/>
      <c r="AZ14" s="2321" t="s">
        <v>52</v>
      </c>
      <c r="BA14" s="2640"/>
      <c r="BB14" s="2640"/>
      <c r="BC14" s="2640"/>
      <c r="BD14" s="2640"/>
      <c r="BE14" s="2640"/>
      <c r="BF14" s="2640"/>
      <c r="BG14" s="2640"/>
      <c r="BH14" s="2895"/>
      <c r="BI14" s="2895"/>
      <c r="BJ14" s="2895"/>
      <c r="BK14" s="2895"/>
      <c r="BL14" s="2895"/>
      <c r="BM14" s="2895"/>
      <c r="BN14" s="2895"/>
      <c r="BO14" s="2895"/>
      <c r="BP14" s="2896"/>
      <c r="BQ14" s="2896"/>
      <c r="BR14" s="2896"/>
      <c r="BS14" s="2896"/>
      <c r="BT14" s="2896"/>
      <c r="BU14" s="2896"/>
      <c r="BV14" s="2640" t="s">
        <v>53</v>
      </c>
      <c r="BW14" s="2640"/>
      <c r="BX14" s="2640"/>
      <c r="BY14" s="2640"/>
      <c r="BZ14" s="2898"/>
      <c r="CA14" s="2898"/>
      <c r="CB14" s="2898"/>
      <c r="CC14" s="2898"/>
      <c r="CD14" s="2898"/>
      <c r="CE14" s="2898"/>
      <c r="CF14" s="2898"/>
      <c r="CG14" s="2898"/>
      <c r="CH14" s="2634"/>
      <c r="CQ14" s="2873" t="str">
        <f>IF(AND(J14=DJ108,AC14=DJ109,AR14=DJ110,BH14=DJ111,BZ14=DJ112),"","Note:  Fyi - 1 or more inputs (green font) to left on this row do not match corresponding cell drop-down inputs from Pg. 1 tab sheet.")</f>
        <v/>
      </c>
      <c r="CR14" s="2873"/>
      <c r="CS14" s="2873"/>
      <c r="CT14" s="2873"/>
      <c r="CU14" s="2873"/>
      <c r="CV14" s="2873"/>
      <c r="CW14" s="2873"/>
      <c r="CX14" s="2873"/>
      <c r="CY14" s="2873"/>
      <c r="CZ14" s="2873"/>
      <c r="DA14" s="2873"/>
      <c r="DB14" s="2873"/>
      <c r="DC14" s="2873"/>
      <c r="DD14" s="2873"/>
      <c r="DE14" s="2873"/>
      <c r="DF14" s="2873"/>
      <c r="DG14" s="2873"/>
      <c r="DH14" s="2873"/>
      <c r="DI14" s="2873"/>
      <c r="DJ14" s="2873"/>
      <c r="DK14" s="2873"/>
      <c r="DL14" s="2873"/>
      <c r="DM14" s="2873"/>
      <c r="DN14" s="2873"/>
      <c r="DO14" s="2873"/>
      <c r="DP14" s="2873"/>
      <c r="DQ14" s="2873"/>
      <c r="DR14" s="2873"/>
      <c r="DS14" s="2873"/>
      <c r="DT14" s="2873"/>
      <c r="DU14" s="2873"/>
      <c r="DV14" s="2873"/>
      <c r="DW14" s="2873"/>
      <c r="DX14" s="2873"/>
      <c r="DY14" s="2873"/>
      <c r="DZ14" s="2873"/>
      <c r="EA14" s="2873"/>
      <c r="EB14" s="2873"/>
      <c r="EC14" s="2873"/>
      <c r="ED14" s="2873"/>
      <c r="EE14" s="2873"/>
      <c r="EF14" s="2873"/>
      <c r="EG14" s="2873"/>
      <c r="EH14" s="2873"/>
      <c r="EI14" s="2873"/>
      <c r="EJ14" s="2873"/>
      <c r="EK14" s="2873"/>
      <c r="EL14" s="2873"/>
      <c r="EM14" s="2873"/>
      <c r="EN14" s="2873"/>
      <c r="EO14" s="2873"/>
      <c r="EP14" s="2873"/>
      <c r="EQ14" s="2873"/>
      <c r="ER14" s="2873"/>
      <c r="ES14" s="2873"/>
      <c r="ET14" s="2873"/>
      <c r="EU14" s="2873"/>
    </row>
    <row r="15" spans="1:151" ht="9.6" customHeight="1">
      <c r="A15" s="1"/>
      <c r="B15" s="2638"/>
      <c r="C15" s="2639"/>
      <c r="D15" s="2639"/>
      <c r="E15" s="2639"/>
      <c r="F15" s="2639"/>
      <c r="G15" s="2639"/>
      <c r="H15" s="2639"/>
      <c r="I15" s="2639"/>
      <c r="J15" s="2902"/>
      <c r="K15" s="2902"/>
      <c r="L15" s="2902"/>
      <c r="M15" s="2902"/>
      <c r="N15" s="2902"/>
      <c r="O15" s="2902"/>
      <c r="P15" s="2902"/>
      <c r="Q15" s="2902"/>
      <c r="R15" s="2902"/>
      <c r="S15" s="2902"/>
      <c r="T15" s="2902"/>
      <c r="U15" s="2902"/>
      <c r="V15" s="2902"/>
      <c r="W15" s="2902"/>
      <c r="X15" s="2902"/>
      <c r="Y15" s="2321"/>
      <c r="Z15" s="2321"/>
      <c r="AA15" s="2321"/>
      <c r="AB15" s="2321"/>
      <c r="AC15" s="2896"/>
      <c r="AD15" s="2896"/>
      <c r="AE15" s="2896"/>
      <c r="AF15" s="2896"/>
      <c r="AG15" s="2896"/>
      <c r="AH15" s="2896"/>
      <c r="AI15" s="2896"/>
      <c r="AJ15" s="2896"/>
      <c r="AK15" s="2896"/>
      <c r="AL15" s="2896"/>
      <c r="AM15" s="2896"/>
      <c r="AN15" s="2321"/>
      <c r="AO15" s="2321"/>
      <c r="AP15" s="2321"/>
      <c r="AQ15" s="2321"/>
      <c r="AR15" s="2898"/>
      <c r="AS15" s="2898"/>
      <c r="AT15" s="2898"/>
      <c r="AU15" s="2898"/>
      <c r="AV15" s="2898"/>
      <c r="AW15" s="2898"/>
      <c r="AX15" s="2898"/>
      <c r="AY15" s="2898"/>
      <c r="AZ15" s="2321"/>
      <c r="BA15" s="2321"/>
      <c r="BB15" s="2321"/>
      <c r="BC15" s="2321"/>
      <c r="BD15" s="2321"/>
      <c r="BE15" s="2321"/>
      <c r="BF15" s="2321"/>
      <c r="BG15" s="2321"/>
      <c r="BH15" s="2896"/>
      <c r="BI15" s="2896"/>
      <c r="BJ15" s="2896"/>
      <c r="BK15" s="2896"/>
      <c r="BL15" s="2896"/>
      <c r="BM15" s="2896"/>
      <c r="BN15" s="2896"/>
      <c r="BO15" s="2896"/>
      <c r="BP15" s="2896"/>
      <c r="BQ15" s="2896"/>
      <c r="BR15" s="2896"/>
      <c r="BS15" s="2896"/>
      <c r="BT15" s="2896"/>
      <c r="BU15" s="2896"/>
      <c r="BV15" s="2321"/>
      <c r="BW15" s="2321"/>
      <c r="BX15" s="2321"/>
      <c r="BY15" s="2321"/>
      <c r="BZ15" s="2898"/>
      <c r="CA15" s="2898"/>
      <c r="CB15" s="2898"/>
      <c r="CC15" s="2898"/>
      <c r="CD15" s="2898"/>
      <c r="CE15" s="2898"/>
      <c r="CF15" s="2898"/>
      <c r="CG15" s="2898"/>
      <c r="CH15" s="2634"/>
      <c r="CQ15" s="2873"/>
      <c r="CR15" s="2873"/>
      <c r="CS15" s="2873"/>
      <c r="CT15" s="2873"/>
      <c r="CU15" s="2873"/>
      <c r="CV15" s="2873"/>
      <c r="CW15" s="2873"/>
      <c r="CX15" s="2873"/>
      <c r="CY15" s="2873"/>
      <c r="CZ15" s="2873"/>
      <c r="DA15" s="2873"/>
      <c r="DB15" s="2873"/>
      <c r="DC15" s="2873"/>
      <c r="DD15" s="2873"/>
      <c r="DE15" s="2873"/>
      <c r="DF15" s="2873"/>
      <c r="DG15" s="2873"/>
      <c r="DH15" s="2873"/>
      <c r="DI15" s="2873"/>
      <c r="DJ15" s="2873"/>
      <c r="DK15" s="2873"/>
      <c r="DL15" s="2873"/>
      <c r="DM15" s="2873"/>
      <c r="DN15" s="2873"/>
      <c r="DO15" s="2873"/>
      <c r="DP15" s="2873"/>
      <c r="DQ15" s="2873"/>
      <c r="DR15" s="2873"/>
      <c r="DS15" s="2873"/>
      <c r="DT15" s="2873"/>
      <c r="DU15" s="2873"/>
      <c r="DV15" s="2873"/>
      <c r="DW15" s="2873"/>
      <c r="DX15" s="2873"/>
      <c r="DY15" s="2873"/>
      <c r="DZ15" s="2873"/>
      <c r="EA15" s="2873"/>
      <c r="EB15" s="2873"/>
      <c r="EC15" s="2873"/>
      <c r="ED15" s="2873"/>
      <c r="EE15" s="2873"/>
      <c r="EF15" s="2873"/>
      <c r="EG15" s="2873"/>
      <c r="EH15" s="2873"/>
      <c r="EI15" s="2873"/>
      <c r="EJ15" s="2873"/>
      <c r="EK15" s="2873"/>
      <c r="EL15" s="2873"/>
      <c r="EM15" s="2873"/>
      <c r="EN15" s="2873"/>
      <c r="EO15" s="2873"/>
      <c r="EP15" s="2873"/>
      <c r="EQ15" s="2873"/>
      <c r="ER15" s="2873"/>
      <c r="ES15" s="2873"/>
      <c r="ET15" s="2873"/>
      <c r="EU15" s="2873"/>
    </row>
    <row r="16" spans="1:151" ht="9.6" customHeight="1">
      <c r="A16" s="1"/>
      <c r="B16" s="2638"/>
      <c r="C16" s="2639"/>
      <c r="D16" s="2639"/>
      <c r="E16" s="2639"/>
      <c r="F16" s="2639"/>
      <c r="G16" s="2639"/>
      <c r="H16" s="2639"/>
      <c r="I16" s="2639"/>
      <c r="J16" s="2903"/>
      <c r="K16" s="2903"/>
      <c r="L16" s="2903"/>
      <c r="M16" s="2903"/>
      <c r="N16" s="2903"/>
      <c r="O16" s="2903"/>
      <c r="P16" s="2903"/>
      <c r="Q16" s="2903"/>
      <c r="R16" s="2903"/>
      <c r="S16" s="2903"/>
      <c r="T16" s="2903"/>
      <c r="U16" s="2903"/>
      <c r="V16" s="2903"/>
      <c r="W16" s="2903"/>
      <c r="X16" s="2903"/>
      <c r="Y16" s="2321"/>
      <c r="Z16" s="2321"/>
      <c r="AA16" s="2321"/>
      <c r="AB16" s="2321"/>
      <c r="AC16" s="2897"/>
      <c r="AD16" s="2897"/>
      <c r="AE16" s="2897"/>
      <c r="AF16" s="2897"/>
      <c r="AG16" s="2897"/>
      <c r="AH16" s="2897"/>
      <c r="AI16" s="2897"/>
      <c r="AJ16" s="2897"/>
      <c r="AK16" s="2897"/>
      <c r="AL16" s="2897"/>
      <c r="AM16" s="2897"/>
      <c r="AN16" s="2321"/>
      <c r="AO16" s="2321"/>
      <c r="AP16" s="2321"/>
      <c r="AQ16" s="2321"/>
      <c r="AR16" s="2899"/>
      <c r="AS16" s="2899"/>
      <c r="AT16" s="2899"/>
      <c r="AU16" s="2899"/>
      <c r="AV16" s="2899"/>
      <c r="AW16" s="2899"/>
      <c r="AX16" s="2899"/>
      <c r="AY16" s="2899"/>
      <c r="AZ16" s="2321"/>
      <c r="BA16" s="2321"/>
      <c r="BB16" s="2321"/>
      <c r="BC16" s="2321"/>
      <c r="BD16" s="2321"/>
      <c r="BE16" s="2321"/>
      <c r="BF16" s="2321"/>
      <c r="BG16" s="2321"/>
      <c r="BH16" s="2897"/>
      <c r="BI16" s="2897"/>
      <c r="BJ16" s="2897"/>
      <c r="BK16" s="2897"/>
      <c r="BL16" s="2897"/>
      <c r="BM16" s="2897"/>
      <c r="BN16" s="2897"/>
      <c r="BO16" s="2897"/>
      <c r="BP16" s="2897"/>
      <c r="BQ16" s="2897"/>
      <c r="BR16" s="2897"/>
      <c r="BS16" s="2897"/>
      <c r="BT16" s="2897"/>
      <c r="BU16" s="2897"/>
      <c r="BV16" s="2321"/>
      <c r="BW16" s="2321"/>
      <c r="BX16" s="2321"/>
      <c r="BY16" s="2321"/>
      <c r="BZ16" s="2899"/>
      <c r="CA16" s="2899"/>
      <c r="CB16" s="2899"/>
      <c r="CC16" s="2899"/>
      <c r="CD16" s="2899"/>
      <c r="CE16" s="2899"/>
      <c r="CF16" s="2899"/>
      <c r="CG16" s="2899"/>
      <c r="CH16" s="2634"/>
      <c r="CQ16" s="2873"/>
      <c r="CR16" s="2873"/>
      <c r="CS16" s="2873"/>
      <c r="CT16" s="2873"/>
      <c r="CU16" s="2873"/>
      <c r="CV16" s="2873"/>
      <c r="CW16" s="2873"/>
      <c r="CX16" s="2873"/>
      <c r="CY16" s="2873"/>
      <c r="CZ16" s="2873"/>
      <c r="DA16" s="2873"/>
      <c r="DB16" s="2873"/>
      <c r="DC16" s="2873"/>
      <c r="DD16" s="2873"/>
      <c r="DE16" s="2873"/>
      <c r="DF16" s="2873"/>
      <c r="DG16" s="2873"/>
      <c r="DH16" s="2873"/>
      <c r="DI16" s="2873"/>
      <c r="DJ16" s="2873"/>
      <c r="DK16" s="2873"/>
      <c r="DL16" s="2873"/>
      <c r="DM16" s="2873"/>
      <c r="DN16" s="2873"/>
      <c r="DO16" s="2873"/>
      <c r="DP16" s="2873"/>
      <c r="DQ16" s="2873"/>
      <c r="DR16" s="2873"/>
      <c r="DS16" s="2873"/>
      <c r="DT16" s="2873"/>
      <c r="DU16" s="2873"/>
      <c r="DV16" s="2873"/>
      <c r="DW16" s="2873"/>
      <c r="DX16" s="2873"/>
      <c r="DY16" s="2873"/>
      <c r="DZ16" s="2873"/>
      <c r="EA16" s="2873"/>
      <c r="EB16" s="2873"/>
      <c r="EC16" s="2873"/>
      <c r="ED16" s="2873"/>
      <c r="EE16" s="2873"/>
      <c r="EF16" s="2873"/>
      <c r="EG16" s="2873"/>
      <c r="EH16" s="2873"/>
      <c r="EI16" s="2873"/>
      <c r="EJ16" s="2873"/>
      <c r="EK16" s="2873"/>
      <c r="EL16" s="2873"/>
      <c r="EM16" s="2873"/>
      <c r="EN16" s="2873"/>
      <c r="EO16" s="2873"/>
      <c r="EP16" s="2873"/>
      <c r="EQ16" s="2873"/>
      <c r="ER16" s="2873"/>
      <c r="ES16" s="2873"/>
      <c r="ET16" s="2873"/>
      <c r="EU16" s="2873"/>
    </row>
    <row r="17" spans="1:152" ht="9.6" customHeight="1">
      <c r="A17" s="1"/>
      <c r="B17" s="2638" t="s">
        <v>47</v>
      </c>
      <c r="C17" s="2639"/>
      <c r="D17" s="2639"/>
      <c r="E17" s="2639"/>
      <c r="F17" s="2639"/>
      <c r="G17" s="2639"/>
      <c r="H17" s="2639"/>
      <c r="I17" s="2639"/>
      <c r="J17" s="2891" t="str">
        <f>IF('Concr. Pg 1'!J17:AC19="","",'Concr. Pg 1'!J17:AC19)</f>
        <v/>
      </c>
      <c r="K17" s="2891"/>
      <c r="L17" s="2891"/>
      <c r="M17" s="2891"/>
      <c r="N17" s="2891"/>
      <c r="O17" s="2891"/>
      <c r="P17" s="2891"/>
      <c r="Q17" s="2891"/>
      <c r="R17" s="2891"/>
      <c r="S17" s="2891"/>
      <c r="T17" s="2891"/>
      <c r="U17" s="2891"/>
      <c r="V17" s="2891"/>
      <c r="W17" s="2891"/>
      <c r="X17" s="2891"/>
      <c r="Y17" s="2891"/>
      <c r="Z17" s="2891"/>
      <c r="AA17" s="2891"/>
      <c r="AB17" s="2891"/>
      <c r="AC17" s="2891"/>
      <c r="AD17" s="2909" t="s">
        <v>3</v>
      </c>
      <c r="AE17" s="2909"/>
      <c r="AF17" s="2909"/>
      <c r="AG17" s="2909"/>
      <c r="AH17" s="2641"/>
      <c r="AI17" s="2641"/>
      <c r="AJ17" s="2641"/>
      <c r="AK17" s="2641"/>
      <c r="AL17" s="2641"/>
      <c r="AM17" s="2641"/>
      <c r="AN17" s="2641"/>
      <c r="AO17" s="2641"/>
      <c r="AP17" s="2641"/>
      <c r="AQ17" s="2641"/>
      <c r="AR17" s="2641"/>
      <c r="AS17" s="2641"/>
      <c r="AT17" s="2641"/>
      <c r="AU17" s="2641"/>
      <c r="AV17" s="2641"/>
      <c r="AW17" s="2641"/>
      <c r="AX17" s="2641"/>
      <c r="AY17" s="2641"/>
      <c r="AZ17" s="2641"/>
      <c r="BA17" s="2641"/>
      <c r="BB17" s="2641"/>
      <c r="BC17" s="2641"/>
      <c r="BD17" s="2641"/>
      <c r="BE17" s="2641"/>
      <c r="BF17" s="2641"/>
      <c r="BG17" s="2641"/>
      <c r="BH17" s="2641"/>
      <c r="BI17" s="2641"/>
      <c r="BJ17" s="2641"/>
      <c r="BK17" s="2641"/>
      <c r="BL17" s="2641"/>
      <c r="BM17" s="2641"/>
      <c r="BN17" s="2641"/>
      <c r="BO17" s="2641"/>
      <c r="BP17" s="2641"/>
      <c r="BQ17" s="2641"/>
      <c r="BR17" s="2641"/>
      <c r="BS17" s="2641"/>
      <c r="BT17" s="2641"/>
      <c r="BU17" s="2641"/>
      <c r="BV17" s="2641"/>
      <c r="BW17" s="2641"/>
      <c r="BX17" s="2641"/>
      <c r="BY17" s="2641"/>
      <c r="BZ17" s="2641"/>
      <c r="CA17" s="2641"/>
      <c r="CB17" s="2641"/>
      <c r="CC17" s="2641"/>
      <c r="CD17" s="2641"/>
      <c r="CE17" s="2641"/>
      <c r="CF17" s="2641"/>
      <c r="CG17" s="2641"/>
      <c r="CH17" s="2646"/>
    </row>
    <row r="18" spans="1:152" ht="9.6" customHeight="1">
      <c r="A18" s="1"/>
      <c r="B18" s="2638"/>
      <c r="C18" s="2639"/>
      <c r="D18" s="2639"/>
      <c r="E18" s="2639"/>
      <c r="F18" s="2639"/>
      <c r="G18" s="2639"/>
      <c r="H18" s="2639"/>
      <c r="I18" s="2639"/>
      <c r="J18" s="2891"/>
      <c r="K18" s="2891"/>
      <c r="L18" s="2891"/>
      <c r="M18" s="2891"/>
      <c r="N18" s="2891"/>
      <c r="O18" s="2891"/>
      <c r="P18" s="2891"/>
      <c r="Q18" s="2891"/>
      <c r="R18" s="2891"/>
      <c r="S18" s="2891"/>
      <c r="T18" s="2891"/>
      <c r="U18" s="2891"/>
      <c r="V18" s="2891"/>
      <c r="W18" s="2891"/>
      <c r="X18" s="2891"/>
      <c r="Y18" s="2891"/>
      <c r="Z18" s="2891"/>
      <c r="AA18" s="2891"/>
      <c r="AB18" s="2891"/>
      <c r="AC18" s="2891"/>
      <c r="AD18" s="2909"/>
      <c r="AE18" s="2909"/>
      <c r="AF18" s="2909"/>
      <c r="AG18" s="2909"/>
      <c r="AH18" s="2641"/>
      <c r="AI18" s="2641"/>
      <c r="AJ18" s="2641"/>
      <c r="AK18" s="2641"/>
      <c r="AL18" s="2641"/>
      <c r="AM18" s="2641"/>
      <c r="AN18" s="2641"/>
      <c r="AO18" s="2641"/>
      <c r="AP18" s="2641"/>
      <c r="AQ18" s="2641"/>
      <c r="AR18" s="2641"/>
      <c r="AS18" s="2641"/>
      <c r="AT18" s="2641"/>
      <c r="AU18" s="2641"/>
      <c r="AV18" s="2641"/>
      <c r="AW18" s="2641"/>
      <c r="AX18" s="2641"/>
      <c r="AY18" s="2641"/>
      <c r="AZ18" s="2641"/>
      <c r="BA18" s="2641"/>
      <c r="BB18" s="2641"/>
      <c r="BC18" s="2641"/>
      <c r="BD18" s="2641"/>
      <c r="BE18" s="2641"/>
      <c r="BF18" s="2641"/>
      <c r="BG18" s="2641"/>
      <c r="BH18" s="2641"/>
      <c r="BI18" s="2641"/>
      <c r="BJ18" s="2641"/>
      <c r="BK18" s="2641"/>
      <c r="BL18" s="2641"/>
      <c r="BM18" s="2641"/>
      <c r="BN18" s="2641"/>
      <c r="BO18" s="2641"/>
      <c r="BP18" s="2641"/>
      <c r="BQ18" s="2641"/>
      <c r="BR18" s="2641"/>
      <c r="BS18" s="2641"/>
      <c r="BT18" s="2641"/>
      <c r="BU18" s="2641"/>
      <c r="BV18" s="2641"/>
      <c r="BW18" s="2641"/>
      <c r="BX18" s="2641"/>
      <c r="BY18" s="2641"/>
      <c r="BZ18" s="2641"/>
      <c r="CA18" s="2641"/>
      <c r="CB18" s="2641"/>
      <c r="CC18" s="2641"/>
      <c r="CD18" s="2641"/>
      <c r="CE18" s="2641"/>
      <c r="CF18" s="2641"/>
      <c r="CG18" s="2641"/>
      <c r="CH18" s="2646"/>
      <c r="CL18" s="2"/>
      <c r="CM18" s="2"/>
      <c r="CN18" s="2"/>
      <c r="CO18" s="2"/>
      <c r="CS18" s="2679" t="s">
        <v>333</v>
      </c>
      <c r="CT18" s="2679"/>
      <c r="CU18" s="2679"/>
      <c r="CV18" s="2679"/>
      <c r="CW18" s="2679"/>
      <c r="CX18" s="2679"/>
      <c r="CY18" s="2679"/>
      <c r="CZ18" s="2679"/>
      <c r="DA18" s="2679"/>
      <c r="DB18" s="2679"/>
      <c r="DC18" s="2679"/>
      <c r="DD18" s="2679"/>
      <c r="DE18" s="2679"/>
      <c r="DF18" s="2679"/>
      <c r="DG18" s="2679"/>
      <c r="DH18" s="2679"/>
      <c r="DI18" s="2679"/>
      <c r="DJ18" s="2679"/>
      <c r="DK18" s="2679"/>
      <c r="DL18" s="2679"/>
      <c r="DM18" s="2679"/>
    </row>
    <row r="19" spans="1:152" ht="9.6" customHeight="1">
      <c r="A19" s="1"/>
      <c r="B19" s="2638"/>
      <c r="C19" s="2639"/>
      <c r="D19" s="2639"/>
      <c r="E19" s="2639"/>
      <c r="F19" s="2639"/>
      <c r="G19" s="2639"/>
      <c r="H19" s="2639"/>
      <c r="I19" s="2639"/>
      <c r="J19" s="2892"/>
      <c r="K19" s="2892"/>
      <c r="L19" s="2892"/>
      <c r="M19" s="2892"/>
      <c r="N19" s="2892"/>
      <c r="O19" s="2892"/>
      <c r="P19" s="2892"/>
      <c r="Q19" s="2892"/>
      <c r="R19" s="2892"/>
      <c r="S19" s="2892"/>
      <c r="T19" s="2892"/>
      <c r="U19" s="2892"/>
      <c r="V19" s="2892"/>
      <c r="W19" s="2892"/>
      <c r="X19" s="2892"/>
      <c r="Y19" s="2892"/>
      <c r="Z19" s="2892"/>
      <c r="AA19" s="2892"/>
      <c r="AB19" s="2892"/>
      <c r="AC19" s="2892"/>
      <c r="AD19" s="2909"/>
      <c r="AE19" s="2909"/>
      <c r="AF19" s="2909"/>
      <c r="AG19" s="2909"/>
      <c r="AH19" s="2642"/>
      <c r="AI19" s="2642"/>
      <c r="AJ19" s="2642"/>
      <c r="AK19" s="2642"/>
      <c r="AL19" s="2642"/>
      <c r="AM19" s="2642"/>
      <c r="AN19" s="2642"/>
      <c r="AO19" s="2642"/>
      <c r="AP19" s="2642"/>
      <c r="AQ19" s="2642"/>
      <c r="AR19" s="2642"/>
      <c r="AS19" s="2642"/>
      <c r="AT19" s="2642"/>
      <c r="AU19" s="2642"/>
      <c r="AV19" s="2642"/>
      <c r="AW19" s="2642"/>
      <c r="AX19" s="2642"/>
      <c r="AY19" s="2642"/>
      <c r="AZ19" s="2642"/>
      <c r="BA19" s="2642"/>
      <c r="BB19" s="2642"/>
      <c r="BC19" s="2642"/>
      <c r="BD19" s="2642"/>
      <c r="BE19" s="2642"/>
      <c r="BF19" s="2642"/>
      <c r="BG19" s="2642"/>
      <c r="BH19" s="2642"/>
      <c r="BI19" s="2642"/>
      <c r="BJ19" s="2642"/>
      <c r="BK19" s="2642"/>
      <c r="BL19" s="2642"/>
      <c r="BM19" s="2642"/>
      <c r="BN19" s="2642"/>
      <c r="BO19" s="2642"/>
      <c r="BP19" s="2642"/>
      <c r="BQ19" s="2642"/>
      <c r="BR19" s="2642"/>
      <c r="BS19" s="2642"/>
      <c r="BT19" s="2642"/>
      <c r="BU19" s="2642"/>
      <c r="BV19" s="2642"/>
      <c r="BW19" s="2642"/>
      <c r="BX19" s="2642"/>
      <c r="BY19" s="2642"/>
      <c r="BZ19" s="2642"/>
      <c r="CA19" s="2642"/>
      <c r="CB19" s="2642"/>
      <c r="CC19" s="2642"/>
      <c r="CD19" s="2642"/>
      <c r="CE19" s="2642"/>
      <c r="CF19" s="2642"/>
      <c r="CG19" s="2642"/>
      <c r="CH19" s="2646"/>
      <c r="CQ19" s="2726"/>
      <c r="CR19" s="2727"/>
      <c r="CS19" s="2679"/>
      <c r="CT19" s="2679"/>
      <c r="CU19" s="2679"/>
      <c r="CV19" s="2679"/>
      <c r="CW19" s="2679"/>
      <c r="CX19" s="2679"/>
      <c r="CY19" s="2679"/>
      <c r="CZ19" s="2679"/>
      <c r="DA19" s="2679"/>
      <c r="DB19" s="2679"/>
      <c r="DC19" s="2679"/>
      <c r="DD19" s="2679"/>
      <c r="DE19" s="2679"/>
      <c r="DF19" s="2679"/>
      <c r="DG19" s="2679"/>
      <c r="DH19" s="2679"/>
      <c r="DI19" s="2679"/>
      <c r="DJ19" s="2679"/>
      <c r="DK19" s="2679"/>
      <c r="DL19" s="2679"/>
      <c r="DM19" s="2679"/>
    </row>
    <row r="20" spans="1:152" ht="9.6" customHeight="1" thickBot="1">
      <c r="A20" s="1"/>
      <c r="B20" s="2650"/>
      <c r="C20" s="2651"/>
      <c r="D20" s="2651"/>
      <c r="E20" s="2651"/>
      <c r="F20" s="2651"/>
      <c r="G20" s="2651"/>
      <c r="H20" s="2651"/>
      <c r="I20" s="2651"/>
      <c r="J20" s="2651"/>
      <c r="K20" s="2651"/>
      <c r="L20" s="2651"/>
      <c r="M20" s="2651"/>
      <c r="N20" s="2651"/>
      <c r="O20" s="2651"/>
      <c r="P20" s="2651"/>
      <c r="Q20" s="2651"/>
      <c r="R20" s="2651"/>
      <c r="S20" s="2651"/>
      <c r="T20" s="2651"/>
      <c r="U20" s="2651"/>
      <c r="V20" s="2651"/>
      <c r="W20" s="2651"/>
      <c r="X20" s="2651"/>
      <c r="Y20" s="2651"/>
      <c r="Z20" s="2651"/>
      <c r="AA20" s="2651"/>
      <c r="AB20" s="2651"/>
      <c r="AC20" s="2651"/>
      <c r="AD20" s="2651"/>
      <c r="AE20" s="2651"/>
      <c r="AF20" s="2651"/>
      <c r="AG20" s="2651"/>
      <c r="AH20" s="2651"/>
      <c r="AI20" s="2651"/>
      <c r="AJ20" s="2651"/>
      <c r="AK20" s="2651"/>
      <c r="AL20" s="2651"/>
      <c r="AM20" s="2651"/>
      <c r="AN20" s="2651"/>
      <c r="AO20" s="2651"/>
      <c r="AP20" s="2651"/>
      <c r="AQ20" s="2651"/>
      <c r="AR20" s="2651"/>
      <c r="AS20" s="2651"/>
      <c r="AT20" s="2651"/>
      <c r="AU20" s="2651"/>
      <c r="AV20" s="2651"/>
      <c r="AW20" s="2651"/>
      <c r="AX20" s="2651"/>
      <c r="AY20" s="2651"/>
      <c r="AZ20" s="2651"/>
      <c r="BA20" s="2651"/>
      <c r="BB20" s="2651"/>
      <c r="BC20" s="2651"/>
      <c r="BD20" s="2651"/>
      <c r="BE20" s="2651"/>
      <c r="BF20" s="2651"/>
      <c r="BG20" s="2651"/>
      <c r="BH20" s="2651"/>
      <c r="BI20" s="2651"/>
      <c r="BJ20" s="2651"/>
      <c r="BK20" s="2651"/>
      <c r="BL20" s="2651"/>
      <c r="BM20" s="2651"/>
      <c r="BN20" s="2651"/>
      <c r="BO20" s="2651"/>
      <c r="BP20" s="2651"/>
      <c r="BQ20" s="2651"/>
      <c r="BR20" s="2651"/>
      <c r="BS20" s="2651"/>
      <c r="BT20" s="2651"/>
      <c r="BU20" s="2651"/>
      <c r="BV20" s="2651"/>
      <c r="BW20" s="2651"/>
      <c r="BX20" s="2651"/>
      <c r="BY20" s="2651"/>
      <c r="BZ20" s="2651"/>
      <c r="CA20" s="2651"/>
      <c r="CB20" s="2651"/>
      <c r="CC20" s="2651"/>
      <c r="CD20" s="2651"/>
      <c r="CE20" s="2651"/>
      <c r="CF20" s="2651"/>
      <c r="CG20" s="2651"/>
      <c r="CH20" s="2652"/>
      <c r="CQ20" s="2728"/>
      <c r="CR20" s="2729"/>
      <c r="CS20" s="2679"/>
      <c r="CT20" s="2679"/>
      <c r="CU20" s="2679"/>
      <c r="CV20" s="2679"/>
      <c r="CW20" s="2679"/>
      <c r="CX20" s="2679"/>
      <c r="CY20" s="2679"/>
      <c r="CZ20" s="2679"/>
      <c r="DA20" s="2679"/>
      <c r="DB20" s="2679"/>
      <c r="DC20" s="2679"/>
      <c r="DD20" s="2679"/>
      <c r="DE20" s="2679"/>
      <c r="DF20" s="2679"/>
      <c r="DG20" s="2679"/>
      <c r="DH20" s="2679"/>
      <c r="DI20" s="2679"/>
      <c r="DJ20" s="2679"/>
      <c r="DK20" s="2679"/>
      <c r="DL20" s="2679"/>
      <c r="DM20" s="2679"/>
    </row>
    <row r="21" spans="1:152" ht="9.6" customHeight="1">
      <c r="A21" s="1"/>
      <c r="B21" s="2643"/>
      <c r="C21" s="2644"/>
      <c r="D21" s="2644"/>
      <c r="E21" s="2644"/>
      <c r="F21" s="2644"/>
      <c r="G21" s="2644"/>
      <c r="H21" s="2644"/>
      <c r="I21" s="2644"/>
      <c r="J21" s="2644"/>
      <c r="K21" s="2644"/>
      <c r="L21" s="2644"/>
      <c r="M21" s="2644"/>
      <c r="N21" s="2644"/>
      <c r="O21" s="2644"/>
      <c r="P21" s="2644"/>
      <c r="Q21" s="2644"/>
      <c r="R21" s="2644"/>
      <c r="S21" s="2644"/>
      <c r="T21" s="2644"/>
      <c r="U21" s="2644"/>
      <c r="V21" s="2644"/>
      <c r="W21" s="2644"/>
      <c r="X21" s="2644"/>
      <c r="Y21" s="2644"/>
      <c r="Z21" s="2644"/>
      <c r="AA21" s="2644"/>
      <c r="AB21" s="2644"/>
      <c r="AC21" s="2644"/>
      <c r="AD21" s="2644"/>
      <c r="AE21" s="2644"/>
      <c r="AF21" s="2644"/>
      <c r="AG21" s="2644"/>
      <c r="AH21" s="2644"/>
      <c r="AI21" s="2644"/>
      <c r="AJ21" s="2644"/>
      <c r="AK21" s="2644"/>
      <c r="AL21" s="2644"/>
      <c r="AM21" s="2644"/>
      <c r="AN21" s="2644"/>
      <c r="AO21" s="2644"/>
      <c r="AP21" s="2644"/>
      <c r="AQ21" s="2644"/>
      <c r="AR21" s="2644"/>
      <c r="AS21" s="2644"/>
      <c r="AT21" s="2644"/>
      <c r="AU21" s="2644"/>
      <c r="AV21" s="2644"/>
      <c r="AW21" s="2644"/>
      <c r="AX21" s="2644"/>
      <c r="AY21" s="2644"/>
      <c r="AZ21" s="2644"/>
      <c r="BA21" s="2644"/>
      <c r="BB21" s="2644"/>
      <c r="BC21" s="2644"/>
      <c r="BD21" s="2644"/>
      <c r="BE21" s="2644"/>
      <c r="BF21" s="2644"/>
      <c r="BG21" s="2644"/>
      <c r="BH21" s="2644"/>
      <c r="BI21" s="2644"/>
      <c r="BJ21" s="2644"/>
      <c r="BK21" s="2644"/>
      <c r="BL21" s="2644"/>
      <c r="BM21" s="2644"/>
      <c r="BN21" s="2644"/>
      <c r="BO21" s="2644"/>
      <c r="BP21" s="2644"/>
      <c r="BQ21" s="2644"/>
      <c r="BR21" s="2644"/>
      <c r="BS21" s="2644"/>
      <c r="BT21" s="2644"/>
      <c r="BU21" s="2644"/>
      <c r="BV21" s="2644"/>
      <c r="BW21" s="2644"/>
      <c r="BX21" s="2644"/>
      <c r="BY21" s="2644"/>
      <c r="BZ21" s="2644"/>
      <c r="CA21" s="2644"/>
      <c r="CB21" s="2644"/>
      <c r="CC21" s="2644"/>
      <c r="CD21" s="2644"/>
      <c r="CE21" s="2644"/>
      <c r="CF21" s="2644"/>
      <c r="CG21" s="2644"/>
      <c r="CH21" s="2645"/>
      <c r="CQ21" s="2728"/>
      <c r="CR21" s="2729"/>
      <c r="CS21" s="2679"/>
      <c r="CT21" s="2679"/>
      <c r="CU21" s="2679"/>
      <c r="CV21" s="2679"/>
      <c r="CW21" s="2679"/>
      <c r="CX21" s="2679"/>
      <c r="CY21" s="2679"/>
      <c r="CZ21" s="2679"/>
      <c r="DA21" s="2679"/>
      <c r="DB21" s="2679"/>
      <c r="DC21" s="2679"/>
      <c r="DD21" s="2679"/>
      <c r="DE21" s="2679"/>
      <c r="DF21" s="2679"/>
      <c r="DG21" s="2679"/>
      <c r="DH21" s="2679"/>
      <c r="DI21" s="2679"/>
      <c r="DJ21" s="2679"/>
      <c r="DK21" s="2679"/>
      <c r="DL21" s="2679"/>
      <c r="DM21" s="2679"/>
    </row>
    <row r="22" spans="1:152" ht="9.6" customHeight="1">
      <c r="A22" s="1"/>
      <c r="B22" s="2906"/>
      <c r="C22" s="2905" t="s">
        <v>29</v>
      </c>
      <c r="D22" s="2905"/>
      <c r="E22" s="2905"/>
      <c r="F22" s="2293" t="s">
        <v>27</v>
      </c>
      <c r="G22" s="2293"/>
      <c r="H22" s="2293"/>
      <c r="I22" s="2293"/>
      <c r="J22" s="2293"/>
      <c r="K22" s="2293"/>
      <c r="L22" s="2293"/>
      <c r="M22" s="2293"/>
      <c r="N22" s="2887" t="str">
        <f>IF('Concr. Pg 1'!L28="","",'Concr. Pg 1'!L28)</f>
        <v/>
      </c>
      <c r="O22" s="2887"/>
      <c r="P22" s="2887"/>
      <c r="Q22" s="2887"/>
      <c r="R22" s="2887"/>
      <c r="S22" s="2910" t="s">
        <v>56</v>
      </c>
      <c r="T22" s="2910"/>
      <c r="U22" s="2910"/>
      <c r="V22" s="2910"/>
      <c r="W22" s="2907" t="s">
        <v>3</v>
      </c>
      <c r="X22" s="2907"/>
      <c r="Y22" s="2907"/>
      <c r="Z22" s="2907"/>
      <c r="AA22" s="2641"/>
      <c r="AB22" s="2641"/>
      <c r="AC22" s="2641"/>
      <c r="AD22" s="2641"/>
      <c r="AE22" s="2641"/>
      <c r="AF22" s="2641"/>
      <c r="AG22" s="2641"/>
      <c r="AH22" s="2641"/>
      <c r="AI22" s="2641"/>
      <c r="AJ22" s="2641"/>
      <c r="AK22" s="2641"/>
      <c r="AL22" s="2641"/>
      <c r="AM22" s="2641"/>
      <c r="AN22" s="2641"/>
      <c r="AO22" s="2641"/>
      <c r="AP22" s="2641"/>
      <c r="AQ22" s="2641"/>
      <c r="AR22" s="2641"/>
      <c r="AS22" s="2641"/>
      <c r="AT22" s="2641"/>
      <c r="AU22" s="2641"/>
      <c r="AV22" s="2641"/>
      <c r="AW22" s="2641"/>
      <c r="AX22" s="2641"/>
      <c r="AY22" s="2641"/>
      <c r="AZ22" s="2641"/>
      <c r="BA22" s="2641"/>
      <c r="BB22" s="2641"/>
      <c r="BC22" s="2641"/>
      <c r="BD22" s="2641"/>
      <c r="BE22" s="2641"/>
      <c r="BF22" s="2641"/>
      <c r="BG22" s="2641"/>
      <c r="BH22" s="2641"/>
      <c r="BI22" s="2641"/>
      <c r="BJ22" s="2641"/>
      <c r="BK22" s="2641"/>
      <c r="BL22" s="2641"/>
      <c r="BM22" s="2641"/>
      <c r="BN22" s="2641"/>
      <c r="BO22" s="2641"/>
      <c r="BP22" s="2641"/>
      <c r="BQ22" s="2641"/>
      <c r="BR22" s="2641"/>
      <c r="BS22" s="2641"/>
      <c r="BT22" s="2641"/>
      <c r="BU22" s="2641"/>
      <c r="BV22" s="2641"/>
      <c r="BW22" s="2641"/>
      <c r="BX22" s="2641"/>
      <c r="BY22" s="2641"/>
      <c r="BZ22" s="2641"/>
      <c r="CA22" s="2641"/>
      <c r="CB22" s="2641"/>
      <c r="CC22" s="2641"/>
      <c r="CD22" s="2641"/>
      <c r="CE22" s="2641"/>
      <c r="CF22" s="2641"/>
      <c r="CG22" s="2641"/>
      <c r="CH22" s="2904"/>
      <c r="CQ22" s="2730"/>
      <c r="CR22" s="2731"/>
      <c r="CS22" s="2679"/>
      <c r="CT22" s="2679"/>
      <c r="CU22" s="2679"/>
      <c r="CV22" s="2679"/>
      <c r="CW22" s="2679"/>
      <c r="CX22" s="2679"/>
      <c r="CY22" s="2679"/>
      <c r="CZ22" s="2679"/>
      <c r="DA22" s="2679"/>
      <c r="DB22" s="2679"/>
      <c r="DC22" s="2679"/>
      <c r="DD22" s="2679"/>
      <c r="DE22" s="2679"/>
      <c r="DF22" s="2679"/>
      <c r="DG22" s="2679"/>
      <c r="DH22" s="2679"/>
      <c r="DI22" s="2679"/>
      <c r="DJ22" s="2679"/>
      <c r="DK22" s="2679"/>
      <c r="DL22" s="2679"/>
      <c r="DM22" s="2679"/>
    </row>
    <row r="23" spans="1:152" ht="9.6" customHeight="1">
      <c r="A23" s="1"/>
      <c r="B23" s="2906"/>
      <c r="C23" s="2905"/>
      <c r="D23" s="2905"/>
      <c r="E23" s="2905"/>
      <c r="F23" s="2293"/>
      <c r="G23" s="2293"/>
      <c r="H23" s="2293"/>
      <c r="I23" s="2293"/>
      <c r="J23" s="2293"/>
      <c r="K23" s="2293"/>
      <c r="L23" s="2293"/>
      <c r="M23" s="2293"/>
      <c r="N23" s="2888"/>
      <c r="O23" s="2888"/>
      <c r="P23" s="2888"/>
      <c r="Q23" s="2888"/>
      <c r="R23" s="2888"/>
      <c r="S23" s="2910"/>
      <c r="T23" s="2910"/>
      <c r="U23" s="2910"/>
      <c r="V23" s="2910"/>
      <c r="W23" s="2907"/>
      <c r="X23" s="2907"/>
      <c r="Y23" s="2907"/>
      <c r="Z23" s="2907"/>
      <c r="AA23" s="2641"/>
      <c r="AB23" s="2641"/>
      <c r="AC23" s="2641"/>
      <c r="AD23" s="2641"/>
      <c r="AE23" s="2641"/>
      <c r="AF23" s="2641"/>
      <c r="AG23" s="2641"/>
      <c r="AH23" s="2641"/>
      <c r="AI23" s="2641"/>
      <c r="AJ23" s="2641"/>
      <c r="AK23" s="2641"/>
      <c r="AL23" s="2641"/>
      <c r="AM23" s="2641"/>
      <c r="AN23" s="2641"/>
      <c r="AO23" s="2641"/>
      <c r="AP23" s="2641"/>
      <c r="AQ23" s="2641"/>
      <c r="AR23" s="2641"/>
      <c r="AS23" s="2641"/>
      <c r="AT23" s="2641"/>
      <c r="AU23" s="2641"/>
      <c r="AV23" s="2641"/>
      <c r="AW23" s="2641"/>
      <c r="AX23" s="2641"/>
      <c r="AY23" s="2641"/>
      <c r="AZ23" s="2641"/>
      <c r="BA23" s="2641"/>
      <c r="BB23" s="2641"/>
      <c r="BC23" s="2641"/>
      <c r="BD23" s="2641"/>
      <c r="BE23" s="2641"/>
      <c r="BF23" s="2641"/>
      <c r="BG23" s="2641"/>
      <c r="BH23" s="2641"/>
      <c r="BI23" s="2641"/>
      <c r="BJ23" s="2641"/>
      <c r="BK23" s="2641"/>
      <c r="BL23" s="2641"/>
      <c r="BM23" s="2641"/>
      <c r="BN23" s="2641"/>
      <c r="BO23" s="2641"/>
      <c r="BP23" s="2641"/>
      <c r="BQ23" s="2641"/>
      <c r="BR23" s="2641"/>
      <c r="BS23" s="2641"/>
      <c r="BT23" s="2641"/>
      <c r="BU23" s="2641"/>
      <c r="BV23" s="2641"/>
      <c r="BW23" s="2641"/>
      <c r="BX23" s="2641"/>
      <c r="BY23" s="2641"/>
      <c r="BZ23" s="2641"/>
      <c r="CA23" s="2641"/>
      <c r="CB23" s="2641"/>
      <c r="CC23" s="2641"/>
      <c r="CD23" s="2641"/>
      <c r="CE23" s="2641"/>
      <c r="CF23" s="2641"/>
      <c r="CG23" s="2641"/>
      <c r="CH23" s="2904"/>
      <c r="CS23" s="2679"/>
      <c r="CT23" s="2679"/>
      <c r="CU23" s="2679"/>
      <c r="CV23" s="2679"/>
      <c r="CW23" s="2679"/>
      <c r="CX23" s="2679"/>
      <c r="CY23" s="2679"/>
      <c r="CZ23" s="2679"/>
      <c r="DA23" s="2679"/>
      <c r="DB23" s="2679"/>
      <c r="DC23" s="2679"/>
      <c r="DD23" s="2679"/>
      <c r="DE23" s="2679"/>
      <c r="DF23" s="2679"/>
      <c r="DG23" s="2679"/>
      <c r="DH23" s="2679"/>
      <c r="DI23" s="2679"/>
      <c r="DJ23" s="2679"/>
      <c r="DK23" s="2679"/>
      <c r="DL23" s="2679"/>
      <c r="DM23" s="2679"/>
    </row>
    <row r="24" spans="1:152" ht="9.6" customHeight="1">
      <c r="A24" s="1"/>
      <c r="B24" s="2906"/>
      <c r="C24" s="2905"/>
      <c r="D24" s="2905"/>
      <c r="E24" s="2905"/>
      <c r="F24" s="2293"/>
      <c r="G24" s="2293"/>
      <c r="H24" s="2293"/>
      <c r="I24" s="2293"/>
      <c r="J24" s="2293"/>
      <c r="K24" s="2293"/>
      <c r="L24" s="2293"/>
      <c r="M24" s="2293"/>
      <c r="N24" s="2889"/>
      <c r="O24" s="2889"/>
      <c r="P24" s="2889"/>
      <c r="Q24" s="2889"/>
      <c r="R24" s="2889"/>
      <c r="S24" s="2910"/>
      <c r="T24" s="2910"/>
      <c r="U24" s="2910"/>
      <c r="V24" s="2910"/>
      <c r="W24" s="2908"/>
      <c r="X24" s="2908"/>
      <c r="Y24" s="2908"/>
      <c r="Z24" s="2908"/>
      <c r="AA24" s="2642"/>
      <c r="AB24" s="2642"/>
      <c r="AC24" s="2642"/>
      <c r="AD24" s="2642"/>
      <c r="AE24" s="2642"/>
      <c r="AF24" s="2642"/>
      <c r="AG24" s="2642"/>
      <c r="AH24" s="2642"/>
      <c r="AI24" s="2642"/>
      <c r="AJ24" s="2642"/>
      <c r="AK24" s="2642"/>
      <c r="AL24" s="2642"/>
      <c r="AM24" s="2642"/>
      <c r="AN24" s="2642"/>
      <c r="AO24" s="2642"/>
      <c r="AP24" s="2642"/>
      <c r="AQ24" s="2642"/>
      <c r="AR24" s="2642"/>
      <c r="AS24" s="2642"/>
      <c r="AT24" s="2642"/>
      <c r="AU24" s="2642"/>
      <c r="AV24" s="2642"/>
      <c r="AW24" s="2642"/>
      <c r="AX24" s="2642"/>
      <c r="AY24" s="2642"/>
      <c r="AZ24" s="2642"/>
      <c r="BA24" s="2642"/>
      <c r="BB24" s="2642"/>
      <c r="BC24" s="2642"/>
      <c r="BD24" s="2642"/>
      <c r="BE24" s="2642"/>
      <c r="BF24" s="2642"/>
      <c r="BG24" s="2642"/>
      <c r="BH24" s="2642"/>
      <c r="BI24" s="2642"/>
      <c r="BJ24" s="2642"/>
      <c r="BK24" s="2642"/>
      <c r="BL24" s="2642"/>
      <c r="BM24" s="2642"/>
      <c r="BN24" s="2642"/>
      <c r="BO24" s="2642"/>
      <c r="BP24" s="2642"/>
      <c r="BQ24" s="2642"/>
      <c r="BR24" s="2642"/>
      <c r="BS24" s="2642"/>
      <c r="BT24" s="2642"/>
      <c r="BU24" s="2642"/>
      <c r="BV24" s="2642"/>
      <c r="BW24" s="2642"/>
      <c r="BX24" s="2642"/>
      <c r="BY24" s="2642"/>
      <c r="BZ24" s="2642"/>
      <c r="CA24" s="2642"/>
      <c r="CB24" s="2642"/>
      <c r="CC24" s="2642"/>
      <c r="CD24" s="2642"/>
      <c r="CE24" s="2642"/>
      <c r="CF24" s="2642"/>
      <c r="CG24" s="2642"/>
      <c r="CH24" s="2904"/>
    </row>
    <row r="25" spans="1:152" ht="9.6" customHeight="1">
      <c r="A25" s="1"/>
      <c r="B25" s="2906"/>
      <c r="C25" s="2905"/>
      <c r="D25" s="2905"/>
      <c r="E25" s="2905"/>
      <c r="F25" s="2293" t="s">
        <v>26</v>
      </c>
      <c r="G25" s="2293"/>
      <c r="H25" s="2293"/>
      <c r="I25" s="2293"/>
      <c r="J25" s="2293"/>
      <c r="K25" s="2293"/>
      <c r="L25" s="2293"/>
      <c r="M25" s="2293"/>
      <c r="N25" s="2887" t="str">
        <f>IF('Concr. Pg 1'!L31="","",'Concr. Pg 1'!L31)</f>
        <v/>
      </c>
      <c r="O25" s="2887"/>
      <c r="P25" s="2887"/>
      <c r="Q25" s="2887"/>
      <c r="R25" s="2887"/>
      <c r="S25" s="2910" t="s">
        <v>56</v>
      </c>
      <c r="T25" s="2910"/>
      <c r="U25" s="2910"/>
      <c r="V25" s="2910"/>
      <c r="W25" s="2890"/>
      <c r="X25" s="2890"/>
      <c r="Y25" s="2890"/>
      <c r="Z25" s="2890"/>
      <c r="AA25" s="2890"/>
      <c r="AB25" s="2890"/>
      <c r="AC25" s="2890"/>
      <c r="AD25" s="2890"/>
      <c r="AE25" s="2890"/>
      <c r="AF25" s="2890"/>
      <c r="AG25" s="2890"/>
      <c r="AH25" s="2890"/>
      <c r="AI25" s="2890"/>
      <c r="AJ25" s="2890"/>
      <c r="AK25" s="2890"/>
      <c r="AL25" s="2890"/>
      <c r="AM25" s="2890"/>
      <c r="AN25" s="2890"/>
      <c r="AO25" s="2890"/>
      <c r="AP25" s="2890"/>
      <c r="AQ25" s="2890"/>
      <c r="AR25" s="2890"/>
      <c r="AS25" s="2890"/>
      <c r="AT25" s="2890"/>
      <c r="AU25" s="2890"/>
      <c r="AV25" s="2890"/>
      <c r="AW25" s="2890"/>
      <c r="AX25" s="2890"/>
      <c r="AY25" s="2890"/>
      <c r="AZ25" s="2890"/>
      <c r="BA25" s="2890"/>
      <c r="BB25" s="2890"/>
      <c r="BC25" s="2890"/>
      <c r="BD25" s="2890"/>
      <c r="BE25" s="2890"/>
      <c r="BF25" s="2890"/>
      <c r="BG25" s="2890"/>
      <c r="BH25" s="2890"/>
      <c r="BI25" s="2890"/>
      <c r="BJ25" s="2890"/>
      <c r="BK25" s="2890"/>
      <c r="BL25" s="2890"/>
      <c r="BM25" s="2890"/>
      <c r="BN25" s="2890"/>
      <c r="BO25" s="2890"/>
      <c r="BP25" s="2890"/>
      <c r="BQ25" s="2890"/>
      <c r="BR25" s="2890"/>
      <c r="BS25" s="2890"/>
      <c r="BT25" s="2890"/>
      <c r="BU25" s="2890"/>
      <c r="BV25" s="2890"/>
      <c r="BW25" s="2890"/>
      <c r="BX25" s="2890"/>
      <c r="BY25" s="2890"/>
      <c r="BZ25" s="2890"/>
      <c r="CA25" s="2890"/>
      <c r="CB25" s="2890"/>
      <c r="CC25" s="2890"/>
      <c r="CD25" s="2890"/>
      <c r="CE25" s="2890"/>
      <c r="CF25" s="2890"/>
      <c r="CG25" s="2890"/>
      <c r="CH25" s="2904"/>
      <c r="CS25" s="2732" t="s">
        <v>218</v>
      </c>
      <c r="CT25" s="2732"/>
      <c r="CU25" s="2732"/>
      <c r="CV25" s="2732"/>
      <c r="CW25" s="2732"/>
      <c r="CX25" s="2732"/>
      <c r="CY25" s="2732"/>
      <c r="CZ25" s="2732"/>
      <c r="DA25" s="2732"/>
      <c r="DB25" s="2732"/>
      <c r="DC25" s="2732"/>
      <c r="DD25" s="2732"/>
      <c r="DE25" s="2732"/>
      <c r="DF25" s="2732"/>
      <c r="DG25" s="2732"/>
      <c r="DH25" s="2732"/>
      <c r="DI25" s="2732"/>
      <c r="DJ25" s="2732"/>
      <c r="DK25" s="2732"/>
      <c r="DL25" s="2732"/>
      <c r="DM25" s="2732"/>
      <c r="EC25" s="109"/>
      <c r="ED25" s="109"/>
      <c r="EE25" s="109"/>
      <c r="EF25" s="109"/>
      <c r="EG25" s="109"/>
      <c r="EH25" s="109"/>
      <c r="EI25" s="109"/>
      <c r="EJ25" s="109"/>
      <c r="EK25" s="109"/>
      <c r="EL25" s="109"/>
      <c r="EM25" s="109"/>
      <c r="EN25" s="109"/>
      <c r="EO25" s="109"/>
      <c r="EP25" s="109"/>
      <c r="EQ25" s="109"/>
      <c r="ER25" s="109"/>
      <c r="ES25" s="109"/>
      <c r="ET25" s="109"/>
      <c r="EU25" s="109"/>
      <c r="EV25" s="109"/>
    </row>
    <row r="26" spans="1:152" ht="9.6" customHeight="1">
      <c r="A26" s="1"/>
      <c r="B26" s="2906"/>
      <c r="C26" s="2905"/>
      <c r="D26" s="2905"/>
      <c r="E26" s="2905"/>
      <c r="F26" s="2293"/>
      <c r="G26" s="2293"/>
      <c r="H26" s="2293"/>
      <c r="I26" s="2293"/>
      <c r="J26" s="2293"/>
      <c r="K26" s="2293"/>
      <c r="L26" s="2293"/>
      <c r="M26" s="2293"/>
      <c r="N26" s="2888"/>
      <c r="O26" s="2888"/>
      <c r="P26" s="2888"/>
      <c r="Q26" s="2888"/>
      <c r="R26" s="2888"/>
      <c r="S26" s="2910"/>
      <c r="T26" s="2910"/>
      <c r="U26" s="2910"/>
      <c r="V26" s="2910"/>
      <c r="W26" s="2641"/>
      <c r="X26" s="2641"/>
      <c r="Y26" s="2641"/>
      <c r="Z26" s="2641"/>
      <c r="AA26" s="2641"/>
      <c r="AB26" s="2641"/>
      <c r="AC26" s="2641"/>
      <c r="AD26" s="2641"/>
      <c r="AE26" s="2641"/>
      <c r="AF26" s="2641"/>
      <c r="AG26" s="2641"/>
      <c r="AH26" s="2641"/>
      <c r="AI26" s="2641"/>
      <c r="AJ26" s="2641"/>
      <c r="AK26" s="2641"/>
      <c r="AL26" s="2641"/>
      <c r="AM26" s="2641"/>
      <c r="AN26" s="2641"/>
      <c r="AO26" s="2641"/>
      <c r="AP26" s="2641"/>
      <c r="AQ26" s="2641"/>
      <c r="AR26" s="2641"/>
      <c r="AS26" s="2641"/>
      <c r="AT26" s="2641"/>
      <c r="AU26" s="2641"/>
      <c r="AV26" s="2641"/>
      <c r="AW26" s="2641"/>
      <c r="AX26" s="2641"/>
      <c r="AY26" s="2641"/>
      <c r="AZ26" s="2641"/>
      <c r="BA26" s="2641"/>
      <c r="BB26" s="2641"/>
      <c r="BC26" s="2641"/>
      <c r="BD26" s="2641"/>
      <c r="BE26" s="2641"/>
      <c r="BF26" s="2641"/>
      <c r="BG26" s="2641"/>
      <c r="BH26" s="2641"/>
      <c r="BI26" s="2641"/>
      <c r="BJ26" s="2641"/>
      <c r="BK26" s="2641"/>
      <c r="BL26" s="2641"/>
      <c r="BM26" s="2641"/>
      <c r="BN26" s="2641"/>
      <c r="BO26" s="2641"/>
      <c r="BP26" s="2641"/>
      <c r="BQ26" s="2641"/>
      <c r="BR26" s="2641"/>
      <c r="BS26" s="2641"/>
      <c r="BT26" s="2641"/>
      <c r="BU26" s="2641"/>
      <c r="BV26" s="2641"/>
      <c r="BW26" s="2641"/>
      <c r="BX26" s="2641"/>
      <c r="BY26" s="2641"/>
      <c r="BZ26" s="2641"/>
      <c r="CA26" s="2641"/>
      <c r="CB26" s="2641"/>
      <c r="CC26" s="2641"/>
      <c r="CD26" s="2641"/>
      <c r="CE26" s="2641"/>
      <c r="CF26" s="2641"/>
      <c r="CG26" s="2641"/>
      <c r="CH26" s="2904"/>
      <c r="CQ26" s="2238"/>
      <c r="CR26" s="2240"/>
      <c r="CS26" s="2732"/>
      <c r="CT26" s="2732"/>
      <c r="CU26" s="2732"/>
      <c r="CV26" s="2732"/>
      <c r="CW26" s="2732"/>
      <c r="CX26" s="2732"/>
      <c r="CY26" s="2732"/>
      <c r="CZ26" s="2732"/>
      <c r="DA26" s="2732"/>
      <c r="DB26" s="2732"/>
      <c r="DC26" s="2732"/>
      <c r="DD26" s="2732"/>
      <c r="DE26" s="2732"/>
      <c r="DF26" s="2732"/>
      <c r="DG26" s="2732"/>
      <c r="DH26" s="2732"/>
      <c r="DI26" s="2732"/>
      <c r="DJ26" s="2732"/>
      <c r="DK26" s="2732"/>
      <c r="DL26" s="2732"/>
      <c r="DM26" s="2732"/>
      <c r="EC26" s="109"/>
      <c r="ED26" s="109"/>
      <c r="EE26" s="109"/>
      <c r="EF26" s="109"/>
      <c r="EG26" s="109"/>
      <c r="EH26" s="109"/>
      <c r="EI26" s="109"/>
      <c r="EJ26" s="109"/>
      <c r="EK26" s="109"/>
      <c r="EL26" s="109"/>
      <c r="EM26" s="109"/>
      <c r="EN26" s="109"/>
      <c r="EO26" s="109"/>
      <c r="EP26" s="109"/>
      <c r="EQ26" s="109"/>
      <c r="ER26" s="109"/>
      <c r="ES26" s="109"/>
      <c r="ET26" s="109"/>
      <c r="EU26" s="109"/>
      <c r="EV26" s="109"/>
    </row>
    <row r="27" spans="1:152" ht="9.6" customHeight="1">
      <c r="A27" s="1"/>
      <c r="B27" s="2906"/>
      <c r="C27" s="2905"/>
      <c r="D27" s="2905"/>
      <c r="E27" s="2905"/>
      <c r="F27" s="2293"/>
      <c r="G27" s="2293"/>
      <c r="H27" s="2293"/>
      <c r="I27" s="2293"/>
      <c r="J27" s="2293"/>
      <c r="K27" s="2293"/>
      <c r="L27" s="2293"/>
      <c r="M27" s="2293"/>
      <c r="N27" s="2889"/>
      <c r="O27" s="2889"/>
      <c r="P27" s="2889"/>
      <c r="Q27" s="2889"/>
      <c r="R27" s="2889"/>
      <c r="S27" s="2910"/>
      <c r="T27" s="2910"/>
      <c r="U27" s="2910"/>
      <c r="V27" s="2910"/>
      <c r="W27" s="2642"/>
      <c r="X27" s="2642"/>
      <c r="Y27" s="2642"/>
      <c r="Z27" s="2642"/>
      <c r="AA27" s="2642"/>
      <c r="AB27" s="2642"/>
      <c r="AC27" s="2642"/>
      <c r="AD27" s="2642"/>
      <c r="AE27" s="2642"/>
      <c r="AF27" s="2642"/>
      <c r="AG27" s="2642"/>
      <c r="AH27" s="2642"/>
      <c r="AI27" s="2642"/>
      <c r="AJ27" s="2642"/>
      <c r="AK27" s="2642"/>
      <c r="AL27" s="2642"/>
      <c r="AM27" s="2642"/>
      <c r="AN27" s="2642"/>
      <c r="AO27" s="2642"/>
      <c r="AP27" s="2642"/>
      <c r="AQ27" s="2642"/>
      <c r="AR27" s="2642"/>
      <c r="AS27" s="2642"/>
      <c r="AT27" s="2642"/>
      <c r="AU27" s="2642"/>
      <c r="AV27" s="2642"/>
      <c r="AW27" s="2642"/>
      <c r="AX27" s="2642"/>
      <c r="AY27" s="2642"/>
      <c r="AZ27" s="2642"/>
      <c r="BA27" s="2642"/>
      <c r="BB27" s="2642"/>
      <c r="BC27" s="2642"/>
      <c r="BD27" s="2642"/>
      <c r="BE27" s="2642"/>
      <c r="BF27" s="2642"/>
      <c r="BG27" s="2642"/>
      <c r="BH27" s="2642"/>
      <c r="BI27" s="2642"/>
      <c r="BJ27" s="2642"/>
      <c r="BK27" s="2642"/>
      <c r="BL27" s="2642"/>
      <c r="BM27" s="2642"/>
      <c r="BN27" s="2642"/>
      <c r="BO27" s="2642"/>
      <c r="BP27" s="2642"/>
      <c r="BQ27" s="2642"/>
      <c r="BR27" s="2642"/>
      <c r="BS27" s="2642"/>
      <c r="BT27" s="2642"/>
      <c r="BU27" s="2642"/>
      <c r="BV27" s="2642"/>
      <c r="BW27" s="2642"/>
      <c r="BX27" s="2642"/>
      <c r="BY27" s="2642"/>
      <c r="BZ27" s="2642"/>
      <c r="CA27" s="2642"/>
      <c r="CB27" s="2642"/>
      <c r="CC27" s="2642"/>
      <c r="CD27" s="2642"/>
      <c r="CE27" s="2642"/>
      <c r="CF27" s="2642"/>
      <c r="CG27" s="2642"/>
      <c r="CH27" s="2904"/>
      <c r="CQ27" s="2241"/>
      <c r="CR27" s="2243"/>
      <c r="CS27" s="2732"/>
      <c r="CT27" s="2732"/>
      <c r="CU27" s="2732"/>
      <c r="CV27" s="2732"/>
      <c r="CW27" s="2732"/>
      <c r="CX27" s="2732"/>
      <c r="CY27" s="2732"/>
      <c r="CZ27" s="2732"/>
      <c r="DA27" s="2732"/>
      <c r="DB27" s="2732"/>
      <c r="DC27" s="2732"/>
      <c r="DD27" s="2732"/>
      <c r="DE27" s="2732"/>
      <c r="DF27" s="2732"/>
      <c r="DG27" s="2732"/>
      <c r="DH27" s="2732"/>
      <c r="DI27" s="2732"/>
      <c r="DJ27" s="2732"/>
      <c r="DK27" s="2732"/>
      <c r="DL27" s="2732"/>
      <c r="DM27" s="2732"/>
      <c r="EC27" s="109"/>
      <c r="ED27" s="109"/>
      <c r="EE27" s="109"/>
      <c r="EF27" s="109"/>
      <c r="EG27" s="109"/>
      <c r="EH27" s="109"/>
      <c r="EI27" s="109"/>
      <c r="EJ27" s="109"/>
      <c r="EK27" s="109"/>
      <c r="EL27" s="109"/>
      <c r="EM27" s="109"/>
      <c r="EN27" s="109"/>
      <c r="EO27" s="109"/>
      <c r="EP27" s="109"/>
      <c r="EQ27" s="109"/>
      <c r="ER27" s="109"/>
      <c r="ES27" s="109"/>
      <c r="ET27" s="109"/>
      <c r="EU27" s="109"/>
      <c r="EV27" s="109"/>
    </row>
    <row r="28" spans="1:152" ht="9.6" customHeight="1">
      <c r="A28" s="1"/>
      <c r="B28" s="2906"/>
      <c r="C28" s="2905"/>
      <c r="D28" s="2905"/>
      <c r="E28" s="2905"/>
      <c r="F28" s="2293" t="s">
        <v>28</v>
      </c>
      <c r="G28" s="2293"/>
      <c r="H28" s="2293"/>
      <c r="I28" s="2293"/>
      <c r="J28" s="2293"/>
      <c r="K28" s="2293"/>
      <c r="L28" s="2293"/>
      <c r="M28" s="2293"/>
      <c r="N28" s="2887" t="str">
        <f>IF('Concr. Pg 1'!L34="","",'Concr. Pg 1'!L34)</f>
        <v/>
      </c>
      <c r="O28" s="2887"/>
      <c r="P28" s="2887"/>
      <c r="Q28" s="2887"/>
      <c r="R28" s="2887"/>
      <c r="S28" s="2910" t="s">
        <v>56</v>
      </c>
      <c r="T28" s="2910"/>
      <c r="U28" s="2910"/>
      <c r="V28" s="2910"/>
      <c r="W28" s="2890"/>
      <c r="X28" s="2890"/>
      <c r="Y28" s="2890"/>
      <c r="Z28" s="2890"/>
      <c r="AA28" s="2890"/>
      <c r="AB28" s="2890"/>
      <c r="AC28" s="2890"/>
      <c r="AD28" s="2890"/>
      <c r="AE28" s="2890"/>
      <c r="AF28" s="2890"/>
      <c r="AG28" s="2890"/>
      <c r="AH28" s="2890"/>
      <c r="AI28" s="2890"/>
      <c r="AJ28" s="2890"/>
      <c r="AK28" s="2890"/>
      <c r="AL28" s="2890"/>
      <c r="AM28" s="2890"/>
      <c r="AN28" s="2890"/>
      <c r="AO28" s="2890"/>
      <c r="AP28" s="2890"/>
      <c r="AQ28" s="2890"/>
      <c r="AR28" s="2890"/>
      <c r="AS28" s="2890"/>
      <c r="AT28" s="2890"/>
      <c r="AU28" s="2890"/>
      <c r="AV28" s="2890"/>
      <c r="AW28" s="2890"/>
      <c r="AX28" s="2890"/>
      <c r="AY28" s="2890"/>
      <c r="AZ28" s="2890"/>
      <c r="BA28" s="2890"/>
      <c r="BB28" s="2890"/>
      <c r="BC28" s="2890"/>
      <c r="BD28" s="2890"/>
      <c r="BE28" s="2890"/>
      <c r="BF28" s="2890"/>
      <c r="BG28" s="2890"/>
      <c r="BH28" s="2890"/>
      <c r="BI28" s="2890"/>
      <c r="BJ28" s="2890"/>
      <c r="BK28" s="2890"/>
      <c r="BL28" s="2890"/>
      <c r="BM28" s="2890"/>
      <c r="BN28" s="2890"/>
      <c r="BO28" s="2890"/>
      <c r="BP28" s="2890"/>
      <c r="BQ28" s="2890"/>
      <c r="BR28" s="2890"/>
      <c r="BS28" s="2890"/>
      <c r="BT28" s="2890"/>
      <c r="BU28" s="2890"/>
      <c r="BV28" s="2890"/>
      <c r="BW28" s="2890"/>
      <c r="BX28" s="2890"/>
      <c r="BY28" s="2890"/>
      <c r="BZ28" s="2890"/>
      <c r="CA28" s="2890"/>
      <c r="CB28" s="2890"/>
      <c r="CC28" s="2890"/>
      <c r="CD28" s="2890"/>
      <c r="CE28" s="2890"/>
      <c r="CF28" s="2890"/>
      <c r="CG28" s="2890"/>
      <c r="CH28" s="2904"/>
      <c r="CQ28" s="2241"/>
      <c r="CR28" s="2243"/>
      <c r="CS28" s="2732"/>
      <c r="CT28" s="2732"/>
      <c r="CU28" s="2732"/>
      <c r="CV28" s="2732"/>
      <c r="CW28" s="2732"/>
      <c r="CX28" s="2732"/>
      <c r="CY28" s="2732"/>
      <c r="CZ28" s="2732"/>
      <c r="DA28" s="2732"/>
      <c r="DB28" s="2732"/>
      <c r="DC28" s="2732"/>
      <c r="DD28" s="2732"/>
      <c r="DE28" s="2732"/>
      <c r="DF28" s="2732"/>
      <c r="DG28" s="2732"/>
      <c r="DH28" s="2732"/>
      <c r="DI28" s="2732"/>
      <c r="DJ28" s="2732"/>
      <c r="DK28" s="2732"/>
      <c r="DL28" s="2732"/>
      <c r="DM28" s="2732"/>
      <c r="EC28" s="109"/>
      <c r="ED28" s="109"/>
      <c r="EE28" s="109"/>
      <c r="EF28" s="109"/>
      <c r="EG28" s="109"/>
      <c r="EH28" s="109"/>
      <c r="EI28" s="109"/>
      <c r="EJ28" s="109"/>
      <c r="EK28" s="109"/>
      <c r="EL28" s="109"/>
      <c r="EM28" s="109"/>
      <c r="EN28" s="109"/>
      <c r="EO28" s="109"/>
      <c r="EP28" s="109"/>
      <c r="EQ28" s="109"/>
      <c r="ER28" s="109"/>
      <c r="ES28" s="109"/>
      <c r="ET28" s="109"/>
      <c r="EU28" s="109"/>
      <c r="EV28" s="109"/>
    </row>
    <row r="29" spans="1:152" ht="9.6" customHeight="1">
      <c r="A29" s="1"/>
      <c r="B29" s="2906"/>
      <c r="C29" s="2905"/>
      <c r="D29" s="2905"/>
      <c r="E29" s="2905"/>
      <c r="F29" s="2293"/>
      <c r="G29" s="2293"/>
      <c r="H29" s="2293"/>
      <c r="I29" s="2293"/>
      <c r="J29" s="2293"/>
      <c r="K29" s="2293"/>
      <c r="L29" s="2293"/>
      <c r="M29" s="2293"/>
      <c r="N29" s="2888"/>
      <c r="O29" s="2888"/>
      <c r="P29" s="2888"/>
      <c r="Q29" s="2888"/>
      <c r="R29" s="2888"/>
      <c r="S29" s="2910"/>
      <c r="T29" s="2910"/>
      <c r="U29" s="2910"/>
      <c r="V29" s="2910"/>
      <c r="W29" s="2641"/>
      <c r="X29" s="2641"/>
      <c r="Y29" s="2641"/>
      <c r="Z29" s="2641"/>
      <c r="AA29" s="2641"/>
      <c r="AB29" s="2641"/>
      <c r="AC29" s="2641"/>
      <c r="AD29" s="2641"/>
      <c r="AE29" s="2641"/>
      <c r="AF29" s="2641"/>
      <c r="AG29" s="2641"/>
      <c r="AH29" s="2641"/>
      <c r="AI29" s="2641"/>
      <c r="AJ29" s="2641"/>
      <c r="AK29" s="2641"/>
      <c r="AL29" s="2641"/>
      <c r="AM29" s="2641"/>
      <c r="AN29" s="2641"/>
      <c r="AO29" s="2641"/>
      <c r="AP29" s="2641"/>
      <c r="AQ29" s="2641"/>
      <c r="AR29" s="2641"/>
      <c r="AS29" s="2641"/>
      <c r="AT29" s="2641"/>
      <c r="AU29" s="2641"/>
      <c r="AV29" s="2641"/>
      <c r="AW29" s="2641"/>
      <c r="AX29" s="2641"/>
      <c r="AY29" s="2641"/>
      <c r="AZ29" s="2641"/>
      <c r="BA29" s="2641"/>
      <c r="BB29" s="2641"/>
      <c r="BC29" s="2641"/>
      <c r="BD29" s="2641"/>
      <c r="BE29" s="2641"/>
      <c r="BF29" s="2641"/>
      <c r="BG29" s="2641"/>
      <c r="BH29" s="2641"/>
      <c r="BI29" s="2641"/>
      <c r="BJ29" s="2641"/>
      <c r="BK29" s="2641"/>
      <c r="BL29" s="2641"/>
      <c r="BM29" s="2641"/>
      <c r="BN29" s="2641"/>
      <c r="BO29" s="2641"/>
      <c r="BP29" s="2641"/>
      <c r="BQ29" s="2641"/>
      <c r="BR29" s="2641"/>
      <c r="BS29" s="2641"/>
      <c r="BT29" s="2641"/>
      <c r="BU29" s="2641"/>
      <c r="BV29" s="2641"/>
      <c r="BW29" s="2641"/>
      <c r="BX29" s="2641"/>
      <c r="BY29" s="2641"/>
      <c r="BZ29" s="2641"/>
      <c r="CA29" s="2641"/>
      <c r="CB29" s="2641"/>
      <c r="CC29" s="2641"/>
      <c r="CD29" s="2641"/>
      <c r="CE29" s="2641"/>
      <c r="CF29" s="2641"/>
      <c r="CG29" s="2641"/>
      <c r="CH29" s="2904"/>
      <c r="CQ29" s="2244"/>
      <c r="CR29" s="2246"/>
      <c r="CS29" s="2732"/>
      <c r="CT29" s="2732"/>
      <c r="CU29" s="2732"/>
      <c r="CV29" s="2732"/>
      <c r="CW29" s="2732"/>
      <c r="CX29" s="2732"/>
      <c r="CY29" s="2732"/>
      <c r="CZ29" s="2732"/>
      <c r="DA29" s="2732"/>
      <c r="DB29" s="2732"/>
      <c r="DC29" s="2732"/>
      <c r="DD29" s="2732"/>
      <c r="DE29" s="2732"/>
      <c r="DF29" s="2732"/>
      <c r="DG29" s="2732"/>
      <c r="DH29" s="2732"/>
      <c r="DI29" s="2732"/>
      <c r="DJ29" s="2732"/>
      <c r="DK29" s="2732"/>
      <c r="DL29" s="2732"/>
      <c r="DM29" s="2732"/>
      <c r="EC29" s="109"/>
      <c r="ED29" s="109"/>
      <c r="EE29" s="109"/>
      <c r="EF29" s="109"/>
      <c r="EG29" s="109"/>
      <c r="EH29" s="109"/>
      <c r="EI29" s="109"/>
      <c r="EJ29" s="109"/>
      <c r="EK29" s="109"/>
      <c r="EL29" s="109"/>
      <c r="EM29" s="109"/>
      <c r="EN29" s="109"/>
      <c r="EO29" s="109"/>
      <c r="EP29" s="109"/>
      <c r="EQ29" s="109"/>
      <c r="ER29" s="109"/>
      <c r="ES29" s="109"/>
      <c r="ET29" s="109"/>
      <c r="EU29" s="109"/>
      <c r="EV29" s="109"/>
    </row>
    <row r="30" spans="1:152" ht="9.6" customHeight="1">
      <c r="A30" s="1"/>
      <c r="B30" s="2906"/>
      <c r="C30" s="2905"/>
      <c r="D30" s="2905"/>
      <c r="E30" s="2905"/>
      <c r="F30" s="2293"/>
      <c r="G30" s="2293"/>
      <c r="H30" s="2293"/>
      <c r="I30" s="2293"/>
      <c r="J30" s="2293"/>
      <c r="K30" s="2293"/>
      <c r="L30" s="2293"/>
      <c r="M30" s="2293"/>
      <c r="N30" s="2889"/>
      <c r="O30" s="2889"/>
      <c r="P30" s="2889"/>
      <c r="Q30" s="2889"/>
      <c r="R30" s="2889"/>
      <c r="S30" s="2910"/>
      <c r="T30" s="2910"/>
      <c r="U30" s="2910"/>
      <c r="V30" s="2910"/>
      <c r="W30" s="2642"/>
      <c r="X30" s="2642"/>
      <c r="Y30" s="2642"/>
      <c r="Z30" s="2642"/>
      <c r="AA30" s="2642"/>
      <c r="AB30" s="2642"/>
      <c r="AC30" s="2642"/>
      <c r="AD30" s="2642"/>
      <c r="AE30" s="2642"/>
      <c r="AF30" s="2642"/>
      <c r="AG30" s="2642"/>
      <c r="AH30" s="2642"/>
      <c r="AI30" s="2642"/>
      <c r="AJ30" s="2642"/>
      <c r="AK30" s="2642"/>
      <c r="AL30" s="2642"/>
      <c r="AM30" s="2642"/>
      <c r="AN30" s="2642"/>
      <c r="AO30" s="2642"/>
      <c r="AP30" s="2642"/>
      <c r="AQ30" s="2642"/>
      <c r="AR30" s="2642"/>
      <c r="AS30" s="2642"/>
      <c r="AT30" s="2642"/>
      <c r="AU30" s="2642"/>
      <c r="AV30" s="2642"/>
      <c r="AW30" s="2642"/>
      <c r="AX30" s="2642"/>
      <c r="AY30" s="2642"/>
      <c r="AZ30" s="2642"/>
      <c r="BA30" s="2642"/>
      <c r="BB30" s="2642"/>
      <c r="BC30" s="2642"/>
      <c r="BD30" s="2642"/>
      <c r="BE30" s="2642"/>
      <c r="BF30" s="2642"/>
      <c r="BG30" s="2642"/>
      <c r="BH30" s="2642"/>
      <c r="BI30" s="2642"/>
      <c r="BJ30" s="2642"/>
      <c r="BK30" s="2642"/>
      <c r="BL30" s="2642"/>
      <c r="BM30" s="2642"/>
      <c r="BN30" s="2642"/>
      <c r="BO30" s="2642"/>
      <c r="BP30" s="2642"/>
      <c r="BQ30" s="2642"/>
      <c r="BR30" s="2642"/>
      <c r="BS30" s="2642"/>
      <c r="BT30" s="2642"/>
      <c r="BU30" s="2642"/>
      <c r="BV30" s="2642"/>
      <c r="BW30" s="2642"/>
      <c r="BX30" s="2642"/>
      <c r="BY30" s="2642"/>
      <c r="BZ30" s="2642"/>
      <c r="CA30" s="2642"/>
      <c r="CB30" s="2642"/>
      <c r="CC30" s="2642"/>
      <c r="CD30" s="2642"/>
      <c r="CE30" s="2642"/>
      <c r="CF30" s="2642"/>
      <c r="CG30" s="2642"/>
      <c r="CH30" s="2904"/>
      <c r="CS30" s="2732"/>
      <c r="CT30" s="2732"/>
      <c r="CU30" s="2732"/>
      <c r="CV30" s="2732"/>
      <c r="CW30" s="2732"/>
      <c r="CX30" s="2732"/>
      <c r="CY30" s="2732"/>
      <c r="CZ30" s="2732"/>
      <c r="DA30" s="2732"/>
      <c r="DB30" s="2732"/>
      <c r="DC30" s="2732"/>
      <c r="DD30" s="2732"/>
      <c r="DE30" s="2732"/>
      <c r="DF30" s="2732"/>
      <c r="DG30" s="2732"/>
      <c r="DH30" s="2732"/>
      <c r="DI30" s="2732"/>
      <c r="DJ30" s="2732"/>
      <c r="DK30" s="2732"/>
      <c r="DL30" s="2732"/>
      <c r="DM30" s="2732"/>
      <c r="EC30" s="109"/>
      <c r="ED30" s="109"/>
      <c r="EE30" s="109"/>
      <c r="EF30" s="109"/>
      <c r="EG30" s="109"/>
      <c r="EH30" s="109"/>
      <c r="EI30" s="109"/>
      <c r="EJ30" s="109"/>
      <c r="EK30" s="109"/>
      <c r="EL30" s="109"/>
      <c r="EM30" s="109"/>
      <c r="EN30" s="109"/>
      <c r="EO30" s="109"/>
      <c r="EP30" s="109"/>
      <c r="EQ30" s="109"/>
      <c r="ER30" s="109"/>
      <c r="ES30" s="109"/>
      <c r="ET30" s="109"/>
      <c r="EU30" s="109"/>
      <c r="EV30" s="109"/>
    </row>
    <row r="31" spans="1:152" ht="9.6" customHeight="1" thickBot="1">
      <c r="A31" s="1"/>
      <c r="B31" s="2650"/>
      <c r="C31" s="2651"/>
      <c r="D31" s="2651"/>
      <c r="E31" s="2651"/>
      <c r="F31" s="2651"/>
      <c r="G31" s="2651"/>
      <c r="H31" s="2651"/>
      <c r="I31" s="2651"/>
      <c r="J31" s="2651"/>
      <c r="K31" s="2651"/>
      <c r="L31" s="2651"/>
      <c r="M31" s="2651"/>
      <c r="N31" s="2651"/>
      <c r="O31" s="2651"/>
      <c r="P31" s="2651"/>
      <c r="Q31" s="2651"/>
      <c r="R31" s="2651"/>
      <c r="S31" s="2651"/>
      <c r="T31" s="2651"/>
      <c r="U31" s="2651"/>
      <c r="V31" s="2651"/>
      <c r="W31" s="2651"/>
      <c r="X31" s="2651"/>
      <c r="Y31" s="2651"/>
      <c r="Z31" s="2651"/>
      <c r="AA31" s="2651"/>
      <c r="AB31" s="2651"/>
      <c r="AC31" s="2651"/>
      <c r="AD31" s="2651"/>
      <c r="AE31" s="2651"/>
      <c r="AF31" s="2651"/>
      <c r="AG31" s="2651"/>
      <c r="AH31" s="2651"/>
      <c r="AI31" s="2651"/>
      <c r="AJ31" s="2651"/>
      <c r="AK31" s="2651"/>
      <c r="AL31" s="2651"/>
      <c r="AM31" s="2651"/>
      <c r="AN31" s="2651"/>
      <c r="AO31" s="2651"/>
      <c r="AP31" s="2651"/>
      <c r="AQ31" s="2651"/>
      <c r="AR31" s="2651"/>
      <c r="AS31" s="2651"/>
      <c r="AT31" s="2651"/>
      <c r="AU31" s="2651"/>
      <c r="AV31" s="2651"/>
      <c r="AW31" s="2651"/>
      <c r="AX31" s="2651"/>
      <c r="AY31" s="2651"/>
      <c r="AZ31" s="2651"/>
      <c r="BA31" s="2651"/>
      <c r="BB31" s="2651"/>
      <c r="BC31" s="2651"/>
      <c r="BD31" s="2651"/>
      <c r="BE31" s="2651"/>
      <c r="BF31" s="2651"/>
      <c r="BG31" s="2651"/>
      <c r="BH31" s="2651"/>
      <c r="BI31" s="2651"/>
      <c r="BJ31" s="2651"/>
      <c r="BK31" s="2651"/>
      <c r="BL31" s="2651"/>
      <c r="BM31" s="2651"/>
      <c r="BN31" s="2651"/>
      <c r="BO31" s="2651"/>
      <c r="BP31" s="2651"/>
      <c r="BQ31" s="2651"/>
      <c r="BR31" s="2651"/>
      <c r="BS31" s="2651"/>
      <c r="BT31" s="2651"/>
      <c r="BU31" s="2651"/>
      <c r="BV31" s="2651"/>
      <c r="BW31" s="2651"/>
      <c r="BX31" s="2651"/>
      <c r="BY31" s="2651"/>
      <c r="BZ31" s="2651"/>
      <c r="CA31" s="2651"/>
      <c r="CB31" s="2651"/>
      <c r="CC31" s="2651"/>
      <c r="CD31" s="2651"/>
      <c r="CE31" s="2651"/>
      <c r="CF31" s="2651"/>
      <c r="CG31" s="2651"/>
      <c r="CH31" s="2652"/>
      <c r="CS31" s="2732"/>
      <c r="CT31" s="2732"/>
      <c r="CU31" s="2732"/>
      <c r="CV31" s="2732"/>
      <c r="CW31" s="2732"/>
      <c r="CX31" s="2732"/>
      <c r="CY31" s="2732"/>
      <c r="CZ31" s="2732"/>
      <c r="DA31" s="2732"/>
      <c r="DB31" s="2732"/>
      <c r="DC31" s="2732"/>
      <c r="DD31" s="2732"/>
      <c r="DE31" s="2732"/>
      <c r="DF31" s="2732"/>
      <c r="DG31" s="2732"/>
      <c r="DH31" s="2732"/>
      <c r="DI31" s="2732"/>
      <c r="DJ31" s="2732"/>
      <c r="DK31" s="2732"/>
      <c r="DL31" s="2732"/>
      <c r="DM31" s="2732"/>
      <c r="EC31" s="109"/>
      <c r="ED31" s="109"/>
      <c r="EE31" s="109"/>
      <c r="EF31" s="109"/>
      <c r="EG31" s="109"/>
      <c r="EH31" s="109"/>
      <c r="EI31" s="109"/>
      <c r="EJ31" s="109"/>
      <c r="EK31" s="109"/>
      <c r="EL31" s="109"/>
      <c r="EM31" s="109"/>
      <c r="EN31" s="109"/>
      <c r="EO31" s="109"/>
      <c r="EP31" s="109"/>
      <c r="EQ31" s="109"/>
      <c r="ER31" s="109"/>
      <c r="ES31" s="109"/>
      <c r="ET31" s="109"/>
      <c r="EU31" s="109"/>
      <c r="EV31" s="109"/>
    </row>
    <row r="32" spans="1:152" ht="9.6" customHeight="1">
      <c r="A32" s="1"/>
      <c r="B32" s="2883" t="s">
        <v>0</v>
      </c>
      <c r="C32" s="2616"/>
      <c r="D32" s="2616"/>
      <c r="E32" s="2616"/>
      <c r="F32" s="2616"/>
      <c r="G32" s="2617"/>
      <c r="H32" s="2615" t="s">
        <v>4</v>
      </c>
      <c r="I32" s="2616"/>
      <c r="J32" s="2616"/>
      <c r="K32" s="2617"/>
      <c r="L32" s="2615" t="s">
        <v>194</v>
      </c>
      <c r="M32" s="2836"/>
      <c r="N32" s="2836"/>
      <c r="O32" s="2837"/>
      <c r="P32" s="2615" t="s">
        <v>5</v>
      </c>
      <c r="Q32" s="2616"/>
      <c r="R32" s="2616"/>
      <c r="S32" s="2617"/>
      <c r="T32" s="2615" t="s">
        <v>11</v>
      </c>
      <c r="U32" s="2616"/>
      <c r="V32" s="2616"/>
      <c r="W32" s="2617"/>
      <c r="X32" s="2615" t="s">
        <v>24</v>
      </c>
      <c r="Y32" s="2616"/>
      <c r="Z32" s="2616"/>
      <c r="AA32" s="2616"/>
      <c r="AB32" s="2570" t="s">
        <v>25</v>
      </c>
      <c r="AC32" s="2571"/>
      <c r="AD32" s="2571"/>
      <c r="AE32" s="2571"/>
      <c r="AF32" s="2883" t="s">
        <v>40</v>
      </c>
      <c r="AG32" s="2616"/>
      <c r="AH32" s="2616"/>
      <c r="AI32" s="2828"/>
      <c r="AJ32" s="2605" t="s">
        <v>145</v>
      </c>
      <c r="AK32" s="2605"/>
      <c r="AL32" s="2605"/>
      <c r="AM32" s="2606"/>
      <c r="AN32" s="2624" t="s">
        <v>331</v>
      </c>
      <c r="AO32" s="2624"/>
      <c r="AP32" s="2624"/>
      <c r="AQ32" s="2625"/>
      <c r="AR32" s="2764" t="s">
        <v>143</v>
      </c>
      <c r="AS32" s="2764"/>
      <c r="AT32" s="2764"/>
      <c r="AU32" s="2764"/>
      <c r="AV32" s="2764"/>
      <c r="AW32" s="2764"/>
      <c r="AX32" s="2764"/>
      <c r="AY32" s="2764"/>
      <c r="AZ32" s="2764"/>
      <c r="BA32" s="2764"/>
      <c r="BB32" s="2764"/>
      <c r="BC32" s="2764"/>
      <c r="BD32" s="2764"/>
      <c r="BE32" s="2764"/>
      <c r="BF32" s="2764"/>
      <c r="BG32" s="2765"/>
      <c r="BH32" s="2615" t="s">
        <v>41</v>
      </c>
      <c r="BI32" s="2616"/>
      <c r="BJ32" s="2616"/>
      <c r="BK32" s="2616"/>
      <c r="BL32" s="2883" t="s">
        <v>42</v>
      </c>
      <c r="BM32" s="2616"/>
      <c r="BN32" s="2616"/>
      <c r="BO32" s="2617"/>
      <c r="BP32" s="2687" t="s">
        <v>15</v>
      </c>
      <c r="BQ32" s="2688"/>
      <c r="BR32" s="2688"/>
      <c r="BS32" s="2689"/>
      <c r="BT32" s="2703" t="s">
        <v>9</v>
      </c>
      <c r="BU32" s="2703"/>
      <c r="BV32" s="2703"/>
      <c r="BW32" s="2703"/>
      <c r="BX32" s="2703"/>
      <c r="BY32" s="2703"/>
      <c r="BZ32" s="2703"/>
      <c r="CA32" s="2703"/>
      <c r="CB32" s="2703"/>
      <c r="CC32" s="2703"/>
      <c r="CD32" s="2703"/>
      <c r="CE32" s="2703"/>
      <c r="CF32" s="2703"/>
      <c r="CG32" s="2703"/>
      <c r="CH32" s="2704"/>
      <c r="EC32" s="109"/>
      <c r="ED32" s="109"/>
      <c r="EE32" s="109"/>
      <c r="EF32" s="109"/>
      <c r="EG32" s="109"/>
      <c r="EH32" s="109"/>
      <c r="EI32" s="109"/>
      <c r="EJ32" s="109"/>
      <c r="EK32" s="109"/>
      <c r="EL32" s="109"/>
      <c r="EM32" s="109"/>
      <c r="EN32" s="109"/>
      <c r="EO32" s="109"/>
      <c r="EP32" s="109"/>
      <c r="EQ32" s="109"/>
      <c r="ER32" s="109"/>
      <c r="ES32" s="109"/>
      <c r="ET32" s="109"/>
      <c r="EU32" s="109"/>
      <c r="EV32" s="109"/>
    </row>
    <row r="33" spans="1:152" ht="9.6" customHeight="1">
      <c r="A33" s="1"/>
      <c r="B33" s="2884"/>
      <c r="C33" s="2583"/>
      <c r="D33" s="2583"/>
      <c r="E33" s="2583"/>
      <c r="F33" s="2583"/>
      <c r="G33" s="2618"/>
      <c r="H33" s="2582"/>
      <c r="I33" s="2583"/>
      <c r="J33" s="2583"/>
      <c r="K33" s="2618"/>
      <c r="L33" s="2838"/>
      <c r="M33" s="1617"/>
      <c r="N33" s="1617"/>
      <c r="O33" s="2839"/>
      <c r="P33" s="2582"/>
      <c r="Q33" s="2583"/>
      <c r="R33" s="2583"/>
      <c r="S33" s="2618"/>
      <c r="T33" s="2582"/>
      <c r="U33" s="2583"/>
      <c r="V33" s="2583"/>
      <c r="W33" s="2618"/>
      <c r="X33" s="2582"/>
      <c r="Y33" s="2583"/>
      <c r="Z33" s="2583"/>
      <c r="AA33" s="2583"/>
      <c r="AB33" s="2572"/>
      <c r="AC33" s="2573"/>
      <c r="AD33" s="2573"/>
      <c r="AE33" s="2573"/>
      <c r="AF33" s="2884"/>
      <c r="AG33" s="2583"/>
      <c r="AH33" s="2583"/>
      <c r="AI33" s="2829"/>
      <c r="AJ33" s="2608"/>
      <c r="AK33" s="2608"/>
      <c r="AL33" s="2608"/>
      <c r="AM33" s="2609"/>
      <c r="AN33" s="2626"/>
      <c r="AO33" s="2626"/>
      <c r="AP33" s="2626"/>
      <c r="AQ33" s="2627"/>
      <c r="AR33" s="2766"/>
      <c r="AS33" s="2766"/>
      <c r="AT33" s="2766"/>
      <c r="AU33" s="2766"/>
      <c r="AV33" s="2766"/>
      <c r="AW33" s="2766"/>
      <c r="AX33" s="2766"/>
      <c r="AY33" s="2766"/>
      <c r="AZ33" s="2766"/>
      <c r="BA33" s="2766"/>
      <c r="BB33" s="2766"/>
      <c r="BC33" s="2766"/>
      <c r="BD33" s="2766"/>
      <c r="BE33" s="2766"/>
      <c r="BF33" s="2766"/>
      <c r="BG33" s="2767"/>
      <c r="BH33" s="2582"/>
      <c r="BI33" s="2583"/>
      <c r="BJ33" s="2583"/>
      <c r="BK33" s="2583"/>
      <c r="BL33" s="2884"/>
      <c r="BM33" s="2583"/>
      <c r="BN33" s="2583"/>
      <c r="BO33" s="2618"/>
      <c r="BP33" s="2690"/>
      <c r="BQ33" s="2691"/>
      <c r="BR33" s="2691"/>
      <c r="BS33" s="2692"/>
      <c r="BT33" s="2340"/>
      <c r="BU33" s="2340"/>
      <c r="BV33" s="2340"/>
      <c r="BW33" s="2340"/>
      <c r="BX33" s="2340"/>
      <c r="BY33" s="2340"/>
      <c r="BZ33" s="2340"/>
      <c r="CA33" s="2340"/>
      <c r="CB33" s="2340"/>
      <c r="CC33" s="2340"/>
      <c r="CD33" s="2340"/>
      <c r="CE33" s="2340"/>
      <c r="CF33" s="2340"/>
      <c r="CG33" s="2340"/>
      <c r="CH33" s="2705"/>
      <c r="CO33" s="2768" t="s">
        <v>1198</v>
      </c>
      <c r="CP33" s="2769"/>
      <c r="CQ33" s="2769"/>
      <c r="CR33" s="2769"/>
      <c r="CS33" s="2769"/>
      <c r="CT33" s="2769"/>
      <c r="CU33" s="2769"/>
      <c r="CV33" s="2770"/>
      <c r="EC33" s="109"/>
      <c r="ED33" s="109"/>
      <c r="EE33" s="109"/>
      <c r="EF33" s="109"/>
      <c r="EG33" s="109"/>
      <c r="EH33" s="109"/>
      <c r="EI33" s="109"/>
      <c r="EJ33" s="109"/>
      <c r="EK33" s="109"/>
      <c r="EL33" s="109"/>
      <c r="EM33" s="109"/>
      <c r="EN33" s="109"/>
      <c r="EO33" s="109"/>
      <c r="EP33" s="109"/>
      <c r="EQ33" s="109"/>
      <c r="ER33" s="109"/>
      <c r="ES33" s="109"/>
      <c r="ET33" s="109"/>
      <c r="EU33" s="109"/>
      <c r="EV33" s="109"/>
    </row>
    <row r="34" spans="1:152" ht="9.6" customHeight="1">
      <c r="A34" s="1"/>
      <c r="B34" s="2884"/>
      <c r="C34" s="2583"/>
      <c r="D34" s="2583"/>
      <c r="E34" s="2583"/>
      <c r="F34" s="2583"/>
      <c r="G34" s="2618"/>
      <c r="H34" s="2582"/>
      <c r="I34" s="2583"/>
      <c r="J34" s="2583"/>
      <c r="K34" s="2618"/>
      <c r="L34" s="2838"/>
      <c r="M34" s="1617"/>
      <c r="N34" s="1617"/>
      <c r="O34" s="2839"/>
      <c r="P34" s="2582"/>
      <c r="Q34" s="2583"/>
      <c r="R34" s="2583"/>
      <c r="S34" s="2618"/>
      <c r="T34" s="2582"/>
      <c r="U34" s="2583"/>
      <c r="V34" s="2583"/>
      <c r="W34" s="2618"/>
      <c r="X34" s="2582"/>
      <c r="Y34" s="2583"/>
      <c r="Z34" s="2583"/>
      <c r="AA34" s="2583"/>
      <c r="AB34" s="2572"/>
      <c r="AC34" s="2573"/>
      <c r="AD34" s="2573"/>
      <c r="AE34" s="2573"/>
      <c r="AF34" s="2884"/>
      <c r="AG34" s="2583"/>
      <c r="AH34" s="2583"/>
      <c r="AI34" s="2829"/>
      <c r="AJ34" s="2855" t="s">
        <v>136</v>
      </c>
      <c r="AK34" s="2855"/>
      <c r="AL34" s="2855"/>
      <c r="AM34" s="2855"/>
      <c r="AN34" s="2855"/>
      <c r="AO34" s="2855"/>
      <c r="AP34" s="2855"/>
      <c r="AQ34" s="2856"/>
      <c r="AR34" s="2582" t="s">
        <v>1</v>
      </c>
      <c r="AS34" s="2583"/>
      <c r="AT34" s="2583"/>
      <c r="AU34" s="2583"/>
      <c r="AV34" s="2582" t="s">
        <v>2</v>
      </c>
      <c r="AW34" s="2583"/>
      <c r="AX34" s="2583"/>
      <c r="AY34" s="2583"/>
      <c r="AZ34" s="2582" t="s">
        <v>38</v>
      </c>
      <c r="BA34" s="2583"/>
      <c r="BB34" s="2583"/>
      <c r="BC34" s="2583"/>
      <c r="BD34" s="2582" t="s">
        <v>14</v>
      </c>
      <c r="BE34" s="2583"/>
      <c r="BF34" s="2583"/>
      <c r="BG34" s="2583"/>
      <c r="BH34" s="2582"/>
      <c r="BI34" s="2583"/>
      <c r="BJ34" s="2583"/>
      <c r="BK34" s="2583"/>
      <c r="BL34" s="2884"/>
      <c r="BM34" s="2583"/>
      <c r="BN34" s="2583"/>
      <c r="BO34" s="2618"/>
      <c r="BP34" s="2690"/>
      <c r="BQ34" s="2691"/>
      <c r="BR34" s="2691"/>
      <c r="BS34" s="2692"/>
      <c r="BT34" s="2340"/>
      <c r="BU34" s="2340"/>
      <c r="BV34" s="2340"/>
      <c r="BW34" s="2340"/>
      <c r="BX34" s="2340"/>
      <c r="BY34" s="2340"/>
      <c r="BZ34" s="2340"/>
      <c r="CA34" s="2340"/>
      <c r="CB34" s="2340"/>
      <c r="CC34" s="2340"/>
      <c r="CD34" s="2340"/>
      <c r="CE34" s="2340"/>
      <c r="CF34" s="2340"/>
      <c r="CG34" s="2340"/>
      <c r="CH34" s="2705"/>
      <c r="CO34" s="2771"/>
      <c r="CP34" s="2463"/>
      <c r="CQ34" s="2463"/>
      <c r="CR34" s="2463"/>
      <c r="CS34" s="2463"/>
      <c r="CT34" s="2463"/>
      <c r="CU34" s="2463"/>
      <c r="CV34" s="2585"/>
      <c r="EC34" s="109"/>
      <c r="ED34" s="109"/>
      <c r="EE34" s="109"/>
      <c r="EF34" s="109"/>
      <c r="EG34" s="109"/>
      <c r="EH34" s="109"/>
      <c r="EI34" s="109"/>
      <c r="EJ34" s="109"/>
      <c r="EK34" s="109"/>
      <c r="EL34" s="109"/>
      <c r="EM34" s="109"/>
      <c r="EN34" s="109"/>
      <c r="EO34" s="109"/>
      <c r="EP34" s="109"/>
      <c r="EQ34" s="109"/>
      <c r="ER34" s="109"/>
      <c r="ES34" s="109"/>
      <c r="ET34" s="109"/>
      <c r="EU34" s="109"/>
      <c r="EV34" s="109"/>
    </row>
    <row r="35" spans="1:152" ht="9.6" customHeight="1">
      <c r="A35" s="1"/>
      <c r="B35" s="2884"/>
      <c r="C35" s="2583"/>
      <c r="D35" s="2583"/>
      <c r="E35" s="2583"/>
      <c r="F35" s="2583"/>
      <c r="G35" s="2618"/>
      <c r="H35" s="2582"/>
      <c r="I35" s="2583"/>
      <c r="J35" s="2583"/>
      <c r="K35" s="2618"/>
      <c r="L35" s="2840"/>
      <c r="M35" s="2841"/>
      <c r="N35" s="2841"/>
      <c r="O35" s="2842"/>
      <c r="P35" s="2582"/>
      <c r="Q35" s="2583"/>
      <c r="R35" s="2583"/>
      <c r="S35" s="2618"/>
      <c r="T35" s="2582"/>
      <c r="U35" s="2583"/>
      <c r="V35" s="2583"/>
      <c r="W35" s="2618"/>
      <c r="X35" s="2582"/>
      <c r="Y35" s="2583"/>
      <c r="Z35" s="2583"/>
      <c r="AA35" s="2583"/>
      <c r="AB35" s="2572"/>
      <c r="AC35" s="2573"/>
      <c r="AD35" s="2573"/>
      <c r="AE35" s="2573"/>
      <c r="AF35" s="2884"/>
      <c r="AG35" s="2583"/>
      <c r="AH35" s="2583"/>
      <c r="AI35" s="2829"/>
      <c r="AJ35" s="2855"/>
      <c r="AK35" s="2855"/>
      <c r="AL35" s="2855"/>
      <c r="AM35" s="2855"/>
      <c r="AN35" s="2855"/>
      <c r="AO35" s="2855"/>
      <c r="AP35" s="2855"/>
      <c r="AQ35" s="2856"/>
      <c r="AR35" s="2582"/>
      <c r="AS35" s="2583"/>
      <c r="AT35" s="2583"/>
      <c r="AU35" s="2583"/>
      <c r="AV35" s="2582"/>
      <c r="AW35" s="2583"/>
      <c r="AX35" s="2583"/>
      <c r="AY35" s="2583"/>
      <c r="AZ35" s="2582"/>
      <c r="BA35" s="2583"/>
      <c r="BB35" s="2583"/>
      <c r="BC35" s="2583"/>
      <c r="BD35" s="2582"/>
      <c r="BE35" s="2583"/>
      <c r="BF35" s="2583"/>
      <c r="BG35" s="2583"/>
      <c r="BH35" s="2582"/>
      <c r="BI35" s="2583"/>
      <c r="BJ35" s="2583"/>
      <c r="BK35" s="2583"/>
      <c r="BL35" s="2884"/>
      <c r="BM35" s="2583"/>
      <c r="BN35" s="2583"/>
      <c r="BO35" s="2618"/>
      <c r="BP35" s="2690"/>
      <c r="BQ35" s="2691"/>
      <c r="BR35" s="2691"/>
      <c r="BS35" s="2692"/>
      <c r="BT35" s="2340"/>
      <c r="BU35" s="2340"/>
      <c r="BV35" s="2340"/>
      <c r="BW35" s="2340"/>
      <c r="BX35" s="2340"/>
      <c r="BY35" s="2340"/>
      <c r="BZ35" s="2340"/>
      <c r="CA35" s="2340"/>
      <c r="CB35" s="2340"/>
      <c r="CC35" s="2340"/>
      <c r="CD35" s="2340"/>
      <c r="CE35" s="2340"/>
      <c r="CF35" s="2340"/>
      <c r="CG35" s="2340"/>
      <c r="CH35" s="2705"/>
      <c r="CO35" s="2771" t="s">
        <v>1199</v>
      </c>
      <c r="CP35" s="2463"/>
      <c r="CQ35" s="2463"/>
      <c r="CR35" s="2463"/>
      <c r="CS35" s="2463"/>
      <c r="CT35" s="2463"/>
      <c r="CU35" s="2463"/>
      <c r="CV35" s="2585"/>
      <c r="EC35" s="109"/>
      <c r="ED35" s="109"/>
      <c r="EE35" s="109"/>
      <c r="EF35" s="109"/>
      <c r="EG35" s="109"/>
      <c r="EH35" s="109"/>
      <c r="EI35" s="109"/>
      <c r="EJ35" s="109"/>
      <c r="EK35" s="109"/>
      <c r="EL35" s="109"/>
      <c r="EM35" s="109"/>
      <c r="EN35" s="109"/>
      <c r="EO35" s="109"/>
      <c r="EP35" s="109"/>
      <c r="EQ35" s="109"/>
      <c r="ER35" s="109"/>
      <c r="ES35" s="109"/>
      <c r="ET35" s="109"/>
      <c r="EU35" s="109"/>
      <c r="EV35" s="109"/>
    </row>
    <row r="36" spans="1:152" ht="9.6" customHeight="1">
      <c r="A36" s="1"/>
      <c r="B36" s="2884"/>
      <c r="C36" s="2583"/>
      <c r="D36" s="2583"/>
      <c r="E36" s="2583"/>
      <c r="F36" s="2583"/>
      <c r="G36" s="2618"/>
      <c r="H36" s="2582"/>
      <c r="I36" s="2583"/>
      <c r="J36" s="2583"/>
      <c r="K36" s="2618"/>
      <c r="L36" s="2822" t="s">
        <v>148</v>
      </c>
      <c r="M36" s="2823"/>
      <c r="N36" s="2823"/>
      <c r="O36" s="2824"/>
      <c r="P36" s="2582"/>
      <c r="Q36" s="2583"/>
      <c r="R36" s="2583"/>
      <c r="S36" s="2618"/>
      <c r="T36" s="2582"/>
      <c r="U36" s="2583"/>
      <c r="V36" s="2583"/>
      <c r="W36" s="2618"/>
      <c r="X36" s="2582"/>
      <c r="Y36" s="2583"/>
      <c r="Z36" s="2583"/>
      <c r="AA36" s="2583"/>
      <c r="AB36" s="2572"/>
      <c r="AC36" s="2573"/>
      <c r="AD36" s="2573"/>
      <c r="AE36" s="2573"/>
      <c r="AF36" s="2884"/>
      <c r="AG36" s="2583"/>
      <c r="AH36" s="2583"/>
      <c r="AI36" s="2829"/>
      <c r="AJ36" s="2855"/>
      <c r="AK36" s="2855"/>
      <c r="AL36" s="2855"/>
      <c r="AM36" s="2855"/>
      <c r="AN36" s="2855"/>
      <c r="AO36" s="2855"/>
      <c r="AP36" s="2855"/>
      <c r="AQ36" s="2856"/>
      <c r="AR36" s="2582"/>
      <c r="AS36" s="2583"/>
      <c r="AT36" s="2583"/>
      <c r="AU36" s="2583"/>
      <c r="AV36" s="2582"/>
      <c r="AW36" s="2583"/>
      <c r="AX36" s="2583"/>
      <c r="AY36" s="2583"/>
      <c r="AZ36" s="2582"/>
      <c r="BA36" s="2583"/>
      <c r="BB36" s="2583"/>
      <c r="BC36" s="2583"/>
      <c r="BD36" s="2582"/>
      <c r="BE36" s="2583"/>
      <c r="BF36" s="2583"/>
      <c r="BG36" s="2583"/>
      <c r="BH36" s="2582"/>
      <c r="BI36" s="2583"/>
      <c r="BJ36" s="2583"/>
      <c r="BK36" s="2583"/>
      <c r="BL36" s="2884"/>
      <c r="BM36" s="2583"/>
      <c r="BN36" s="2583"/>
      <c r="BO36" s="2618"/>
      <c r="BP36" s="2690"/>
      <c r="BQ36" s="2691"/>
      <c r="BR36" s="2691"/>
      <c r="BS36" s="2692"/>
      <c r="BT36" s="2368"/>
      <c r="BU36" s="2368"/>
      <c r="BV36" s="2368"/>
      <c r="BW36" s="2368"/>
      <c r="BX36" s="2368"/>
      <c r="BY36" s="2368"/>
      <c r="BZ36" s="2368"/>
      <c r="CA36" s="2368"/>
      <c r="CB36" s="2368"/>
      <c r="CC36" s="2368"/>
      <c r="CD36" s="2368"/>
      <c r="CE36" s="2368"/>
      <c r="CF36" s="2368"/>
      <c r="CG36" s="2368"/>
      <c r="CH36" s="2369"/>
      <c r="CO36" s="2771"/>
      <c r="CP36" s="2463"/>
      <c r="CQ36" s="2463"/>
      <c r="CR36" s="2463"/>
      <c r="CS36" s="2463"/>
      <c r="CT36" s="2463"/>
      <c r="CU36" s="2463"/>
      <c r="CV36" s="2585"/>
      <c r="EC36" s="109"/>
      <c r="ED36" s="109"/>
      <c r="EE36" s="109"/>
      <c r="EF36" s="109"/>
      <c r="EG36" s="109"/>
      <c r="EH36" s="109"/>
      <c r="EI36" s="109"/>
      <c r="EJ36" s="109"/>
      <c r="EK36" s="109"/>
      <c r="EL36" s="109"/>
      <c r="EM36" s="109"/>
      <c r="EN36" s="109"/>
      <c r="EO36" s="109"/>
      <c r="EP36" s="109"/>
      <c r="EQ36" s="109"/>
      <c r="ER36" s="109"/>
      <c r="ES36" s="109"/>
      <c r="ET36" s="109"/>
      <c r="EU36" s="109"/>
      <c r="EV36" s="109"/>
    </row>
    <row r="37" spans="1:152" ht="9.6" customHeight="1">
      <c r="A37" s="1"/>
      <c r="B37" s="2884"/>
      <c r="C37" s="2583"/>
      <c r="D37" s="2583"/>
      <c r="E37" s="2583"/>
      <c r="F37" s="2583"/>
      <c r="G37" s="2618"/>
      <c r="H37" s="2582"/>
      <c r="I37" s="2583"/>
      <c r="J37" s="2583"/>
      <c r="K37" s="2618"/>
      <c r="L37" s="2822"/>
      <c r="M37" s="2823"/>
      <c r="N37" s="2823"/>
      <c r="O37" s="2824"/>
      <c r="P37" s="2582"/>
      <c r="Q37" s="2583"/>
      <c r="R37" s="2583"/>
      <c r="S37" s="2618"/>
      <c r="T37" s="2582"/>
      <c r="U37" s="2583"/>
      <c r="V37" s="2583"/>
      <c r="W37" s="2618"/>
      <c r="X37" s="2582"/>
      <c r="Y37" s="2583"/>
      <c r="Z37" s="2583"/>
      <c r="AA37" s="2583"/>
      <c r="AB37" s="2572"/>
      <c r="AC37" s="2573"/>
      <c r="AD37" s="2573"/>
      <c r="AE37" s="2573"/>
      <c r="AF37" s="2884"/>
      <c r="AG37" s="2583"/>
      <c r="AH37" s="2583"/>
      <c r="AI37" s="2829"/>
      <c r="AJ37" s="2855"/>
      <c r="AK37" s="2855"/>
      <c r="AL37" s="2855"/>
      <c r="AM37" s="2855"/>
      <c r="AN37" s="2855"/>
      <c r="AO37" s="2855"/>
      <c r="AP37" s="2855"/>
      <c r="AQ37" s="2856"/>
      <c r="AR37" s="2582"/>
      <c r="AS37" s="2583"/>
      <c r="AT37" s="2583"/>
      <c r="AU37" s="2583"/>
      <c r="AV37" s="2582"/>
      <c r="AW37" s="2583"/>
      <c r="AX37" s="2583"/>
      <c r="AY37" s="2583"/>
      <c r="AZ37" s="2582"/>
      <c r="BA37" s="2583"/>
      <c r="BB37" s="2583"/>
      <c r="BC37" s="2583"/>
      <c r="BD37" s="2582"/>
      <c r="BE37" s="2583"/>
      <c r="BF37" s="2583"/>
      <c r="BG37" s="2583"/>
      <c r="BH37" s="2582"/>
      <c r="BI37" s="2583"/>
      <c r="BJ37" s="2583"/>
      <c r="BK37" s="2583"/>
      <c r="BL37" s="2884"/>
      <c r="BM37" s="2583"/>
      <c r="BN37" s="2583"/>
      <c r="BO37" s="2618"/>
      <c r="BP37" s="2690"/>
      <c r="BQ37" s="2691"/>
      <c r="BR37" s="2691"/>
      <c r="BS37" s="2692"/>
      <c r="BT37" s="2370"/>
      <c r="BU37" s="2370"/>
      <c r="BV37" s="2370"/>
      <c r="BW37" s="2370"/>
      <c r="BX37" s="2370"/>
      <c r="BY37" s="2370"/>
      <c r="BZ37" s="2370"/>
      <c r="CA37" s="2370"/>
      <c r="CB37" s="2370"/>
      <c r="CC37" s="2370"/>
      <c r="CD37" s="2370"/>
      <c r="CE37" s="2370"/>
      <c r="CF37" s="2370"/>
      <c r="CG37" s="2370"/>
      <c r="CH37" s="2371"/>
      <c r="CO37" s="2771" t="s">
        <v>1200</v>
      </c>
      <c r="CP37" s="2463"/>
      <c r="CQ37" s="2463"/>
      <c r="CR37" s="2463"/>
      <c r="CS37" s="2463"/>
      <c r="CT37" s="2463"/>
      <c r="CU37" s="2463"/>
      <c r="CV37" s="2585"/>
      <c r="EC37" s="109"/>
      <c r="ED37" s="109"/>
      <c r="EE37" s="109"/>
      <c r="EF37" s="109"/>
      <c r="EG37" s="109"/>
      <c r="EH37" s="109"/>
      <c r="EI37" s="109"/>
      <c r="EJ37" s="109"/>
      <c r="EK37" s="109"/>
      <c r="EL37" s="109"/>
      <c r="EM37" s="109"/>
      <c r="EN37" s="109"/>
      <c r="EO37" s="109"/>
      <c r="EP37" s="109"/>
      <c r="EQ37" s="109"/>
      <c r="ER37" s="109"/>
      <c r="ES37" s="109"/>
      <c r="ET37" s="109"/>
      <c r="EU37" s="109"/>
      <c r="EV37" s="109"/>
    </row>
    <row r="38" spans="1:152" ht="9.6" customHeight="1">
      <c r="A38" s="1"/>
      <c r="B38" s="2884"/>
      <c r="C38" s="2583"/>
      <c r="D38" s="2583"/>
      <c r="E38" s="2583"/>
      <c r="F38" s="2583"/>
      <c r="G38" s="2618"/>
      <c r="H38" s="2582"/>
      <c r="I38" s="2583"/>
      <c r="J38" s="2583"/>
      <c r="K38" s="2618"/>
      <c r="L38" s="2822" t="s">
        <v>434</v>
      </c>
      <c r="M38" s="2823"/>
      <c r="N38" s="2823"/>
      <c r="O38" s="2824"/>
      <c r="P38" s="2582"/>
      <c r="Q38" s="2583"/>
      <c r="R38" s="2583"/>
      <c r="S38" s="2618"/>
      <c r="T38" s="2582"/>
      <c r="U38" s="2583"/>
      <c r="V38" s="2583"/>
      <c r="W38" s="2618"/>
      <c r="X38" s="2582"/>
      <c r="Y38" s="2583"/>
      <c r="Z38" s="2583"/>
      <c r="AA38" s="2583"/>
      <c r="AB38" s="2572"/>
      <c r="AC38" s="2573"/>
      <c r="AD38" s="2573"/>
      <c r="AE38" s="2573"/>
      <c r="AF38" s="2884"/>
      <c r="AG38" s="2583"/>
      <c r="AH38" s="2583"/>
      <c r="AI38" s="2829"/>
      <c r="AJ38" s="2578" t="s">
        <v>127</v>
      </c>
      <c r="AK38" s="2579"/>
      <c r="AL38" s="2579"/>
      <c r="AM38" s="2579"/>
      <c r="AN38" s="2578" t="s">
        <v>128</v>
      </c>
      <c r="AO38" s="2579"/>
      <c r="AP38" s="2579"/>
      <c r="AQ38" s="2579"/>
      <c r="AR38" s="2582"/>
      <c r="AS38" s="2583"/>
      <c r="AT38" s="2583"/>
      <c r="AU38" s="2583"/>
      <c r="AV38" s="2582"/>
      <c r="AW38" s="2583"/>
      <c r="AX38" s="2583"/>
      <c r="AY38" s="2583"/>
      <c r="AZ38" s="2582"/>
      <c r="BA38" s="2583"/>
      <c r="BB38" s="2583"/>
      <c r="BC38" s="2583"/>
      <c r="BD38" s="2582"/>
      <c r="BE38" s="2583"/>
      <c r="BF38" s="2583"/>
      <c r="BG38" s="2583"/>
      <c r="BH38" s="2582"/>
      <c r="BI38" s="2583"/>
      <c r="BJ38" s="2583"/>
      <c r="BK38" s="2583"/>
      <c r="BL38" s="2884"/>
      <c r="BM38" s="2583"/>
      <c r="BN38" s="2583"/>
      <c r="BO38" s="2618"/>
      <c r="BP38" s="2690"/>
      <c r="BQ38" s="2691"/>
      <c r="BR38" s="2691"/>
      <c r="BS38" s="2692"/>
      <c r="BT38" s="2370"/>
      <c r="BU38" s="2370"/>
      <c r="BV38" s="2370"/>
      <c r="BW38" s="2370"/>
      <c r="BX38" s="2370"/>
      <c r="BY38" s="2370"/>
      <c r="BZ38" s="2370"/>
      <c r="CA38" s="2370"/>
      <c r="CB38" s="2370"/>
      <c r="CC38" s="2370"/>
      <c r="CD38" s="2370"/>
      <c r="CE38" s="2370"/>
      <c r="CF38" s="2370"/>
      <c r="CG38" s="2370"/>
      <c r="CH38" s="2371"/>
      <c r="CI38" s="23"/>
      <c r="CK38" s="2858" t="s">
        <v>334</v>
      </c>
      <c r="CL38" s="2858"/>
      <c r="CM38" s="2858"/>
      <c r="CO38" s="2771"/>
      <c r="CP38" s="2463"/>
      <c r="CQ38" s="2463"/>
      <c r="CR38" s="2463"/>
      <c r="CS38" s="2463"/>
      <c r="CT38" s="2463"/>
      <c r="CU38" s="2463"/>
      <c r="CV38" s="2585"/>
      <c r="EC38" s="109"/>
      <c r="ED38" s="109"/>
      <c r="EE38" s="109"/>
      <c r="EF38" s="109"/>
      <c r="EG38" s="109"/>
      <c r="EH38" s="109"/>
      <c r="EI38" s="109"/>
      <c r="EJ38" s="109"/>
      <c r="EK38" s="109"/>
      <c r="EL38" s="109"/>
      <c r="EM38" s="109"/>
      <c r="EN38" s="109"/>
      <c r="EO38" s="109"/>
      <c r="EP38" s="109"/>
      <c r="EQ38" s="109"/>
      <c r="ER38" s="109"/>
      <c r="ES38" s="109"/>
      <c r="ET38" s="109"/>
      <c r="EU38" s="109"/>
      <c r="EV38" s="109"/>
    </row>
    <row r="39" spans="1:152" ht="9.6" customHeight="1">
      <c r="A39" s="1"/>
      <c r="B39" s="2884"/>
      <c r="C39" s="2583"/>
      <c r="D39" s="2583"/>
      <c r="E39" s="2583"/>
      <c r="F39" s="2583"/>
      <c r="G39" s="2618"/>
      <c r="H39" s="2582"/>
      <c r="I39" s="2583"/>
      <c r="J39" s="2583"/>
      <c r="K39" s="2618"/>
      <c r="L39" s="2822"/>
      <c r="M39" s="2823"/>
      <c r="N39" s="2823"/>
      <c r="O39" s="2824"/>
      <c r="P39" s="2582"/>
      <c r="Q39" s="2583"/>
      <c r="R39" s="2583"/>
      <c r="S39" s="2618"/>
      <c r="T39" s="2771" t="s">
        <v>13</v>
      </c>
      <c r="U39" s="2463"/>
      <c r="V39" s="2463"/>
      <c r="W39" s="2463"/>
      <c r="X39" s="2771" t="s">
        <v>13</v>
      </c>
      <c r="Y39" s="2463"/>
      <c r="Z39" s="2463"/>
      <c r="AA39" s="2463"/>
      <c r="AB39" s="2806" t="s">
        <v>13</v>
      </c>
      <c r="AC39" s="2807"/>
      <c r="AD39" s="2807"/>
      <c r="AE39" s="2807"/>
      <c r="AF39" s="2802" t="s">
        <v>12</v>
      </c>
      <c r="AG39" s="2463"/>
      <c r="AH39" s="2463"/>
      <c r="AI39" s="2803"/>
      <c r="AJ39" s="2580"/>
      <c r="AK39" s="2581"/>
      <c r="AL39" s="2581"/>
      <c r="AM39" s="2581"/>
      <c r="AN39" s="2580"/>
      <c r="AO39" s="2581"/>
      <c r="AP39" s="2581"/>
      <c r="AQ39" s="2581"/>
      <c r="AR39" s="2582"/>
      <c r="AS39" s="2583"/>
      <c r="AT39" s="2583"/>
      <c r="AU39" s="2583"/>
      <c r="AV39" s="2582"/>
      <c r="AW39" s="2583"/>
      <c r="AX39" s="2583"/>
      <c r="AY39" s="2583"/>
      <c r="AZ39" s="2582"/>
      <c r="BA39" s="2583"/>
      <c r="BB39" s="2583"/>
      <c r="BC39" s="2583"/>
      <c r="BD39" s="2582"/>
      <c r="BE39" s="2583"/>
      <c r="BF39" s="2583"/>
      <c r="BG39" s="2583"/>
      <c r="BH39" s="2771" t="s">
        <v>12</v>
      </c>
      <c r="BI39" s="2463"/>
      <c r="BJ39" s="2463"/>
      <c r="BK39" s="2463"/>
      <c r="BL39" s="2802" t="s">
        <v>12</v>
      </c>
      <c r="BM39" s="2463"/>
      <c r="BN39" s="2463"/>
      <c r="BO39" s="2585"/>
      <c r="BP39" s="2771" t="s">
        <v>12</v>
      </c>
      <c r="BQ39" s="2463"/>
      <c r="BR39" s="2463"/>
      <c r="BS39" s="2803"/>
      <c r="BT39" s="2370"/>
      <c r="BU39" s="2370"/>
      <c r="BV39" s="2370"/>
      <c r="BW39" s="2370"/>
      <c r="BX39" s="2370"/>
      <c r="BY39" s="2370"/>
      <c r="BZ39" s="2370"/>
      <c r="CA39" s="2370"/>
      <c r="CB39" s="2370"/>
      <c r="CC39" s="2370"/>
      <c r="CD39" s="2370"/>
      <c r="CE39" s="2370"/>
      <c r="CF39" s="2370"/>
      <c r="CG39" s="2370"/>
      <c r="CH39" s="2371"/>
      <c r="CI39" s="23"/>
      <c r="CK39" s="2858"/>
      <c r="CL39" s="2858"/>
      <c r="CM39" s="2858"/>
      <c r="CO39" s="2771" t="s">
        <v>1201</v>
      </c>
      <c r="CP39" s="2463"/>
      <c r="CQ39" s="2463"/>
      <c r="CR39" s="2463"/>
      <c r="CS39" s="2463"/>
      <c r="CT39" s="2463"/>
      <c r="CU39" s="2463"/>
      <c r="CV39" s="2585"/>
      <c r="EC39" s="109"/>
      <c r="ED39" s="109"/>
      <c r="EE39" s="109"/>
      <c r="EF39" s="109"/>
      <c r="EG39" s="109"/>
      <c r="EH39" s="109"/>
      <c r="EI39" s="109"/>
      <c r="EJ39" s="109"/>
      <c r="EK39" s="109"/>
      <c r="EL39" s="109"/>
      <c r="EM39" s="109"/>
      <c r="EN39" s="109"/>
      <c r="EO39" s="109"/>
      <c r="EP39" s="109"/>
      <c r="EQ39" s="109"/>
      <c r="ER39" s="109"/>
      <c r="ES39" s="109"/>
      <c r="ET39" s="109"/>
      <c r="EU39" s="109"/>
      <c r="EV39" s="109"/>
    </row>
    <row r="40" spans="1:152" ht="9.6" customHeight="1">
      <c r="A40" s="1"/>
      <c r="B40" s="2884"/>
      <c r="C40" s="2583"/>
      <c r="D40" s="2583"/>
      <c r="E40" s="2583"/>
      <c r="F40" s="2583"/>
      <c r="G40" s="2618"/>
      <c r="H40" s="2582"/>
      <c r="I40" s="2583"/>
      <c r="J40" s="2583"/>
      <c r="K40" s="2618"/>
      <c r="L40" s="2822" t="s">
        <v>433</v>
      </c>
      <c r="M40" s="2823"/>
      <c r="N40" s="2823"/>
      <c r="O40" s="2824"/>
      <c r="P40" s="2582"/>
      <c r="Q40" s="2583"/>
      <c r="R40" s="2583"/>
      <c r="S40" s="2618"/>
      <c r="T40" s="2771"/>
      <c r="U40" s="2463"/>
      <c r="V40" s="2463"/>
      <c r="W40" s="2463"/>
      <c r="X40" s="2771"/>
      <c r="Y40" s="2463"/>
      <c r="Z40" s="2463"/>
      <c r="AA40" s="2463"/>
      <c r="AB40" s="2806"/>
      <c r="AC40" s="2807"/>
      <c r="AD40" s="2807"/>
      <c r="AE40" s="2807"/>
      <c r="AF40" s="2802"/>
      <c r="AG40" s="2463"/>
      <c r="AH40" s="2463"/>
      <c r="AI40" s="2803"/>
      <c r="AJ40" s="2619" t="s">
        <v>129</v>
      </c>
      <c r="AK40" s="2620"/>
      <c r="AL40" s="2620"/>
      <c r="AM40" s="2620"/>
      <c r="AN40" s="2620"/>
      <c r="AO40" s="2620"/>
      <c r="AP40" s="2620"/>
      <c r="AQ40" s="2621"/>
      <c r="AR40" s="2582"/>
      <c r="AS40" s="2583"/>
      <c r="AT40" s="2583"/>
      <c r="AU40" s="2583"/>
      <c r="AV40" s="2582"/>
      <c r="AW40" s="2583"/>
      <c r="AX40" s="2583"/>
      <c r="AY40" s="2583"/>
      <c r="AZ40" s="2582"/>
      <c r="BA40" s="2583"/>
      <c r="BB40" s="2583"/>
      <c r="BC40" s="2583"/>
      <c r="BD40" s="2582"/>
      <c r="BE40" s="2583"/>
      <c r="BF40" s="2583"/>
      <c r="BG40" s="2583"/>
      <c r="BH40" s="2771"/>
      <c r="BI40" s="2463"/>
      <c r="BJ40" s="2463"/>
      <c r="BK40" s="2463"/>
      <c r="BL40" s="2802"/>
      <c r="BM40" s="2463"/>
      <c r="BN40" s="2463"/>
      <c r="BO40" s="2585"/>
      <c r="BP40" s="2771"/>
      <c r="BQ40" s="2463"/>
      <c r="BR40" s="2463"/>
      <c r="BS40" s="2803"/>
      <c r="BT40" s="2370"/>
      <c r="BU40" s="2370"/>
      <c r="BV40" s="2370"/>
      <c r="BW40" s="2370"/>
      <c r="BX40" s="2370"/>
      <c r="BY40" s="2370"/>
      <c r="BZ40" s="2370"/>
      <c r="CA40" s="2370"/>
      <c r="CB40" s="2370"/>
      <c r="CC40" s="2370"/>
      <c r="CD40" s="2370"/>
      <c r="CE40" s="2370"/>
      <c r="CF40" s="2370"/>
      <c r="CG40" s="2370"/>
      <c r="CH40" s="2371"/>
      <c r="CI40" s="23"/>
      <c r="CK40" s="2858"/>
      <c r="CL40" s="2858"/>
      <c r="CM40" s="2858"/>
      <c r="CO40" s="2771"/>
      <c r="CP40" s="2463"/>
      <c r="CQ40" s="2463"/>
      <c r="CR40" s="2463"/>
      <c r="CS40" s="2463"/>
      <c r="CT40" s="2463"/>
      <c r="CU40" s="2463"/>
      <c r="CV40" s="2585"/>
      <c r="EC40" s="109"/>
      <c r="ED40" s="109"/>
      <c r="EE40" s="109"/>
      <c r="EF40" s="109"/>
      <c r="EG40" s="109"/>
      <c r="EH40" s="109"/>
      <c r="EI40" s="109"/>
      <c r="EJ40" s="109"/>
      <c r="EK40" s="109"/>
      <c r="EL40" s="109"/>
      <c r="EM40" s="109"/>
      <c r="EN40" s="109"/>
      <c r="EO40" s="109"/>
      <c r="EP40" s="109"/>
      <c r="EQ40" s="109"/>
      <c r="ER40" s="109"/>
      <c r="ES40" s="109"/>
      <c r="ET40" s="109"/>
      <c r="EU40" s="109"/>
      <c r="EV40" s="109"/>
    </row>
    <row r="41" spans="1:152" ht="9.6" customHeight="1">
      <c r="A41" s="1"/>
      <c r="B41" s="2884"/>
      <c r="C41" s="2583"/>
      <c r="D41" s="2583"/>
      <c r="E41" s="2583"/>
      <c r="F41" s="2583"/>
      <c r="G41" s="2618"/>
      <c r="H41" s="2582"/>
      <c r="I41" s="2583"/>
      <c r="J41" s="2583"/>
      <c r="K41" s="2618"/>
      <c r="L41" s="2825"/>
      <c r="M41" s="2826"/>
      <c r="N41" s="2826"/>
      <c r="O41" s="2827"/>
      <c r="P41" s="2584"/>
      <c r="Q41" s="2536"/>
      <c r="R41" s="2536"/>
      <c r="S41" s="2537"/>
      <c r="T41" s="2772"/>
      <c r="U41" s="2586"/>
      <c r="V41" s="2586"/>
      <c r="W41" s="2586"/>
      <c r="X41" s="2772"/>
      <c r="Y41" s="2586"/>
      <c r="Z41" s="2586"/>
      <c r="AA41" s="2586"/>
      <c r="AB41" s="2808"/>
      <c r="AC41" s="2809"/>
      <c r="AD41" s="2809"/>
      <c r="AE41" s="2809"/>
      <c r="AF41" s="2804"/>
      <c r="AG41" s="2586"/>
      <c r="AH41" s="2586"/>
      <c r="AI41" s="2805"/>
      <c r="AJ41" s="2622"/>
      <c r="AK41" s="2622"/>
      <c r="AL41" s="2622"/>
      <c r="AM41" s="2622"/>
      <c r="AN41" s="2622"/>
      <c r="AO41" s="2622"/>
      <c r="AP41" s="2622"/>
      <c r="AQ41" s="2623"/>
      <c r="AR41" s="2584"/>
      <c r="AS41" s="2536"/>
      <c r="AT41" s="2536"/>
      <c r="AU41" s="2536"/>
      <c r="AV41" s="2584"/>
      <c r="AW41" s="2536"/>
      <c r="AX41" s="2536"/>
      <c r="AY41" s="2536"/>
      <c r="AZ41" s="2584"/>
      <c r="BA41" s="2536"/>
      <c r="BB41" s="2536"/>
      <c r="BC41" s="2536"/>
      <c r="BD41" s="2584"/>
      <c r="BE41" s="2536"/>
      <c r="BF41" s="2536"/>
      <c r="BG41" s="2536"/>
      <c r="BH41" s="2772"/>
      <c r="BI41" s="2586"/>
      <c r="BJ41" s="2586"/>
      <c r="BK41" s="2586"/>
      <c r="BL41" s="2804"/>
      <c r="BM41" s="2586"/>
      <c r="BN41" s="2586"/>
      <c r="BO41" s="2587"/>
      <c r="BP41" s="2772"/>
      <c r="BQ41" s="2586"/>
      <c r="BR41" s="2586"/>
      <c r="BS41" s="2805"/>
      <c r="BT41" s="2372"/>
      <c r="BU41" s="2372"/>
      <c r="BV41" s="2372"/>
      <c r="BW41" s="2372"/>
      <c r="BX41" s="2372"/>
      <c r="BY41" s="2372"/>
      <c r="BZ41" s="2372"/>
      <c r="CA41" s="2372"/>
      <c r="CB41" s="2372"/>
      <c r="CC41" s="2372"/>
      <c r="CD41" s="2372"/>
      <c r="CE41" s="2372"/>
      <c r="CF41" s="2372"/>
      <c r="CG41" s="2372"/>
      <c r="CH41" s="2373"/>
      <c r="CI41" s="23"/>
      <c r="CJ41" s="23"/>
      <c r="CK41" s="2858"/>
      <c r="CL41" s="2858"/>
      <c r="CM41" s="2858"/>
      <c r="CO41" s="2772"/>
      <c r="CP41" s="2586"/>
      <c r="CQ41" s="2586"/>
      <c r="CR41" s="2586"/>
      <c r="CS41" s="2586"/>
      <c r="CT41" s="2586"/>
      <c r="CU41" s="2586"/>
      <c r="CV41" s="2587"/>
      <c r="EC41" s="109"/>
      <c r="ED41" s="109"/>
      <c r="EE41" s="109"/>
      <c r="EF41" s="109"/>
      <c r="EG41" s="109"/>
      <c r="EH41" s="109"/>
      <c r="EI41" s="109"/>
      <c r="EJ41" s="109"/>
      <c r="EK41" s="109"/>
      <c r="EL41" s="109"/>
      <c r="EM41" s="109"/>
      <c r="EN41" s="109"/>
      <c r="EO41" s="109"/>
      <c r="EP41" s="109"/>
      <c r="EQ41" s="109"/>
      <c r="ER41" s="109"/>
      <c r="ES41" s="109"/>
      <c r="ET41" s="109"/>
      <c r="EU41" s="109"/>
      <c r="EV41" s="109"/>
    </row>
    <row r="42" spans="1:152" ht="9.6" customHeight="1">
      <c r="A42" s="2518">
        <v>26</v>
      </c>
      <c r="B42" s="2525"/>
      <c r="C42" s="2520"/>
      <c r="D42" s="2520"/>
      <c r="E42" s="2520"/>
      <c r="F42" s="2520"/>
      <c r="G42" s="2529"/>
      <c r="H42" s="2503">
        <v>0.625</v>
      </c>
      <c r="I42" s="2504"/>
      <c r="J42" s="2504"/>
      <c r="K42" s="2505"/>
      <c r="L42" s="2474"/>
      <c r="M42" s="2475"/>
      <c r="N42" s="2475"/>
      <c r="O42" s="2476"/>
      <c r="P42" s="2503">
        <v>0.75</v>
      </c>
      <c r="Q42" s="2504"/>
      <c r="R42" s="2504"/>
      <c r="S42" s="2505"/>
      <c r="T42" s="2420"/>
      <c r="U42" s="2421"/>
      <c r="V42" s="2421"/>
      <c r="W42" s="2450"/>
      <c r="X42" s="2420"/>
      <c r="Y42" s="2421"/>
      <c r="Z42" s="2421"/>
      <c r="AA42" s="2450"/>
      <c r="AB42" s="2881" t="str">
        <f>IF(L42="REJECTED",'Concr. Pg 2'!AB98,IF(X42="","",IF(N$22="","",N$22-X42)))</f>
        <v/>
      </c>
      <c r="AC42" s="2881"/>
      <c r="AD42" s="2881"/>
      <c r="AE42" s="2882"/>
      <c r="AF42" s="2440"/>
      <c r="AG42" s="2421"/>
      <c r="AH42" s="2421"/>
      <c r="AI42" s="2441"/>
      <c r="AJ42" s="2438"/>
      <c r="AK42" s="2356"/>
      <c r="AL42" s="2356"/>
      <c r="AM42" s="2356"/>
      <c r="AN42" s="2438"/>
      <c r="AO42" s="2356"/>
      <c r="AP42" s="2356"/>
      <c r="AQ42" s="2356"/>
      <c r="AR42" s="2356"/>
      <c r="AS42" s="2356"/>
      <c r="AT42" s="2356"/>
      <c r="AU42" s="2356"/>
      <c r="AV42" s="2356"/>
      <c r="AW42" s="2356"/>
      <c r="AX42" s="2356"/>
      <c r="AY42" s="2880"/>
      <c r="AZ42" s="2356"/>
      <c r="BA42" s="2356"/>
      <c r="BB42" s="2356"/>
      <c r="BC42" s="2880"/>
      <c r="BD42" s="2356"/>
      <c r="BE42" s="2356"/>
      <c r="BF42" s="2356"/>
      <c r="BG42" s="2880"/>
      <c r="BH42" s="2356"/>
      <c r="BI42" s="2356"/>
      <c r="BJ42" s="2356"/>
      <c r="BK42" s="2880"/>
      <c r="BL42" s="2885" t="str">
        <f>IF(OR(L42="REJECTED",L42="Not Placed"),0,IF(AF42="","",SUM(AF42:AM45)-SUM(AN42:BK45)))</f>
        <v/>
      </c>
      <c r="BM42" s="2375"/>
      <c r="BN42" s="2375"/>
      <c r="BO42" s="2375"/>
      <c r="BP42" s="2375" t="str">
        <f>IF(L42="REJECTED",'Concr. Pg 2'!BP98,IF(AF42="","",BL42+'Concr. Pg 2'!BP98))</f>
        <v/>
      </c>
      <c r="BQ42" s="2375"/>
      <c r="BR42" s="2375"/>
      <c r="BS42" s="2376"/>
      <c r="BT42" s="2577"/>
      <c r="BU42" s="2368"/>
      <c r="BV42" s="2368"/>
      <c r="BW42" s="2368"/>
      <c r="BX42" s="2368"/>
      <c r="BY42" s="2368"/>
      <c r="BZ42" s="2368"/>
      <c r="CA42" s="2368"/>
      <c r="CB42" s="2368"/>
      <c r="CC42" s="2368"/>
      <c r="CD42" s="2368"/>
      <c r="CE42" s="2368"/>
      <c r="CF42" s="2368"/>
      <c r="CG42" s="2368"/>
      <c r="CH42" s="2369"/>
      <c r="CI42" s="2886">
        <v>26</v>
      </c>
      <c r="CJ42" s="2886"/>
      <c r="CK42" s="2857" t="e">
        <f>'Concr. Curve'!BL30</f>
        <v>#DIV/0!</v>
      </c>
      <c r="CL42" s="2857"/>
      <c r="CM42" s="2857"/>
      <c r="CQ42" s="2742">
        <f t="shared" ref="CQ42" si="0">IF(OR(P42="",H42=""),"",MOD(P42-H42,1)*24*60)</f>
        <v>180</v>
      </c>
      <c r="CR42" s="2743"/>
      <c r="CS42" s="2743"/>
      <c r="CT42" s="2744"/>
      <c r="EC42" s="109"/>
      <c r="ED42" s="109"/>
      <c r="EE42" s="109"/>
      <c r="EF42" s="109"/>
      <c r="EG42" s="109"/>
      <c r="EH42" s="109"/>
      <c r="EI42" s="109"/>
      <c r="EJ42" s="109"/>
      <c r="EK42" s="109"/>
      <c r="EL42" s="109"/>
      <c r="EM42" s="109"/>
      <c r="EN42" s="109"/>
      <c r="EO42" s="109"/>
      <c r="EP42" s="109"/>
      <c r="EQ42" s="109"/>
      <c r="ER42" s="109"/>
      <c r="ES42" s="109"/>
      <c r="ET42" s="109"/>
      <c r="EU42" s="109"/>
      <c r="EV42" s="109"/>
    </row>
    <row r="43" spans="1:152" ht="9.6" customHeight="1">
      <c r="A43" s="2518"/>
      <c r="B43" s="2530"/>
      <c r="C43" s="2522"/>
      <c r="D43" s="2522"/>
      <c r="E43" s="2522"/>
      <c r="F43" s="2522"/>
      <c r="G43" s="2527"/>
      <c r="H43" s="2506"/>
      <c r="I43" s="2507"/>
      <c r="J43" s="2507"/>
      <c r="K43" s="2508"/>
      <c r="L43" s="2477"/>
      <c r="M43" s="2478"/>
      <c r="N43" s="2478"/>
      <c r="O43" s="2479"/>
      <c r="P43" s="2506"/>
      <c r="Q43" s="2507"/>
      <c r="R43" s="2507"/>
      <c r="S43" s="2508"/>
      <c r="T43" s="2422"/>
      <c r="U43" s="2297"/>
      <c r="V43" s="2297"/>
      <c r="W43" s="2451"/>
      <c r="X43" s="2422"/>
      <c r="Y43" s="2297"/>
      <c r="Z43" s="2297"/>
      <c r="AA43" s="2451"/>
      <c r="AB43" s="2881"/>
      <c r="AC43" s="2881"/>
      <c r="AD43" s="2881"/>
      <c r="AE43" s="2882"/>
      <c r="AF43" s="2446"/>
      <c r="AG43" s="2297"/>
      <c r="AH43" s="2297"/>
      <c r="AI43" s="2447"/>
      <c r="AJ43" s="2438"/>
      <c r="AK43" s="2356"/>
      <c r="AL43" s="2356"/>
      <c r="AM43" s="2356"/>
      <c r="AN43" s="2438"/>
      <c r="AO43" s="2356"/>
      <c r="AP43" s="2356"/>
      <c r="AQ43" s="2356"/>
      <c r="AR43" s="2356"/>
      <c r="AS43" s="2356"/>
      <c r="AT43" s="2356"/>
      <c r="AU43" s="2356"/>
      <c r="AV43" s="2356"/>
      <c r="AW43" s="2356"/>
      <c r="AX43" s="2356"/>
      <c r="AY43" s="2880"/>
      <c r="AZ43" s="2356"/>
      <c r="BA43" s="2356"/>
      <c r="BB43" s="2356"/>
      <c r="BC43" s="2880"/>
      <c r="BD43" s="2356"/>
      <c r="BE43" s="2356"/>
      <c r="BF43" s="2356"/>
      <c r="BG43" s="2880"/>
      <c r="BH43" s="2356"/>
      <c r="BI43" s="2356"/>
      <c r="BJ43" s="2356"/>
      <c r="BK43" s="2880"/>
      <c r="BL43" s="2885"/>
      <c r="BM43" s="2375"/>
      <c r="BN43" s="2375"/>
      <c r="BO43" s="2375"/>
      <c r="BP43" s="2375"/>
      <c r="BQ43" s="2375"/>
      <c r="BR43" s="2375"/>
      <c r="BS43" s="2376"/>
      <c r="BT43" s="2370"/>
      <c r="BU43" s="2370"/>
      <c r="BV43" s="2370"/>
      <c r="BW43" s="2370"/>
      <c r="BX43" s="2370"/>
      <c r="BY43" s="2370"/>
      <c r="BZ43" s="2370"/>
      <c r="CA43" s="2370"/>
      <c r="CB43" s="2370"/>
      <c r="CC43" s="2370"/>
      <c r="CD43" s="2370"/>
      <c r="CE43" s="2370"/>
      <c r="CF43" s="2370"/>
      <c r="CG43" s="2370"/>
      <c r="CH43" s="2371"/>
      <c r="CI43" s="2886"/>
      <c r="CJ43" s="2886"/>
      <c r="CK43" s="2857"/>
      <c r="CL43" s="2857"/>
      <c r="CM43" s="2857"/>
      <c r="CQ43" s="2742"/>
      <c r="CR43" s="2743"/>
      <c r="CS43" s="2743"/>
      <c r="CT43" s="2744"/>
      <c r="EC43" s="109"/>
      <c r="ED43" s="109"/>
      <c r="EE43" s="109"/>
      <c r="EF43" s="109"/>
      <c r="EG43" s="109"/>
      <c r="EH43" s="109"/>
      <c r="EI43" s="109"/>
      <c r="EJ43" s="109"/>
      <c r="EK43" s="109"/>
      <c r="EL43" s="109"/>
      <c r="EM43" s="109"/>
      <c r="EN43" s="109"/>
      <c r="EO43" s="109"/>
      <c r="EP43" s="109"/>
      <c r="EQ43" s="109"/>
      <c r="ER43" s="109"/>
      <c r="ES43" s="109"/>
      <c r="ET43" s="109"/>
      <c r="EU43" s="109"/>
      <c r="EV43" s="109"/>
    </row>
    <row r="44" spans="1:152" ht="9.6" customHeight="1">
      <c r="A44" s="2518"/>
      <c r="B44" s="2530"/>
      <c r="C44" s="2522"/>
      <c r="D44" s="2522"/>
      <c r="E44" s="2522"/>
      <c r="F44" s="2522"/>
      <c r="G44" s="2527"/>
      <c r="H44" s="2506"/>
      <c r="I44" s="2507"/>
      <c r="J44" s="2507"/>
      <c r="K44" s="2508"/>
      <c r="L44" s="2477"/>
      <c r="M44" s="2478"/>
      <c r="N44" s="2478"/>
      <c r="O44" s="2479"/>
      <c r="P44" s="2506"/>
      <c r="Q44" s="2507"/>
      <c r="R44" s="2507"/>
      <c r="S44" s="2508"/>
      <c r="T44" s="2422"/>
      <c r="U44" s="2297"/>
      <c r="V44" s="2297"/>
      <c r="W44" s="2451"/>
      <c r="X44" s="2422"/>
      <c r="Y44" s="2297"/>
      <c r="Z44" s="2297"/>
      <c r="AA44" s="2451"/>
      <c r="AB44" s="2881"/>
      <c r="AC44" s="2881"/>
      <c r="AD44" s="2881"/>
      <c r="AE44" s="2882"/>
      <c r="AF44" s="2446"/>
      <c r="AG44" s="2297"/>
      <c r="AH44" s="2297"/>
      <c r="AI44" s="2447"/>
      <c r="AJ44" s="2438"/>
      <c r="AK44" s="2356"/>
      <c r="AL44" s="2356"/>
      <c r="AM44" s="2356"/>
      <c r="AN44" s="2438"/>
      <c r="AO44" s="2356"/>
      <c r="AP44" s="2356"/>
      <c r="AQ44" s="2356"/>
      <c r="AR44" s="2356"/>
      <c r="AS44" s="2356"/>
      <c r="AT44" s="2356"/>
      <c r="AU44" s="2356"/>
      <c r="AV44" s="2356"/>
      <c r="AW44" s="2356"/>
      <c r="AX44" s="2356"/>
      <c r="AY44" s="2880"/>
      <c r="AZ44" s="2356"/>
      <c r="BA44" s="2356"/>
      <c r="BB44" s="2356"/>
      <c r="BC44" s="2880"/>
      <c r="BD44" s="2356"/>
      <c r="BE44" s="2356"/>
      <c r="BF44" s="2356"/>
      <c r="BG44" s="2880"/>
      <c r="BH44" s="2356"/>
      <c r="BI44" s="2356"/>
      <c r="BJ44" s="2356"/>
      <c r="BK44" s="2880"/>
      <c r="BL44" s="2885"/>
      <c r="BM44" s="2375"/>
      <c r="BN44" s="2375"/>
      <c r="BO44" s="2375"/>
      <c r="BP44" s="2375"/>
      <c r="BQ44" s="2375"/>
      <c r="BR44" s="2375"/>
      <c r="BS44" s="2376"/>
      <c r="BT44" s="2370"/>
      <c r="BU44" s="2370"/>
      <c r="BV44" s="2370"/>
      <c r="BW44" s="2370"/>
      <c r="BX44" s="2370"/>
      <c r="BY44" s="2370"/>
      <c r="BZ44" s="2370"/>
      <c r="CA44" s="2370"/>
      <c r="CB44" s="2370"/>
      <c r="CC44" s="2370"/>
      <c r="CD44" s="2370"/>
      <c r="CE44" s="2370"/>
      <c r="CF44" s="2370"/>
      <c r="CG44" s="2370"/>
      <c r="CH44" s="2371"/>
      <c r="CI44" s="2886"/>
      <c r="CJ44" s="2886"/>
      <c r="CK44" s="2857"/>
      <c r="CL44" s="2857"/>
      <c r="CM44" s="2857"/>
      <c r="CQ44" s="2742"/>
      <c r="CR44" s="2743"/>
      <c r="CS44" s="2743"/>
      <c r="CT44" s="2744"/>
      <c r="EC44" s="109"/>
      <c r="ED44" s="109"/>
      <c r="EE44" s="109"/>
      <c r="EF44" s="109"/>
      <c r="EG44" s="109"/>
      <c r="EH44" s="109"/>
      <c r="EI44" s="109"/>
      <c r="EJ44" s="109"/>
      <c r="EK44" s="109"/>
      <c r="EL44" s="109"/>
      <c r="EM44" s="109"/>
      <c r="EN44" s="109"/>
      <c r="EO44" s="109"/>
      <c r="EP44" s="109"/>
      <c r="EQ44" s="109"/>
      <c r="ER44" s="109"/>
      <c r="ES44" s="109"/>
      <c r="ET44" s="109"/>
      <c r="EU44" s="109"/>
      <c r="EV44" s="109"/>
    </row>
    <row r="45" spans="1:152" ht="9.6" customHeight="1">
      <c r="A45" s="2518"/>
      <c r="B45" s="2523"/>
      <c r="C45" s="2524"/>
      <c r="D45" s="2524"/>
      <c r="E45" s="2524"/>
      <c r="F45" s="2524"/>
      <c r="G45" s="2528"/>
      <c r="H45" s="2509"/>
      <c r="I45" s="2510"/>
      <c r="J45" s="2510"/>
      <c r="K45" s="2511"/>
      <c r="L45" s="2480"/>
      <c r="M45" s="2481"/>
      <c r="N45" s="2481"/>
      <c r="O45" s="2482"/>
      <c r="P45" s="2509"/>
      <c r="Q45" s="2510"/>
      <c r="R45" s="2510"/>
      <c r="S45" s="2511"/>
      <c r="T45" s="2439"/>
      <c r="U45" s="2298"/>
      <c r="V45" s="2298"/>
      <c r="W45" s="2452"/>
      <c r="X45" s="2439"/>
      <c r="Y45" s="2298"/>
      <c r="Z45" s="2298"/>
      <c r="AA45" s="2452"/>
      <c r="AB45" s="2881"/>
      <c r="AC45" s="2881"/>
      <c r="AD45" s="2881"/>
      <c r="AE45" s="2882"/>
      <c r="AF45" s="2444"/>
      <c r="AG45" s="2298"/>
      <c r="AH45" s="2298"/>
      <c r="AI45" s="2445"/>
      <c r="AJ45" s="2438"/>
      <c r="AK45" s="2356"/>
      <c r="AL45" s="2356"/>
      <c r="AM45" s="2356"/>
      <c r="AN45" s="2438"/>
      <c r="AO45" s="2356"/>
      <c r="AP45" s="2356"/>
      <c r="AQ45" s="2356"/>
      <c r="AR45" s="2356"/>
      <c r="AS45" s="2356"/>
      <c r="AT45" s="2356"/>
      <c r="AU45" s="2356"/>
      <c r="AV45" s="2356"/>
      <c r="AW45" s="2356"/>
      <c r="AX45" s="2356"/>
      <c r="AY45" s="2880"/>
      <c r="AZ45" s="2356"/>
      <c r="BA45" s="2356"/>
      <c r="BB45" s="2356"/>
      <c r="BC45" s="2880"/>
      <c r="BD45" s="2356"/>
      <c r="BE45" s="2356"/>
      <c r="BF45" s="2356"/>
      <c r="BG45" s="2880"/>
      <c r="BH45" s="2356"/>
      <c r="BI45" s="2356"/>
      <c r="BJ45" s="2356"/>
      <c r="BK45" s="2880"/>
      <c r="BL45" s="2885"/>
      <c r="BM45" s="2375"/>
      <c r="BN45" s="2375"/>
      <c r="BO45" s="2375"/>
      <c r="BP45" s="2375"/>
      <c r="BQ45" s="2375"/>
      <c r="BR45" s="2375"/>
      <c r="BS45" s="2376"/>
      <c r="BT45" s="2372"/>
      <c r="BU45" s="2372"/>
      <c r="BV45" s="2372"/>
      <c r="BW45" s="2372"/>
      <c r="BX45" s="2372"/>
      <c r="BY45" s="2372"/>
      <c r="BZ45" s="2372"/>
      <c r="CA45" s="2372"/>
      <c r="CB45" s="2372"/>
      <c r="CC45" s="2372"/>
      <c r="CD45" s="2372"/>
      <c r="CE45" s="2372"/>
      <c r="CF45" s="2372"/>
      <c r="CG45" s="2372"/>
      <c r="CH45" s="2373"/>
      <c r="CI45" s="2886"/>
      <c r="CJ45" s="2886"/>
      <c r="CK45" s="2857"/>
      <c r="CL45" s="2857"/>
      <c r="CM45" s="2857"/>
      <c r="CQ45" s="2745"/>
      <c r="CR45" s="2746"/>
      <c r="CS45" s="2746"/>
      <c r="CT45" s="2747"/>
      <c r="EC45" s="109"/>
      <c r="ED45" s="109"/>
      <c r="EE45" s="109"/>
      <c r="EF45" s="109"/>
      <c r="EG45" s="109"/>
      <c r="EH45" s="109"/>
      <c r="EI45" s="109"/>
      <c r="EJ45" s="109"/>
      <c r="EK45" s="109"/>
      <c r="EL45" s="109"/>
      <c r="EM45" s="109"/>
      <c r="EN45" s="109"/>
      <c r="EO45" s="109"/>
      <c r="EP45" s="109"/>
      <c r="EQ45" s="109"/>
      <c r="ER45" s="109"/>
      <c r="ES45" s="109"/>
      <c r="ET45" s="109"/>
      <c r="EU45" s="109"/>
      <c r="EV45" s="109"/>
    </row>
    <row r="46" spans="1:152" ht="9.6" customHeight="1">
      <c r="A46" s="2518">
        <v>27</v>
      </c>
      <c r="B46" s="2525"/>
      <c r="C46" s="2520"/>
      <c r="D46" s="2520"/>
      <c r="E46" s="2520"/>
      <c r="F46" s="2520"/>
      <c r="G46" s="2529"/>
      <c r="H46" s="2503">
        <v>0.66666666666666663</v>
      </c>
      <c r="I46" s="2504"/>
      <c r="J46" s="2504"/>
      <c r="K46" s="2505"/>
      <c r="L46" s="2474"/>
      <c r="M46" s="2475"/>
      <c r="N46" s="2475"/>
      <c r="O46" s="2476"/>
      <c r="P46" s="2503">
        <v>0.72916666666666663</v>
      </c>
      <c r="Q46" s="2504"/>
      <c r="R46" s="2504"/>
      <c r="S46" s="2505"/>
      <c r="T46" s="2420"/>
      <c r="U46" s="2421"/>
      <c r="V46" s="2421"/>
      <c r="W46" s="2450"/>
      <c r="X46" s="2420"/>
      <c r="Y46" s="2421"/>
      <c r="Z46" s="2421"/>
      <c r="AA46" s="2450"/>
      <c r="AB46" s="2881" t="str">
        <f>IF(L46="REJECTED",AB42,IF(X46="","",IF(N$22="","",N$22-X46)))</f>
        <v/>
      </c>
      <c r="AC46" s="2881"/>
      <c r="AD46" s="2881"/>
      <c r="AE46" s="2882"/>
      <c r="AF46" s="2440"/>
      <c r="AG46" s="2421"/>
      <c r="AH46" s="2421"/>
      <c r="AI46" s="2441"/>
      <c r="AJ46" s="2421"/>
      <c r="AK46" s="2421"/>
      <c r="AL46" s="2421"/>
      <c r="AM46" s="2483"/>
      <c r="AN46" s="2421"/>
      <c r="AO46" s="2421"/>
      <c r="AP46" s="2421"/>
      <c r="AQ46" s="2483"/>
      <c r="AR46" s="2420"/>
      <c r="AS46" s="2421"/>
      <c r="AT46" s="2421"/>
      <c r="AU46" s="2483"/>
      <c r="AV46" s="2356"/>
      <c r="AW46" s="2356"/>
      <c r="AX46" s="2356"/>
      <c r="AY46" s="2880"/>
      <c r="AZ46" s="2356"/>
      <c r="BA46" s="2356"/>
      <c r="BB46" s="2356"/>
      <c r="BC46" s="2880"/>
      <c r="BD46" s="2356"/>
      <c r="BE46" s="2356"/>
      <c r="BF46" s="2356"/>
      <c r="BG46" s="2880"/>
      <c r="BH46" s="2356"/>
      <c r="BI46" s="2356"/>
      <c r="BJ46" s="2356"/>
      <c r="BK46" s="2880"/>
      <c r="BL46" s="2885" t="str">
        <f t="shared" ref="BL46" si="1">IF(OR(L46="REJECTED",L46="Not Placed"),0,IF(AF46="","",SUM(AF46:AM49)-SUM(AN46:BK49)))</f>
        <v/>
      </c>
      <c r="BM46" s="2375"/>
      <c r="BN46" s="2375"/>
      <c r="BO46" s="2375"/>
      <c r="BP46" s="2375" t="str">
        <f>IF(L46="REJECTED",BP42,IF(AF46="","",BP42+BL46))</f>
        <v/>
      </c>
      <c r="BQ46" s="2375"/>
      <c r="BR46" s="2375"/>
      <c r="BS46" s="2376"/>
      <c r="BT46" s="2368"/>
      <c r="BU46" s="2368"/>
      <c r="BV46" s="2368"/>
      <c r="BW46" s="2368"/>
      <c r="BX46" s="2368"/>
      <c r="BY46" s="2368"/>
      <c r="BZ46" s="2368"/>
      <c r="CA46" s="2368"/>
      <c r="CB46" s="2368"/>
      <c r="CC46" s="2368"/>
      <c r="CD46" s="2368"/>
      <c r="CE46" s="2368"/>
      <c r="CF46" s="2368"/>
      <c r="CG46" s="2368"/>
      <c r="CH46" s="2369"/>
      <c r="CI46" s="2886">
        <v>27</v>
      </c>
      <c r="CJ46" s="2886"/>
      <c r="CK46" s="2857" t="e">
        <f>'Concr. Curve'!BL29</f>
        <v>#DIV/0!</v>
      </c>
      <c r="CL46" s="2857"/>
      <c r="CM46" s="2857"/>
      <c r="CQ46" s="2967">
        <f t="shared" ref="CQ46" si="2">IF(OR(P46="",H46=""),"",MOD(P46-H46,1)*24*60)</f>
        <v>90</v>
      </c>
      <c r="CR46" s="2968"/>
      <c r="CS46" s="2968"/>
      <c r="CT46" s="2969"/>
      <c r="EC46" s="109"/>
      <c r="ED46" s="109"/>
      <c r="EE46" s="109"/>
      <c r="EF46" s="109"/>
      <c r="EG46" s="109"/>
      <c r="EH46" s="109"/>
      <c r="EI46" s="109"/>
      <c r="EJ46" s="109"/>
      <c r="EK46" s="109"/>
      <c r="EL46" s="109"/>
      <c r="EM46" s="109"/>
      <c r="EN46" s="109"/>
      <c r="EO46" s="109"/>
      <c r="EP46" s="109"/>
      <c r="EQ46" s="109"/>
      <c r="ER46" s="109"/>
      <c r="ES46" s="109"/>
      <c r="ET46" s="109"/>
      <c r="EU46" s="109"/>
      <c r="EV46" s="109"/>
    </row>
    <row r="47" spans="1:152" ht="9.6" customHeight="1">
      <c r="A47" s="2518"/>
      <c r="B47" s="2530"/>
      <c r="C47" s="2522"/>
      <c r="D47" s="2522"/>
      <c r="E47" s="2522"/>
      <c r="F47" s="2522"/>
      <c r="G47" s="2527"/>
      <c r="H47" s="2506"/>
      <c r="I47" s="2507"/>
      <c r="J47" s="2507"/>
      <c r="K47" s="2508"/>
      <c r="L47" s="2477"/>
      <c r="M47" s="2478"/>
      <c r="N47" s="2478"/>
      <c r="O47" s="2479"/>
      <c r="P47" s="2506"/>
      <c r="Q47" s="2507"/>
      <c r="R47" s="2507"/>
      <c r="S47" s="2508"/>
      <c r="T47" s="2422"/>
      <c r="U47" s="2297"/>
      <c r="V47" s="2297"/>
      <c r="W47" s="2451"/>
      <c r="X47" s="2422"/>
      <c r="Y47" s="2297"/>
      <c r="Z47" s="2297"/>
      <c r="AA47" s="2451"/>
      <c r="AB47" s="2881"/>
      <c r="AC47" s="2881"/>
      <c r="AD47" s="2881"/>
      <c r="AE47" s="2882"/>
      <c r="AF47" s="2446"/>
      <c r="AG47" s="2297"/>
      <c r="AH47" s="2297"/>
      <c r="AI47" s="2447"/>
      <c r="AJ47" s="2297"/>
      <c r="AK47" s="2297"/>
      <c r="AL47" s="2297"/>
      <c r="AM47" s="2451"/>
      <c r="AN47" s="2297"/>
      <c r="AO47" s="2297"/>
      <c r="AP47" s="2297"/>
      <c r="AQ47" s="2451"/>
      <c r="AR47" s="2422"/>
      <c r="AS47" s="2297"/>
      <c r="AT47" s="2297"/>
      <c r="AU47" s="2451"/>
      <c r="AV47" s="2356"/>
      <c r="AW47" s="2356"/>
      <c r="AX47" s="2356"/>
      <c r="AY47" s="2880"/>
      <c r="AZ47" s="2356"/>
      <c r="BA47" s="2356"/>
      <c r="BB47" s="2356"/>
      <c r="BC47" s="2880"/>
      <c r="BD47" s="2356"/>
      <c r="BE47" s="2356"/>
      <c r="BF47" s="2356"/>
      <c r="BG47" s="2880"/>
      <c r="BH47" s="2356"/>
      <c r="BI47" s="2356"/>
      <c r="BJ47" s="2356"/>
      <c r="BK47" s="2880"/>
      <c r="BL47" s="2885"/>
      <c r="BM47" s="2375"/>
      <c r="BN47" s="2375"/>
      <c r="BO47" s="2375"/>
      <c r="BP47" s="2375"/>
      <c r="BQ47" s="2375"/>
      <c r="BR47" s="2375"/>
      <c r="BS47" s="2376"/>
      <c r="BT47" s="2370"/>
      <c r="BU47" s="2370"/>
      <c r="BV47" s="2370"/>
      <c r="BW47" s="2370"/>
      <c r="BX47" s="2370"/>
      <c r="BY47" s="2370"/>
      <c r="BZ47" s="2370"/>
      <c r="CA47" s="2370"/>
      <c r="CB47" s="2370"/>
      <c r="CC47" s="2370"/>
      <c r="CD47" s="2370"/>
      <c r="CE47" s="2370"/>
      <c r="CF47" s="2370"/>
      <c r="CG47" s="2370"/>
      <c r="CH47" s="2371"/>
      <c r="CI47" s="2886"/>
      <c r="CJ47" s="2886"/>
      <c r="CK47" s="2857"/>
      <c r="CL47" s="2857"/>
      <c r="CM47" s="2857"/>
      <c r="CQ47" s="2742"/>
      <c r="CR47" s="2743"/>
      <c r="CS47" s="2743"/>
      <c r="CT47" s="2744"/>
      <c r="EC47" s="109"/>
      <c r="ED47" s="109"/>
      <c r="EE47" s="109"/>
      <c r="EF47" s="109"/>
      <c r="EG47" s="109"/>
      <c r="EH47" s="109"/>
      <c r="EI47" s="109"/>
      <c r="EJ47" s="109"/>
      <c r="EK47" s="109"/>
      <c r="EL47" s="109"/>
      <c r="EM47" s="109"/>
      <c r="EN47" s="109"/>
      <c r="EO47" s="109"/>
      <c r="EP47" s="109"/>
      <c r="EQ47" s="109"/>
      <c r="ER47" s="109"/>
      <c r="ES47" s="109"/>
      <c r="ET47" s="109"/>
      <c r="EU47" s="109"/>
      <c r="EV47" s="109"/>
    </row>
    <row r="48" spans="1:152" ht="9.6" customHeight="1">
      <c r="A48" s="2518"/>
      <c r="B48" s="2530"/>
      <c r="C48" s="2522"/>
      <c r="D48" s="2522"/>
      <c r="E48" s="2522"/>
      <c r="F48" s="2522"/>
      <c r="G48" s="2527"/>
      <c r="H48" s="2506"/>
      <c r="I48" s="2507"/>
      <c r="J48" s="2507"/>
      <c r="K48" s="2508"/>
      <c r="L48" s="2477"/>
      <c r="M48" s="2478"/>
      <c r="N48" s="2478"/>
      <c r="O48" s="2479"/>
      <c r="P48" s="2506"/>
      <c r="Q48" s="2507"/>
      <c r="R48" s="2507"/>
      <c r="S48" s="2508"/>
      <c r="T48" s="2422"/>
      <c r="U48" s="2297"/>
      <c r="V48" s="2297"/>
      <c r="W48" s="2451"/>
      <c r="X48" s="2422"/>
      <c r="Y48" s="2297"/>
      <c r="Z48" s="2297"/>
      <c r="AA48" s="2451"/>
      <c r="AB48" s="2881"/>
      <c r="AC48" s="2881"/>
      <c r="AD48" s="2881"/>
      <c r="AE48" s="2882"/>
      <c r="AF48" s="2446"/>
      <c r="AG48" s="2297"/>
      <c r="AH48" s="2297"/>
      <c r="AI48" s="2447"/>
      <c r="AJ48" s="2297"/>
      <c r="AK48" s="2297"/>
      <c r="AL48" s="2297"/>
      <c r="AM48" s="2451"/>
      <c r="AN48" s="2297"/>
      <c r="AO48" s="2297"/>
      <c r="AP48" s="2297"/>
      <c r="AQ48" s="2451"/>
      <c r="AR48" s="2422"/>
      <c r="AS48" s="2297"/>
      <c r="AT48" s="2297"/>
      <c r="AU48" s="2451"/>
      <c r="AV48" s="2356"/>
      <c r="AW48" s="2356"/>
      <c r="AX48" s="2356"/>
      <c r="AY48" s="2880"/>
      <c r="AZ48" s="2356"/>
      <c r="BA48" s="2356"/>
      <c r="BB48" s="2356"/>
      <c r="BC48" s="2880"/>
      <c r="BD48" s="2356"/>
      <c r="BE48" s="2356"/>
      <c r="BF48" s="2356"/>
      <c r="BG48" s="2880"/>
      <c r="BH48" s="2356"/>
      <c r="BI48" s="2356"/>
      <c r="BJ48" s="2356"/>
      <c r="BK48" s="2880"/>
      <c r="BL48" s="2885"/>
      <c r="BM48" s="2375"/>
      <c r="BN48" s="2375"/>
      <c r="BO48" s="2375"/>
      <c r="BP48" s="2375"/>
      <c r="BQ48" s="2375"/>
      <c r="BR48" s="2375"/>
      <c r="BS48" s="2376"/>
      <c r="BT48" s="2370"/>
      <c r="BU48" s="2370"/>
      <c r="BV48" s="2370"/>
      <c r="BW48" s="2370"/>
      <c r="BX48" s="2370"/>
      <c r="BY48" s="2370"/>
      <c r="BZ48" s="2370"/>
      <c r="CA48" s="2370"/>
      <c r="CB48" s="2370"/>
      <c r="CC48" s="2370"/>
      <c r="CD48" s="2370"/>
      <c r="CE48" s="2370"/>
      <c r="CF48" s="2370"/>
      <c r="CG48" s="2370"/>
      <c r="CH48" s="2371"/>
      <c r="CI48" s="2886"/>
      <c r="CJ48" s="2886"/>
      <c r="CK48" s="2857"/>
      <c r="CL48" s="2857"/>
      <c r="CM48" s="2857"/>
      <c r="CQ48" s="2742"/>
      <c r="CR48" s="2743"/>
      <c r="CS48" s="2743"/>
      <c r="CT48" s="2744"/>
      <c r="EC48" s="109"/>
      <c r="ED48" s="109"/>
      <c r="EE48" s="109"/>
      <c r="EF48" s="109"/>
      <c r="EG48" s="109"/>
      <c r="EH48" s="109"/>
      <c r="EI48" s="109"/>
      <c r="EJ48" s="109"/>
      <c r="EK48" s="109"/>
      <c r="EL48" s="109"/>
      <c r="EM48" s="109"/>
      <c r="EN48" s="109"/>
      <c r="EO48" s="109"/>
      <c r="EP48" s="109"/>
      <c r="EQ48" s="109"/>
      <c r="ER48" s="109"/>
      <c r="ES48" s="109"/>
      <c r="ET48" s="109"/>
      <c r="EU48" s="109"/>
      <c r="EV48" s="109"/>
    </row>
    <row r="49" spans="1:152" ht="9.6" customHeight="1">
      <c r="A49" s="2518"/>
      <c r="B49" s="2523"/>
      <c r="C49" s="2524"/>
      <c r="D49" s="2524"/>
      <c r="E49" s="2524"/>
      <c r="F49" s="2524"/>
      <c r="G49" s="2528"/>
      <c r="H49" s="2509"/>
      <c r="I49" s="2510"/>
      <c r="J49" s="2510"/>
      <c r="K49" s="2511"/>
      <c r="L49" s="2480"/>
      <c r="M49" s="2481"/>
      <c r="N49" s="2481"/>
      <c r="O49" s="2482"/>
      <c r="P49" s="2509"/>
      <c r="Q49" s="2510"/>
      <c r="R49" s="2510"/>
      <c r="S49" s="2511"/>
      <c r="T49" s="2439"/>
      <c r="U49" s="2298"/>
      <c r="V49" s="2298"/>
      <c r="W49" s="2452"/>
      <c r="X49" s="2439"/>
      <c r="Y49" s="2298"/>
      <c r="Z49" s="2298"/>
      <c r="AA49" s="2452"/>
      <c r="AB49" s="2881"/>
      <c r="AC49" s="2881"/>
      <c r="AD49" s="2881"/>
      <c r="AE49" s="2882"/>
      <c r="AF49" s="2444"/>
      <c r="AG49" s="2298"/>
      <c r="AH49" s="2298"/>
      <c r="AI49" s="2445"/>
      <c r="AJ49" s="2298"/>
      <c r="AK49" s="2298"/>
      <c r="AL49" s="2298"/>
      <c r="AM49" s="2452"/>
      <c r="AN49" s="2298"/>
      <c r="AO49" s="2298"/>
      <c r="AP49" s="2298"/>
      <c r="AQ49" s="2452"/>
      <c r="AR49" s="2439"/>
      <c r="AS49" s="2298"/>
      <c r="AT49" s="2298"/>
      <c r="AU49" s="2452"/>
      <c r="AV49" s="2356"/>
      <c r="AW49" s="2356"/>
      <c r="AX49" s="2356"/>
      <c r="AY49" s="2880"/>
      <c r="AZ49" s="2356"/>
      <c r="BA49" s="2356"/>
      <c r="BB49" s="2356"/>
      <c r="BC49" s="2880"/>
      <c r="BD49" s="2356"/>
      <c r="BE49" s="2356"/>
      <c r="BF49" s="2356"/>
      <c r="BG49" s="2880"/>
      <c r="BH49" s="2356"/>
      <c r="BI49" s="2356"/>
      <c r="BJ49" s="2356"/>
      <c r="BK49" s="2880"/>
      <c r="BL49" s="2885"/>
      <c r="BM49" s="2375"/>
      <c r="BN49" s="2375"/>
      <c r="BO49" s="2375"/>
      <c r="BP49" s="2375"/>
      <c r="BQ49" s="2375"/>
      <c r="BR49" s="2375"/>
      <c r="BS49" s="2376"/>
      <c r="BT49" s="2372"/>
      <c r="BU49" s="2372"/>
      <c r="BV49" s="2372"/>
      <c r="BW49" s="2372"/>
      <c r="BX49" s="2372"/>
      <c r="BY49" s="2372"/>
      <c r="BZ49" s="2372"/>
      <c r="CA49" s="2372"/>
      <c r="CB49" s="2372"/>
      <c r="CC49" s="2372"/>
      <c r="CD49" s="2372"/>
      <c r="CE49" s="2372"/>
      <c r="CF49" s="2372"/>
      <c r="CG49" s="2372"/>
      <c r="CH49" s="2373"/>
      <c r="CI49" s="2886"/>
      <c r="CJ49" s="2886"/>
      <c r="CK49" s="2857"/>
      <c r="CL49" s="2857"/>
      <c r="CM49" s="2857"/>
      <c r="CQ49" s="2745"/>
      <c r="CR49" s="2746"/>
      <c r="CS49" s="2746"/>
      <c r="CT49" s="2747"/>
      <c r="EC49" s="109"/>
      <c r="ED49" s="109"/>
      <c r="EE49" s="109"/>
      <c r="EF49" s="109"/>
      <c r="EG49" s="109"/>
      <c r="EH49" s="109"/>
      <c r="EI49" s="109"/>
      <c r="EJ49" s="109"/>
      <c r="EK49" s="109"/>
      <c r="EL49" s="109"/>
      <c r="EM49" s="109"/>
      <c r="EN49" s="109"/>
      <c r="EO49" s="109"/>
      <c r="EP49" s="109"/>
      <c r="EQ49" s="109"/>
      <c r="ER49" s="109"/>
      <c r="ES49" s="109"/>
      <c r="ET49" s="109"/>
      <c r="EU49" s="109"/>
      <c r="EV49" s="109"/>
    </row>
    <row r="50" spans="1:152" ht="9.6" customHeight="1">
      <c r="A50" s="2518">
        <v>28</v>
      </c>
      <c r="B50" s="2525"/>
      <c r="C50" s="2520"/>
      <c r="D50" s="2520"/>
      <c r="E50" s="2520"/>
      <c r="F50" s="2520"/>
      <c r="G50" s="2529"/>
      <c r="H50" s="2503">
        <v>0.72916666666666663</v>
      </c>
      <c r="I50" s="2504"/>
      <c r="J50" s="2504"/>
      <c r="K50" s="2505"/>
      <c r="L50" s="2474"/>
      <c r="M50" s="2475"/>
      <c r="N50" s="2475"/>
      <c r="O50" s="2476"/>
      <c r="P50" s="2503">
        <v>0.80208333333333337</v>
      </c>
      <c r="Q50" s="2504"/>
      <c r="R50" s="2504"/>
      <c r="S50" s="2505"/>
      <c r="T50" s="2420"/>
      <c r="U50" s="2421"/>
      <c r="V50" s="2421"/>
      <c r="W50" s="2450"/>
      <c r="X50" s="2420"/>
      <c r="Y50" s="2421"/>
      <c r="Z50" s="2421"/>
      <c r="AA50" s="2450"/>
      <c r="AB50" s="2881" t="str">
        <f t="shared" ref="AB50" si="3">IF(L50="REJECTED",AB46,IF(X50="","",IF(N$22="","",N$22-X50)))</f>
        <v/>
      </c>
      <c r="AC50" s="2881"/>
      <c r="AD50" s="2881"/>
      <c r="AE50" s="2882"/>
      <c r="AF50" s="2440"/>
      <c r="AG50" s="2421"/>
      <c r="AH50" s="2421"/>
      <c r="AI50" s="2441"/>
      <c r="AJ50" s="2421"/>
      <c r="AK50" s="2421"/>
      <c r="AL50" s="2421"/>
      <c r="AM50" s="2483"/>
      <c r="AN50" s="2421"/>
      <c r="AO50" s="2421"/>
      <c r="AP50" s="2421"/>
      <c r="AQ50" s="2483"/>
      <c r="AR50" s="2420"/>
      <c r="AS50" s="2421"/>
      <c r="AT50" s="2421"/>
      <c r="AU50" s="2483"/>
      <c r="AV50" s="2356"/>
      <c r="AW50" s="2356"/>
      <c r="AX50" s="2356"/>
      <c r="AY50" s="2880"/>
      <c r="AZ50" s="2356"/>
      <c r="BA50" s="2356"/>
      <c r="BB50" s="2356"/>
      <c r="BC50" s="2880"/>
      <c r="BD50" s="2356"/>
      <c r="BE50" s="2356"/>
      <c r="BF50" s="2356"/>
      <c r="BG50" s="2880"/>
      <c r="BH50" s="2356"/>
      <c r="BI50" s="2356"/>
      <c r="BJ50" s="2356"/>
      <c r="BK50" s="2880"/>
      <c r="BL50" s="2885" t="str">
        <f t="shared" ref="BL50" si="4">IF(OR(L50="REJECTED",L50="Not Placed"),0,IF(AF50="","",SUM(AF50:AM53)-SUM(AN50:BK53)))</f>
        <v/>
      </c>
      <c r="BM50" s="2375"/>
      <c r="BN50" s="2375"/>
      <c r="BO50" s="2375"/>
      <c r="BP50" s="2375" t="str">
        <f t="shared" ref="BP50" si="5">IF(L50="REJECTED",BP46,IF(AF50="","",BP46+BL50))</f>
        <v/>
      </c>
      <c r="BQ50" s="2375"/>
      <c r="BR50" s="2375"/>
      <c r="BS50" s="2376"/>
      <c r="BT50" s="2368"/>
      <c r="BU50" s="2368"/>
      <c r="BV50" s="2368"/>
      <c r="BW50" s="2368"/>
      <c r="BX50" s="2368"/>
      <c r="BY50" s="2368"/>
      <c r="BZ50" s="2368"/>
      <c r="CA50" s="2368"/>
      <c r="CB50" s="2368"/>
      <c r="CC50" s="2368"/>
      <c r="CD50" s="2368"/>
      <c r="CE50" s="2368"/>
      <c r="CF50" s="2368"/>
      <c r="CG50" s="2368"/>
      <c r="CH50" s="2369"/>
      <c r="CI50" s="2886">
        <v>28</v>
      </c>
      <c r="CJ50" s="2886"/>
      <c r="CK50" s="2857" t="e">
        <f>'Concr. Curve'!BL28</f>
        <v>#DIV/0!</v>
      </c>
      <c r="CL50" s="2857"/>
      <c r="CM50" s="2857"/>
      <c r="CQ50" s="2967">
        <f t="shared" ref="CQ50" si="6">IF(OR(P50="",H50=""),"",MOD(P50-H50,1)*24*60)</f>
        <v>105.00000000000011</v>
      </c>
      <c r="CR50" s="2968"/>
      <c r="CS50" s="2968"/>
      <c r="CT50" s="2969"/>
      <c r="EC50" s="109"/>
      <c r="ED50" s="109"/>
      <c r="EE50" s="109"/>
      <c r="EF50" s="109"/>
      <c r="EG50" s="109"/>
      <c r="EH50" s="109"/>
      <c r="EI50" s="109"/>
      <c r="EJ50" s="109"/>
      <c r="EK50" s="109"/>
      <c r="EL50" s="109"/>
      <c r="EM50" s="109"/>
      <c r="EN50" s="109"/>
      <c r="EO50" s="109"/>
      <c r="EP50" s="109"/>
      <c r="EQ50" s="109"/>
      <c r="ER50" s="109"/>
      <c r="ES50" s="109"/>
      <c r="ET50" s="109"/>
      <c r="EU50" s="109"/>
      <c r="EV50" s="109"/>
    </row>
    <row r="51" spans="1:152" ht="8.85" customHeight="1">
      <c r="A51" s="2518"/>
      <c r="B51" s="2530"/>
      <c r="C51" s="2522"/>
      <c r="D51" s="2522"/>
      <c r="E51" s="2522"/>
      <c r="F51" s="2522"/>
      <c r="G51" s="2527"/>
      <c r="H51" s="2506"/>
      <c r="I51" s="2507"/>
      <c r="J51" s="2507"/>
      <c r="K51" s="2508"/>
      <c r="L51" s="2477"/>
      <c r="M51" s="2478"/>
      <c r="N51" s="2478"/>
      <c r="O51" s="2479"/>
      <c r="P51" s="2506"/>
      <c r="Q51" s="2507"/>
      <c r="R51" s="2507"/>
      <c r="S51" s="2508"/>
      <c r="T51" s="2422"/>
      <c r="U51" s="2297"/>
      <c r="V51" s="2297"/>
      <c r="W51" s="2451"/>
      <c r="X51" s="2422"/>
      <c r="Y51" s="2297"/>
      <c r="Z51" s="2297"/>
      <c r="AA51" s="2451"/>
      <c r="AB51" s="2881"/>
      <c r="AC51" s="2881"/>
      <c r="AD51" s="2881"/>
      <c r="AE51" s="2882"/>
      <c r="AF51" s="2446"/>
      <c r="AG51" s="2297"/>
      <c r="AH51" s="2297"/>
      <c r="AI51" s="2447"/>
      <c r="AJ51" s="2297"/>
      <c r="AK51" s="2297"/>
      <c r="AL51" s="2297"/>
      <c r="AM51" s="2451"/>
      <c r="AN51" s="2297"/>
      <c r="AO51" s="2297"/>
      <c r="AP51" s="2297"/>
      <c r="AQ51" s="2451"/>
      <c r="AR51" s="2422"/>
      <c r="AS51" s="2297"/>
      <c r="AT51" s="2297"/>
      <c r="AU51" s="2451"/>
      <c r="AV51" s="2356"/>
      <c r="AW51" s="2356"/>
      <c r="AX51" s="2356"/>
      <c r="AY51" s="2880"/>
      <c r="AZ51" s="2356"/>
      <c r="BA51" s="2356"/>
      <c r="BB51" s="2356"/>
      <c r="BC51" s="2880"/>
      <c r="BD51" s="2356"/>
      <c r="BE51" s="2356"/>
      <c r="BF51" s="2356"/>
      <c r="BG51" s="2880"/>
      <c r="BH51" s="2356"/>
      <c r="BI51" s="2356"/>
      <c r="BJ51" s="2356"/>
      <c r="BK51" s="2880"/>
      <c r="BL51" s="2885"/>
      <c r="BM51" s="2375"/>
      <c r="BN51" s="2375"/>
      <c r="BO51" s="2375"/>
      <c r="BP51" s="2375"/>
      <c r="BQ51" s="2375"/>
      <c r="BR51" s="2375"/>
      <c r="BS51" s="2376"/>
      <c r="BT51" s="2370"/>
      <c r="BU51" s="2370"/>
      <c r="BV51" s="2370"/>
      <c r="BW51" s="2370"/>
      <c r="BX51" s="2370"/>
      <c r="BY51" s="2370"/>
      <c r="BZ51" s="2370"/>
      <c r="CA51" s="2370"/>
      <c r="CB51" s="2370"/>
      <c r="CC51" s="2370"/>
      <c r="CD51" s="2370"/>
      <c r="CE51" s="2370"/>
      <c r="CF51" s="2370"/>
      <c r="CG51" s="2370"/>
      <c r="CH51" s="2371"/>
      <c r="CI51" s="2886"/>
      <c r="CJ51" s="2886"/>
      <c r="CK51" s="2857"/>
      <c r="CL51" s="2857"/>
      <c r="CM51" s="2857"/>
      <c r="CQ51" s="2742"/>
      <c r="CR51" s="2743"/>
      <c r="CS51" s="2743"/>
      <c r="CT51" s="2744"/>
      <c r="EC51" s="109"/>
      <c r="ED51" s="109"/>
      <c r="EE51" s="109"/>
      <c r="EF51" s="109"/>
      <c r="EG51" s="109"/>
      <c r="EH51" s="109"/>
      <c r="EI51" s="109"/>
      <c r="EJ51" s="109"/>
      <c r="EK51" s="109"/>
      <c r="EL51" s="109"/>
      <c r="EM51" s="109"/>
      <c r="EN51" s="109"/>
      <c r="EO51" s="109"/>
      <c r="EP51" s="109"/>
      <c r="EQ51" s="109"/>
      <c r="ER51" s="109"/>
      <c r="ES51" s="109"/>
      <c r="ET51" s="109"/>
      <c r="EU51" s="109"/>
      <c r="EV51" s="109"/>
    </row>
    <row r="52" spans="1:152" ht="8.85" customHeight="1">
      <c r="A52" s="2518"/>
      <c r="B52" s="2530"/>
      <c r="C52" s="2522"/>
      <c r="D52" s="2522"/>
      <c r="E52" s="2522"/>
      <c r="F52" s="2522"/>
      <c r="G52" s="2527"/>
      <c r="H52" s="2506"/>
      <c r="I52" s="2507"/>
      <c r="J52" s="2507"/>
      <c r="K52" s="2508"/>
      <c r="L52" s="2477"/>
      <c r="M52" s="2478"/>
      <c r="N52" s="2478"/>
      <c r="O52" s="2479"/>
      <c r="P52" s="2506"/>
      <c r="Q52" s="2507"/>
      <c r="R52" s="2507"/>
      <c r="S52" s="2508"/>
      <c r="T52" s="2422"/>
      <c r="U52" s="2297"/>
      <c r="V52" s="2297"/>
      <c r="W52" s="2451"/>
      <c r="X52" s="2422"/>
      <c r="Y52" s="2297"/>
      <c r="Z52" s="2297"/>
      <c r="AA52" s="2451"/>
      <c r="AB52" s="2881"/>
      <c r="AC52" s="2881"/>
      <c r="AD52" s="2881"/>
      <c r="AE52" s="2882"/>
      <c r="AF52" s="2446"/>
      <c r="AG52" s="2297"/>
      <c r="AH52" s="2297"/>
      <c r="AI52" s="2447"/>
      <c r="AJ52" s="2297"/>
      <c r="AK52" s="2297"/>
      <c r="AL52" s="2297"/>
      <c r="AM52" s="2451"/>
      <c r="AN52" s="2297"/>
      <c r="AO52" s="2297"/>
      <c r="AP52" s="2297"/>
      <c r="AQ52" s="2451"/>
      <c r="AR52" s="2422"/>
      <c r="AS52" s="2297"/>
      <c r="AT52" s="2297"/>
      <c r="AU52" s="2451"/>
      <c r="AV52" s="2356"/>
      <c r="AW52" s="2356"/>
      <c r="AX52" s="2356"/>
      <c r="AY52" s="2880"/>
      <c r="AZ52" s="2356"/>
      <c r="BA52" s="2356"/>
      <c r="BB52" s="2356"/>
      <c r="BC52" s="2880"/>
      <c r="BD52" s="2356"/>
      <c r="BE52" s="2356"/>
      <c r="BF52" s="2356"/>
      <c r="BG52" s="2880"/>
      <c r="BH52" s="2356"/>
      <c r="BI52" s="2356"/>
      <c r="BJ52" s="2356"/>
      <c r="BK52" s="2880"/>
      <c r="BL52" s="2885"/>
      <c r="BM52" s="2375"/>
      <c r="BN52" s="2375"/>
      <c r="BO52" s="2375"/>
      <c r="BP52" s="2375"/>
      <c r="BQ52" s="2375"/>
      <c r="BR52" s="2375"/>
      <c r="BS52" s="2376"/>
      <c r="BT52" s="2370"/>
      <c r="BU52" s="2370"/>
      <c r="BV52" s="2370"/>
      <c r="BW52" s="2370"/>
      <c r="BX52" s="2370"/>
      <c r="BY52" s="2370"/>
      <c r="BZ52" s="2370"/>
      <c r="CA52" s="2370"/>
      <c r="CB52" s="2370"/>
      <c r="CC52" s="2370"/>
      <c r="CD52" s="2370"/>
      <c r="CE52" s="2370"/>
      <c r="CF52" s="2370"/>
      <c r="CG52" s="2370"/>
      <c r="CH52" s="2371"/>
      <c r="CI52" s="2886"/>
      <c r="CJ52" s="2886"/>
      <c r="CK52" s="2857"/>
      <c r="CL52" s="2857"/>
      <c r="CM52" s="2857"/>
      <c r="CQ52" s="2742"/>
      <c r="CR52" s="2743"/>
      <c r="CS52" s="2743"/>
      <c r="CT52" s="2744"/>
      <c r="EC52" s="109"/>
      <c r="ED52" s="109"/>
      <c r="EE52" s="109"/>
      <c r="EF52" s="109"/>
      <c r="EG52" s="109"/>
      <c r="EH52" s="109"/>
      <c r="EI52" s="109"/>
      <c r="EJ52" s="109"/>
      <c r="EK52" s="109"/>
      <c r="EL52" s="109"/>
      <c r="EM52" s="109"/>
      <c r="EN52" s="109"/>
      <c r="EO52" s="109"/>
      <c r="EP52" s="109"/>
      <c r="EQ52" s="109"/>
      <c r="ER52" s="109"/>
      <c r="ES52" s="109"/>
      <c r="ET52" s="109"/>
      <c r="EU52" s="109"/>
      <c r="EV52" s="109"/>
    </row>
    <row r="53" spans="1:152" ht="8.85" customHeight="1">
      <c r="A53" s="2518"/>
      <c r="B53" s="2523"/>
      <c r="C53" s="2524"/>
      <c r="D53" s="2524"/>
      <c r="E53" s="2524"/>
      <c r="F53" s="2524"/>
      <c r="G53" s="2528"/>
      <c r="H53" s="2509"/>
      <c r="I53" s="2510"/>
      <c r="J53" s="2510"/>
      <c r="K53" s="2511"/>
      <c r="L53" s="2480"/>
      <c r="M53" s="2481"/>
      <c r="N53" s="2481"/>
      <c r="O53" s="2482"/>
      <c r="P53" s="2509"/>
      <c r="Q53" s="2510"/>
      <c r="R53" s="2510"/>
      <c r="S53" s="2511"/>
      <c r="T53" s="2439"/>
      <c r="U53" s="2298"/>
      <c r="V53" s="2298"/>
      <c r="W53" s="2452"/>
      <c r="X53" s="2439"/>
      <c r="Y53" s="2298"/>
      <c r="Z53" s="2298"/>
      <c r="AA53" s="2452"/>
      <c r="AB53" s="2881"/>
      <c r="AC53" s="2881"/>
      <c r="AD53" s="2881"/>
      <c r="AE53" s="2882"/>
      <c r="AF53" s="2444"/>
      <c r="AG53" s="2298"/>
      <c r="AH53" s="2298"/>
      <c r="AI53" s="2445"/>
      <c r="AJ53" s="2298"/>
      <c r="AK53" s="2298"/>
      <c r="AL53" s="2298"/>
      <c r="AM53" s="2452"/>
      <c r="AN53" s="2298"/>
      <c r="AO53" s="2298"/>
      <c r="AP53" s="2298"/>
      <c r="AQ53" s="2452"/>
      <c r="AR53" s="2439"/>
      <c r="AS53" s="2298"/>
      <c r="AT53" s="2298"/>
      <c r="AU53" s="2452"/>
      <c r="AV53" s="2356"/>
      <c r="AW53" s="2356"/>
      <c r="AX53" s="2356"/>
      <c r="AY53" s="2880"/>
      <c r="AZ53" s="2356"/>
      <c r="BA53" s="2356"/>
      <c r="BB53" s="2356"/>
      <c r="BC53" s="2880"/>
      <c r="BD53" s="2356"/>
      <c r="BE53" s="2356"/>
      <c r="BF53" s="2356"/>
      <c r="BG53" s="2880"/>
      <c r="BH53" s="2356"/>
      <c r="BI53" s="2356"/>
      <c r="BJ53" s="2356"/>
      <c r="BK53" s="2880"/>
      <c r="BL53" s="2885"/>
      <c r="BM53" s="2375"/>
      <c r="BN53" s="2375"/>
      <c r="BO53" s="2375"/>
      <c r="BP53" s="2375"/>
      <c r="BQ53" s="2375"/>
      <c r="BR53" s="2375"/>
      <c r="BS53" s="2376"/>
      <c r="BT53" s="2372"/>
      <c r="BU53" s="2372"/>
      <c r="BV53" s="2372"/>
      <c r="BW53" s="2372"/>
      <c r="BX53" s="2372"/>
      <c r="BY53" s="2372"/>
      <c r="BZ53" s="2372"/>
      <c r="CA53" s="2372"/>
      <c r="CB53" s="2372"/>
      <c r="CC53" s="2372"/>
      <c r="CD53" s="2372"/>
      <c r="CE53" s="2372"/>
      <c r="CF53" s="2372"/>
      <c r="CG53" s="2372"/>
      <c r="CH53" s="2373"/>
      <c r="CI53" s="2886"/>
      <c r="CJ53" s="2886"/>
      <c r="CK53" s="2857"/>
      <c r="CL53" s="2857"/>
      <c r="CM53" s="2857"/>
      <c r="CQ53" s="2745"/>
      <c r="CR53" s="2746"/>
      <c r="CS53" s="2746"/>
      <c r="CT53" s="2747"/>
      <c r="EC53" s="109"/>
      <c r="ED53" s="109"/>
      <c r="EE53" s="109"/>
      <c r="EF53" s="109"/>
      <c r="EG53" s="109"/>
      <c r="EH53" s="109"/>
      <c r="EI53" s="109"/>
      <c r="EJ53" s="109"/>
      <c r="EK53" s="109"/>
      <c r="EL53" s="109"/>
      <c r="EM53" s="109"/>
      <c r="EN53" s="109"/>
      <c r="EO53" s="109"/>
      <c r="EP53" s="109"/>
      <c r="EQ53" s="109"/>
      <c r="ER53" s="109"/>
      <c r="ES53" s="109"/>
      <c r="ET53" s="109"/>
      <c r="EU53" s="109"/>
      <c r="EV53" s="109"/>
    </row>
    <row r="54" spans="1:152" ht="8.85" customHeight="1">
      <c r="A54" s="2518">
        <v>29</v>
      </c>
      <c r="B54" s="2525"/>
      <c r="C54" s="2520"/>
      <c r="D54" s="2520"/>
      <c r="E54" s="2520"/>
      <c r="F54" s="2520"/>
      <c r="G54" s="2529"/>
      <c r="H54" s="2503">
        <v>0.83333333333333337</v>
      </c>
      <c r="I54" s="2504"/>
      <c r="J54" s="2504"/>
      <c r="K54" s="2505"/>
      <c r="L54" s="2474"/>
      <c r="M54" s="2475"/>
      <c r="N54" s="2475"/>
      <c r="O54" s="2476"/>
      <c r="P54" s="2503">
        <v>0.90833333333333333</v>
      </c>
      <c r="Q54" s="2504"/>
      <c r="R54" s="2504"/>
      <c r="S54" s="2505"/>
      <c r="T54" s="2420"/>
      <c r="U54" s="2421"/>
      <c r="V54" s="2421"/>
      <c r="W54" s="2450"/>
      <c r="X54" s="2420"/>
      <c r="Y54" s="2421"/>
      <c r="Z54" s="2421"/>
      <c r="AA54" s="2450"/>
      <c r="AB54" s="2881" t="str">
        <f t="shared" ref="AB54" si="7">IF(L54="REJECTED",AB50,IF(X54="","",IF(N$22="","",N$22-X54)))</f>
        <v/>
      </c>
      <c r="AC54" s="2881"/>
      <c r="AD54" s="2881"/>
      <c r="AE54" s="2882"/>
      <c r="AF54" s="2440"/>
      <c r="AG54" s="2421"/>
      <c r="AH54" s="2421"/>
      <c r="AI54" s="2441"/>
      <c r="AJ54" s="2421"/>
      <c r="AK54" s="2421"/>
      <c r="AL54" s="2421"/>
      <c r="AM54" s="2483"/>
      <c r="AN54" s="2421"/>
      <c r="AO54" s="2421"/>
      <c r="AP54" s="2421"/>
      <c r="AQ54" s="2483"/>
      <c r="AR54" s="2420"/>
      <c r="AS54" s="2421"/>
      <c r="AT54" s="2421"/>
      <c r="AU54" s="2483"/>
      <c r="AV54" s="2356"/>
      <c r="AW54" s="2356"/>
      <c r="AX54" s="2356"/>
      <c r="AY54" s="2880"/>
      <c r="AZ54" s="2356"/>
      <c r="BA54" s="2356"/>
      <c r="BB54" s="2356"/>
      <c r="BC54" s="2880"/>
      <c r="BD54" s="2356"/>
      <c r="BE54" s="2356"/>
      <c r="BF54" s="2356"/>
      <c r="BG54" s="2880"/>
      <c r="BH54" s="2356"/>
      <c r="BI54" s="2356"/>
      <c r="BJ54" s="2356"/>
      <c r="BK54" s="2880"/>
      <c r="BL54" s="2885" t="str">
        <f t="shared" ref="BL54" si="8">IF(OR(L54="REJECTED",L54="Not Placed"),0,IF(AF54="","",SUM(AF54:AM57)-SUM(AN54:BK57)))</f>
        <v/>
      </c>
      <c r="BM54" s="2375"/>
      <c r="BN54" s="2375"/>
      <c r="BO54" s="2375"/>
      <c r="BP54" s="2375" t="str">
        <f t="shared" ref="BP54" si="9">IF(L54="REJECTED",BP50,IF(AF54="","",BP50+BL54))</f>
        <v/>
      </c>
      <c r="BQ54" s="2375"/>
      <c r="BR54" s="2375"/>
      <c r="BS54" s="2376"/>
      <c r="BT54" s="2368"/>
      <c r="BU54" s="2368"/>
      <c r="BV54" s="2368"/>
      <c r="BW54" s="2368"/>
      <c r="BX54" s="2368"/>
      <c r="BY54" s="2368"/>
      <c r="BZ54" s="2368"/>
      <c r="CA54" s="2368"/>
      <c r="CB54" s="2368"/>
      <c r="CC54" s="2368"/>
      <c r="CD54" s="2368"/>
      <c r="CE54" s="2368"/>
      <c r="CF54" s="2368"/>
      <c r="CG54" s="2368"/>
      <c r="CH54" s="2369"/>
      <c r="CI54" s="2886">
        <v>29</v>
      </c>
      <c r="CJ54" s="2886"/>
      <c r="CK54" s="2857" t="e">
        <f>'Concr. Curve'!BL27</f>
        <v>#DIV/0!</v>
      </c>
      <c r="CL54" s="2857"/>
      <c r="CM54" s="2857"/>
      <c r="CQ54" s="2967">
        <f t="shared" ref="CQ54" si="10">IF(OR(P54="",H54=""),"",MOD(P54-H54,1)*24*60)</f>
        <v>107.99999999999994</v>
      </c>
      <c r="CR54" s="2968"/>
      <c r="CS54" s="2968"/>
      <c r="CT54" s="2969"/>
      <c r="EC54" s="109"/>
      <c r="ED54" s="109"/>
      <c r="EE54" s="109"/>
      <c r="EF54" s="109"/>
      <c r="EG54" s="109"/>
      <c r="EH54" s="109"/>
      <c r="EI54" s="109"/>
      <c r="EJ54" s="109"/>
      <c r="EK54" s="109"/>
      <c r="EL54" s="109"/>
      <c r="EM54" s="109"/>
      <c r="EN54" s="109"/>
      <c r="EO54" s="109"/>
      <c r="EP54" s="109"/>
      <c r="EQ54" s="109"/>
      <c r="ER54" s="109"/>
      <c r="ES54" s="109"/>
      <c r="ET54" s="109"/>
      <c r="EU54" s="109"/>
      <c r="EV54" s="109"/>
    </row>
    <row r="55" spans="1:152" ht="8.85" customHeight="1">
      <c r="A55" s="2518"/>
      <c r="B55" s="2530"/>
      <c r="C55" s="2522"/>
      <c r="D55" s="2522"/>
      <c r="E55" s="2522"/>
      <c r="F55" s="2522"/>
      <c r="G55" s="2527"/>
      <c r="H55" s="2506"/>
      <c r="I55" s="2507"/>
      <c r="J55" s="2507"/>
      <c r="K55" s="2508"/>
      <c r="L55" s="2477"/>
      <c r="M55" s="2478"/>
      <c r="N55" s="2478"/>
      <c r="O55" s="2479"/>
      <c r="P55" s="2506"/>
      <c r="Q55" s="2507"/>
      <c r="R55" s="2507"/>
      <c r="S55" s="2508"/>
      <c r="T55" s="2422"/>
      <c r="U55" s="2297"/>
      <c r="V55" s="2297"/>
      <c r="W55" s="2451"/>
      <c r="X55" s="2422"/>
      <c r="Y55" s="2297"/>
      <c r="Z55" s="2297"/>
      <c r="AA55" s="2451"/>
      <c r="AB55" s="2881"/>
      <c r="AC55" s="2881"/>
      <c r="AD55" s="2881"/>
      <c r="AE55" s="2882"/>
      <c r="AF55" s="2446"/>
      <c r="AG55" s="2297"/>
      <c r="AH55" s="2297"/>
      <c r="AI55" s="2447"/>
      <c r="AJ55" s="2297"/>
      <c r="AK55" s="2297"/>
      <c r="AL55" s="2297"/>
      <c r="AM55" s="2451"/>
      <c r="AN55" s="2297"/>
      <c r="AO55" s="2297"/>
      <c r="AP55" s="2297"/>
      <c r="AQ55" s="2451"/>
      <c r="AR55" s="2422"/>
      <c r="AS55" s="2297"/>
      <c r="AT55" s="2297"/>
      <c r="AU55" s="2451"/>
      <c r="AV55" s="2356"/>
      <c r="AW55" s="2356"/>
      <c r="AX55" s="2356"/>
      <c r="AY55" s="2880"/>
      <c r="AZ55" s="2356"/>
      <c r="BA55" s="2356"/>
      <c r="BB55" s="2356"/>
      <c r="BC55" s="2880"/>
      <c r="BD55" s="2356"/>
      <c r="BE55" s="2356"/>
      <c r="BF55" s="2356"/>
      <c r="BG55" s="2880"/>
      <c r="BH55" s="2356"/>
      <c r="BI55" s="2356"/>
      <c r="BJ55" s="2356"/>
      <c r="BK55" s="2880"/>
      <c r="BL55" s="2885"/>
      <c r="BM55" s="2375"/>
      <c r="BN55" s="2375"/>
      <c r="BO55" s="2375"/>
      <c r="BP55" s="2375"/>
      <c r="BQ55" s="2375"/>
      <c r="BR55" s="2375"/>
      <c r="BS55" s="2376"/>
      <c r="BT55" s="2370"/>
      <c r="BU55" s="2370"/>
      <c r="BV55" s="2370"/>
      <c r="BW55" s="2370"/>
      <c r="BX55" s="2370"/>
      <c r="BY55" s="2370"/>
      <c r="BZ55" s="2370"/>
      <c r="CA55" s="2370"/>
      <c r="CB55" s="2370"/>
      <c r="CC55" s="2370"/>
      <c r="CD55" s="2370"/>
      <c r="CE55" s="2370"/>
      <c r="CF55" s="2370"/>
      <c r="CG55" s="2370"/>
      <c r="CH55" s="2371"/>
      <c r="CI55" s="2886"/>
      <c r="CJ55" s="2886"/>
      <c r="CK55" s="2857"/>
      <c r="CL55" s="2857"/>
      <c r="CM55" s="2857"/>
      <c r="CQ55" s="2742"/>
      <c r="CR55" s="2743"/>
      <c r="CS55" s="2743"/>
      <c r="CT55" s="2744"/>
      <c r="EC55" s="109"/>
      <c r="ED55" s="109"/>
      <c r="EE55" s="109"/>
      <c r="EF55" s="109"/>
      <c r="EG55" s="109"/>
      <c r="EH55" s="109"/>
      <c r="EI55" s="109"/>
      <c r="EJ55" s="109"/>
      <c r="EK55" s="109"/>
      <c r="EL55" s="109"/>
      <c r="EM55" s="109"/>
      <c r="EN55" s="109"/>
      <c r="EO55" s="109"/>
      <c r="EP55" s="109"/>
      <c r="EQ55" s="109"/>
      <c r="ER55" s="109"/>
      <c r="ES55" s="109"/>
      <c r="ET55" s="109"/>
      <c r="EU55" s="109"/>
      <c r="EV55" s="109"/>
    </row>
    <row r="56" spans="1:152" ht="8.85" customHeight="1">
      <c r="A56" s="2518"/>
      <c r="B56" s="2530"/>
      <c r="C56" s="2522"/>
      <c r="D56" s="2522"/>
      <c r="E56" s="2522"/>
      <c r="F56" s="2522"/>
      <c r="G56" s="2527"/>
      <c r="H56" s="2506"/>
      <c r="I56" s="2507"/>
      <c r="J56" s="2507"/>
      <c r="K56" s="2508"/>
      <c r="L56" s="2477"/>
      <c r="M56" s="2478"/>
      <c r="N56" s="2478"/>
      <c r="O56" s="2479"/>
      <c r="P56" s="2506"/>
      <c r="Q56" s="2507"/>
      <c r="R56" s="2507"/>
      <c r="S56" s="2508"/>
      <c r="T56" s="2422"/>
      <c r="U56" s="2297"/>
      <c r="V56" s="2297"/>
      <c r="W56" s="2451"/>
      <c r="X56" s="2422"/>
      <c r="Y56" s="2297"/>
      <c r="Z56" s="2297"/>
      <c r="AA56" s="2451"/>
      <c r="AB56" s="2881"/>
      <c r="AC56" s="2881"/>
      <c r="AD56" s="2881"/>
      <c r="AE56" s="2882"/>
      <c r="AF56" s="2446"/>
      <c r="AG56" s="2297"/>
      <c r="AH56" s="2297"/>
      <c r="AI56" s="2447"/>
      <c r="AJ56" s="2297"/>
      <c r="AK56" s="2297"/>
      <c r="AL56" s="2297"/>
      <c r="AM56" s="2451"/>
      <c r="AN56" s="2297"/>
      <c r="AO56" s="2297"/>
      <c r="AP56" s="2297"/>
      <c r="AQ56" s="2451"/>
      <c r="AR56" s="2422"/>
      <c r="AS56" s="2297"/>
      <c r="AT56" s="2297"/>
      <c r="AU56" s="2451"/>
      <c r="AV56" s="2356"/>
      <c r="AW56" s="2356"/>
      <c r="AX56" s="2356"/>
      <c r="AY56" s="2880"/>
      <c r="AZ56" s="2356"/>
      <c r="BA56" s="2356"/>
      <c r="BB56" s="2356"/>
      <c r="BC56" s="2880"/>
      <c r="BD56" s="2356"/>
      <c r="BE56" s="2356"/>
      <c r="BF56" s="2356"/>
      <c r="BG56" s="2880"/>
      <c r="BH56" s="2356"/>
      <c r="BI56" s="2356"/>
      <c r="BJ56" s="2356"/>
      <c r="BK56" s="2880"/>
      <c r="BL56" s="2885"/>
      <c r="BM56" s="2375"/>
      <c r="BN56" s="2375"/>
      <c r="BO56" s="2375"/>
      <c r="BP56" s="2375"/>
      <c r="BQ56" s="2375"/>
      <c r="BR56" s="2375"/>
      <c r="BS56" s="2376"/>
      <c r="BT56" s="2370"/>
      <c r="BU56" s="2370"/>
      <c r="BV56" s="2370"/>
      <c r="BW56" s="2370"/>
      <c r="BX56" s="2370"/>
      <c r="BY56" s="2370"/>
      <c r="BZ56" s="2370"/>
      <c r="CA56" s="2370"/>
      <c r="CB56" s="2370"/>
      <c r="CC56" s="2370"/>
      <c r="CD56" s="2370"/>
      <c r="CE56" s="2370"/>
      <c r="CF56" s="2370"/>
      <c r="CG56" s="2370"/>
      <c r="CH56" s="2371"/>
      <c r="CI56" s="2886"/>
      <c r="CJ56" s="2886"/>
      <c r="CK56" s="2857"/>
      <c r="CL56" s="2857"/>
      <c r="CM56" s="2857"/>
      <c r="CQ56" s="2742"/>
      <c r="CR56" s="2743"/>
      <c r="CS56" s="2743"/>
      <c r="CT56" s="2744"/>
      <c r="EC56" s="109"/>
      <c r="ED56" s="109"/>
      <c r="EE56" s="109"/>
      <c r="EF56" s="109"/>
      <c r="EG56" s="109"/>
      <c r="EH56" s="109"/>
      <c r="EI56" s="109"/>
      <c r="EJ56" s="109"/>
      <c r="EK56" s="109"/>
      <c r="EL56" s="109"/>
      <c r="EM56" s="109"/>
      <c r="EN56" s="109"/>
      <c r="EO56" s="109"/>
      <c r="EP56" s="109"/>
      <c r="EQ56" s="109"/>
      <c r="ER56" s="109"/>
      <c r="ES56" s="109"/>
      <c r="ET56" s="109"/>
      <c r="EU56" s="109"/>
      <c r="EV56" s="109"/>
    </row>
    <row r="57" spans="1:152" ht="8.85" customHeight="1">
      <c r="A57" s="2518"/>
      <c r="B57" s="2523"/>
      <c r="C57" s="2524"/>
      <c r="D57" s="2524"/>
      <c r="E57" s="2524"/>
      <c r="F57" s="2524"/>
      <c r="G57" s="2528"/>
      <c r="H57" s="2509"/>
      <c r="I57" s="2510"/>
      <c r="J57" s="2510"/>
      <c r="K57" s="2511"/>
      <c r="L57" s="2480"/>
      <c r="M57" s="2481"/>
      <c r="N57" s="2481"/>
      <c r="O57" s="2482"/>
      <c r="P57" s="2509"/>
      <c r="Q57" s="2510"/>
      <c r="R57" s="2510"/>
      <c r="S57" s="2511"/>
      <c r="T57" s="2439"/>
      <c r="U57" s="2298"/>
      <c r="V57" s="2298"/>
      <c r="W57" s="2452"/>
      <c r="X57" s="2439"/>
      <c r="Y57" s="2298"/>
      <c r="Z57" s="2298"/>
      <c r="AA57" s="2452"/>
      <c r="AB57" s="2881"/>
      <c r="AC57" s="2881"/>
      <c r="AD57" s="2881"/>
      <c r="AE57" s="2882"/>
      <c r="AF57" s="2444"/>
      <c r="AG57" s="2298"/>
      <c r="AH57" s="2298"/>
      <c r="AI57" s="2445"/>
      <c r="AJ57" s="2298"/>
      <c r="AK57" s="2298"/>
      <c r="AL57" s="2298"/>
      <c r="AM57" s="2452"/>
      <c r="AN57" s="2298"/>
      <c r="AO57" s="2298"/>
      <c r="AP57" s="2298"/>
      <c r="AQ57" s="2452"/>
      <c r="AR57" s="2439"/>
      <c r="AS57" s="2298"/>
      <c r="AT57" s="2298"/>
      <c r="AU57" s="2452"/>
      <c r="AV57" s="2356"/>
      <c r="AW57" s="2356"/>
      <c r="AX57" s="2356"/>
      <c r="AY57" s="2880"/>
      <c r="AZ57" s="2356"/>
      <c r="BA57" s="2356"/>
      <c r="BB57" s="2356"/>
      <c r="BC57" s="2880"/>
      <c r="BD57" s="2356"/>
      <c r="BE57" s="2356"/>
      <c r="BF57" s="2356"/>
      <c r="BG57" s="2880"/>
      <c r="BH57" s="2356"/>
      <c r="BI57" s="2356"/>
      <c r="BJ57" s="2356"/>
      <c r="BK57" s="2880"/>
      <c r="BL57" s="2885"/>
      <c r="BM57" s="2375"/>
      <c r="BN57" s="2375"/>
      <c r="BO57" s="2375"/>
      <c r="BP57" s="2375"/>
      <c r="BQ57" s="2375"/>
      <c r="BR57" s="2375"/>
      <c r="BS57" s="2376"/>
      <c r="BT57" s="2372"/>
      <c r="BU57" s="2372"/>
      <c r="BV57" s="2372"/>
      <c r="BW57" s="2372"/>
      <c r="BX57" s="2372"/>
      <c r="BY57" s="2372"/>
      <c r="BZ57" s="2372"/>
      <c r="CA57" s="2372"/>
      <c r="CB57" s="2372"/>
      <c r="CC57" s="2372"/>
      <c r="CD57" s="2372"/>
      <c r="CE57" s="2372"/>
      <c r="CF57" s="2372"/>
      <c r="CG57" s="2372"/>
      <c r="CH57" s="2373"/>
      <c r="CI57" s="2886"/>
      <c r="CJ57" s="2886"/>
      <c r="CK57" s="2857"/>
      <c r="CL57" s="2857"/>
      <c r="CM57" s="2857"/>
      <c r="CQ57" s="2745"/>
      <c r="CR57" s="2746"/>
      <c r="CS57" s="2746"/>
      <c r="CT57" s="2747"/>
      <c r="EC57" s="109"/>
      <c r="ED57" s="109"/>
      <c r="EE57" s="109"/>
      <c r="EF57" s="109"/>
      <c r="EG57" s="109"/>
      <c r="EH57" s="109"/>
      <c r="EI57" s="109"/>
      <c r="EJ57" s="109"/>
      <c r="EK57" s="109"/>
      <c r="EL57" s="109"/>
      <c r="EM57" s="109"/>
      <c r="EN57" s="109"/>
      <c r="EO57" s="109"/>
      <c r="EP57" s="109"/>
      <c r="EQ57" s="109"/>
      <c r="ER57" s="109"/>
      <c r="ES57" s="109"/>
      <c r="ET57" s="109"/>
      <c r="EU57" s="109"/>
      <c r="EV57" s="109"/>
    </row>
    <row r="58" spans="1:152" ht="8.85" customHeight="1">
      <c r="A58" s="2518">
        <v>30</v>
      </c>
      <c r="B58" s="2525"/>
      <c r="C58" s="2520"/>
      <c r="D58" s="2520"/>
      <c r="E58" s="2520"/>
      <c r="F58" s="2520"/>
      <c r="G58" s="2529"/>
      <c r="H58" s="2503">
        <v>0.95833333333333337</v>
      </c>
      <c r="I58" s="2504"/>
      <c r="J58" s="2504"/>
      <c r="K58" s="2505"/>
      <c r="L58" s="2474"/>
      <c r="M58" s="2475"/>
      <c r="N58" s="2475"/>
      <c r="O58" s="2476"/>
      <c r="P58" s="2503">
        <v>4.1666666666666664E-2</v>
      </c>
      <c r="Q58" s="2504"/>
      <c r="R58" s="2504"/>
      <c r="S58" s="2505"/>
      <c r="T58" s="2420"/>
      <c r="U58" s="2421"/>
      <c r="V58" s="2421"/>
      <c r="W58" s="2450"/>
      <c r="X58" s="2420"/>
      <c r="Y58" s="2421"/>
      <c r="Z58" s="2421"/>
      <c r="AA58" s="2450"/>
      <c r="AB58" s="2881" t="str">
        <f t="shared" ref="AB58" si="11">IF(L58="REJECTED",AB54,IF(X58="","",IF(N$22="","",N$22-X58)))</f>
        <v/>
      </c>
      <c r="AC58" s="2881"/>
      <c r="AD58" s="2881"/>
      <c r="AE58" s="2882"/>
      <c r="AF58" s="2440"/>
      <c r="AG58" s="2421"/>
      <c r="AH58" s="2421"/>
      <c r="AI58" s="2441"/>
      <c r="AJ58" s="2421"/>
      <c r="AK58" s="2421"/>
      <c r="AL58" s="2421"/>
      <c r="AM58" s="2483"/>
      <c r="AN58" s="2421"/>
      <c r="AO58" s="2421"/>
      <c r="AP58" s="2421"/>
      <c r="AQ58" s="2483"/>
      <c r="AR58" s="2420"/>
      <c r="AS58" s="2421"/>
      <c r="AT58" s="2421"/>
      <c r="AU58" s="2483"/>
      <c r="AV58" s="2356"/>
      <c r="AW58" s="2356"/>
      <c r="AX58" s="2356"/>
      <c r="AY58" s="2880"/>
      <c r="AZ58" s="2356"/>
      <c r="BA58" s="2356"/>
      <c r="BB58" s="2356"/>
      <c r="BC58" s="2880"/>
      <c r="BD58" s="2356"/>
      <c r="BE58" s="2356"/>
      <c r="BF58" s="2356"/>
      <c r="BG58" s="2880"/>
      <c r="BH58" s="2356"/>
      <c r="BI58" s="2356"/>
      <c r="BJ58" s="2356"/>
      <c r="BK58" s="2880"/>
      <c r="BL58" s="2885" t="str">
        <f t="shared" ref="BL58" si="12">IF(OR(L58="REJECTED",L58="Not Placed"),0,IF(AF58="","",SUM(AF58:AM61)-SUM(AN58:BK61)))</f>
        <v/>
      </c>
      <c r="BM58" s="2375"/>
      <c r="BN58" s="2375"/>
      <c r="BO58" s="2375"/>
      <c r="BP58" s="2375" t="str">
        <f t="shared" ref="BP58" si="13">IF(L58="REJECTED",BP54,IF(AF58="","",BP54+BL58))</f>
        <v/>
      </c>
      <c r="BQ58" s="2375"/>
      <c r="BR58" s="2375"/>
      <c r="BS58" s="2376"/>
      <c r="BT58" s="2368"/>
      <c r="BU58" s="2368"/>
      <c r="BV58" s="2368"/>
      <c r="BW58" s="2368"/>
      <c r="BX58" s="2368"/>
      <c r="BY58" s="2368"/>
      <c r="BZ58" s="2368"/>
      <c r="CA58" s="2368"/>
      <c r="CB58" s="2368"/>
      <c r="CC58" s="2368"/>
      <c r="CD58" s="2368"/>
      <c r="CE58" s="2368"/>
      <c r="CF58" s="2368"/>
      <c r="CG58" s="2368"/>
      <c r="CH58" s="2369"/>
      <c r="CI58" s="2886">
        <v>30</v>
      </c>
      <c r="CJ58" s="2886"/>
      <c r="CK58" s="2857" t="e">
        <f>'Concr. Curve'!BL26</f>
        <v>#DIV/0!</v>
      </c>
      <c r="CL58" s="2857"/>
      <c r="CM58" s="2857"/>
      <c r="CQ58" s="2967">
        <f>IF(OR(P58="",H58=""),"",MOD(P58-H58,1)*24*60)</f>
        <v>119.99999999999989</v>
      </c>
      <c r="CR58" s="2968"/>
      <c r="CS58" s="2968"/>
      <c r="CT58" s="2969"/>
      <c r="EC58" s="109"/>
      <c r="ED58" s="109"/>
      <c r="EE58" s="109"/>
      <c r="EF58" s="109"/>
      <c r="EG58" s="109"/>
      <c r="EH58" s="109"/>
      <c r="EI58" s="109"/>
      <c r="EJ58" s="109"/>
      <c r="EK58" s="109"/>
      <c r="EL58" s="109"/>
      <c r="EM58" s="109"/>
      <c r="EN58" s="109"/>
      <c r="EO58" s="109"/>
      <c r="EP58" s="109"/>
      <c r="EQ58" s="109"/>
      <c r="ER58" s="109"/>
      <c r="ES58" s="109"/>
      <c r="ET58" s="109"/>
      <c r="EU58" s="109"/>
      <c r="EV58" s="109"/>
    </row>
    <row r="59" spans="1:152" ht="8.85" customHeight="1">
      <c r="A59" s="2518"/>
      <c r="B59" s="2530"/>
      <c r="C59" s="2522"/>
      <c r="D59" s="2522"/>
      <c r="E59" s="2522"/>
      <c r="F59" s="2522"/>
      <c r="G59" s="2527"/>
      <c r="H59" s="2506"/>
      <c r="I59" s="2507"/>
      <c r="J59" s="2507"/>
      <c r="K59" s="2508"/>
      <c r="L59" s="2477"/>
      <c r="M59" s="2478"/>
      <c r="N59" s="2478"/>
      <c r="O59" s="2479"/>
      <c r="P59" s="2506"/>
      <c r="Q59" s="2507"/>
      <c r="R59" s="2507"/>
      <c r="S59" s="2508"/>
      <c r="T59" s="2422"/>
      <c r="U59" s="2297"/>
      <c r="V59" s="2297"/>
      <c r="W59" s="2451"/>
      <c r="X59" s="2422"/>
      <c r="Y59" s="2297"/>
      <c r="Z59" s="2297"/>
      <c r="AA59" s="2451"/>
      <c r="AB59" s="2881"/>
      <c r="AC59" s="2881"/>
      <c r="AD59" s="2881"/>
      <c r="AE59" s="2882"/>
      <c r="AF59" s="2446"/>
      <c r="AG59" s="2297"/>
      <c r="AH59" s="2297"/>
      <c r="AI59" s="2447"/>
      <c r="AJ59" s="2297"/>
      <c r="AK59" s="2297"/>
      <c r="AL59" s="2297"/>
      <c r="AM59" s="2451"/>
      <c r="AN59" s="2297"/>
      <c r="AO59" s="2297"/>
      <c r="AP59" s="2297"/>
      <c r="AQ59" s="2451"/>
      <c r="AR59" s="2422"/>
      <c r="AS59" s="2297"/>
      <c r="AT59" s="2297"/>
      <c r="AU59" s="2451"/>
      <c r="AV59" s="2356"/>
      <c r="AW59" s="2356"/>
      <c r="AX59" s="2356"/>
      <c r="AY59" s="2880"/>
      <c r="AZ59" s="2356"/>
      <c r="BA59" s="2356"/>
      <c r="BB59" s="2356"/>
      <c r="BC59" s="2880"/>
      <c r="BD59" s="2356"/>
      <c r="BE59" s="2356"/>
      <c r="BF59" s="2356"/>
      <c r="BG59" s="2880"/>
      <c r="BH59" s="2356"/>
      <c r="BI59" s="2356"/>
      <c r="BJ59" s="2356"/>
      <c r="BK59" s="2880"/>
      <c r="BL59" s="2885"/>
      <c r="BM59" s="2375"/>
      <c r="BN59" s="2375"/>
      <c r="BO59" s="2375"/>
      <c r="BP59" s="2375"/>
      <c r="BQ59" s="2375"/>
      <c r="BR59" s="2375"/>
      <c r="BS59" s="2376"/>
      <c r="BT59" s="2370"/>
      <c r="BU59" s="2370"/>
      <c r="BV59" s="2370"/>
      <c r="BW59" s="2370"/>
      <c r="BX59" s="2370"/>
      <c r="BY59" s="2370"/>
      <c r="BZ59" s="2370"/>
      <c r="CA59" s="2370"/>
      <c r="CB59" s="2370"/>
      <c r="CC59" s="2370"/>
      <c r="CD59" s="2370"/>
      <c r="CE59" s="2370"/>
      <c r="CF59" s="2370"/>
      <c r="CG59" s="2370"/>
      <c r="CH59" s="2371"/>
      <c r="CI59" s="2886"/>
      <c r="CJ59" s="2886"/>
      <c r="CK59" s="2857"/>
      <c r="CL59" s="2857"/>
      <c r="CM59" s="2857"/>
      <c r="CQ59" s="2742"/>
      <c r="CR59" s="2743"/>
      <c r="CS59" s="2743"/>
      <c r="CT59" s="2744"/>
      <c r="EC59" s="109"/>
      <c r="ED59" s="109"/>
      <c r="EE59" s="109"/>
      <c r="EF59" s="109"/>
      <c r="EG59" s="109"/>
      <c r="EH59" s="109"/>
      <c r="EI59" s="109"/>
      <c r="EJ59" s="109"/>
      <c r="EK59" s="109"/>
      <c r="EL59" s="109"/>
      <c r="EM59" s="109"/>
      <c r="EN59" s="109"/>
      <c r="EO59" s="109"/>
      <c r="EP59" s="109"/>
      <c r="EQ59" s="109"/>
      <c r="ER59" s="109"/>
      <c r="ES59" s="109"/>
      <c r="ET59" s="109"/>
      <c r="EU59" s="109"/>
      <c r="EV59" s="109"/>
    </row>
    <row r="60" spans="1:152" ht="8.85" customHeight="1">
      <c r="A60" s="2518"/>
      <c r="B60" s="2530"/>
      <c r="C60" s="2522"/>
      <c r="D60" s="2522"/>
      <c r="E60" s="2522"/>
      <c r="F60" s="2522"/>
      <c r="G60" s="2527"/>
      <c r="H60" s="2506"/>
      <c r="I60" s="2507"/>
      <c r="J60" s="2507"/>
      <c r="K60" s="2508"/>
      <c r="L60" s="2477"/>
      <c r="M60" s="2478"/>
      <c r="N60" s="2478"/>
      <c r="O60" s="2479"/>
      <c r="P60" s="2506"/>
      <c r="Q60" s="2507"/>
      <c r="R60" s="2507"/>
      <c r="S60" s="2508"/>
      <c r="T60" s="2422"/>
      <c r="U60" s="2297"/>
      <c r="V60" s="2297"/>
      <c r="W60" s="2451"/>
      <c r="X60" s="2422"/>
      <c r="Y60" s="2297"/>
      <c r="Z60" s="2297"/>
      <c r="AA60" s="2451"/>
      <c r="AB60" s="2881"/>
      <c r="AC60" s="2881"/>
      <c r="AD60" s="2881"/>
      <c r="AE60" s="2882"/>
      <c r="AF60" s="2446"/>
      <c r="AG60" s="2297"/>
      <c r="AH60" s="2297"/>
      <c r="AI60" s="2447"/>
      <c r="AJ60" s="2297"/>
      <c r="AK60" s="2297"/>
      <c r="AL60" s="2297"/>
      <c r="AM60" s="2451"/>
      <c r="AN60" s="2297"/>
      <c r="AO60" s="2297"/>
      <c r="AP60" s="2297"/>
      <c r="AQ60" s="2451"/>
      <c r="AR60" s="2422"/>
      <c r="AS60" s="2297"/>
      <c r="AT60" s="2297"/>
      <c r="AU60" s="2451"/>
      <c r="AV60" s="2356"/>
      <c r="AW60" s="2356"/>
      <c r="AX60" s="2356"/>
      <c r="AY60" s="2880"/>
      <c r="AZ60" s="2356"/>
      <c r="BA60" s="2356"/>
      <c r="BB60" s="2356"/>
      <c r="BC60" s="2880"/>
      <c r="BD60" s="2356"/>
      <c r="BE60" s="2356"/>
      <c r="BF60" s="2356"/>
      <c r="BG60" s="2880"/>
      <c r="BH60" s="2356"/>
      <c r="BI60" s="2356"/>
      <c r="BJ60" s="2356"/>
      <c r="BK60" s="2880"/>
      <c r="BL60" s="2885"/>
      <c r="BM60" s="2375"/>
      <c r="BN60" s="2375"/>
      <c r="BO60" s="2375"/>
      <c r="BP60" s="2375"/>
      <c r="BQ60" s="2375"/>
      <c r="BR60" s="2375"/>
      <c r="BS60" s="2376"/>
      <c r="BT60" s="2370"/>
      <c r="BU60" s="2370"/>
      <c r="BV60" s="2370"/>
      <c r="BW60" s="2370"/>
      <c r="BX60" s="2370"/>
      <c r="BY60" s="2370"/>
      <c r="BZ60" s="2370"/>
      <c r="CA60" s="2370"/>
      <c r="CB60" s="2370"/>
      <c r="CC60" s="2370"/>
      <c r="CD60" s="2370"/>
      <c r="CE60" s="2370"/>
      <c r="CF60" s="2370"/>
      <c r="CG60" s="2370"/>
      <c r="CH60" s="2371"/>
      <c r="CI60" s="2886"/>
      <c r="CJ60" s="2886"/>
      <c r="CK60" s="2857"/>
      <c r="CL60" s="2857"/>
      <c r="CM60" s="2857"/>
      <c r="CQ60" s="2742"/>
      <c r="CR60" s="2743"/>
      <c r="CS60" s="2743"/>
      <c r="CT60" s="2744"/>
      <c r="EC60" s="109"/>
      <c r="ED60" s="109"/>
      <c r="EE60" s="109"/>
      <c r="EF60" s="109"/>
      <c r="EG60" s="109"/>
      <c r="EH60" s="109"/>
      <c r="EI60" s="109"/>
      <c r="EJ60" s="109"/>
      <c r="EK60" s="109"/>
      <c r="EL60" s="109"/>
      <c r="EM60" s="109"/>
      <c r="EN60" s="109"/>
      <c r="EO60" s="109"/>
      <c r="EP60" s="109"/>
      <c r="EQ60" s="109"/>
      <c r="ER60" s="109"/>
      <c r="ES60" s="109"/>
      <c r="ET60" s="109"/>
      <c r="EU60" s="109"/>
      <c r="EV60" s="109"/>
    </row>
    <row r="61" spans="1:152" ht="8.85" customHeight="1">
      <c r="A61" s="2518"/>
      <c r="B61" s="2523"/>
      <c r="C61" s="2524"/>
      <c r="D61" s="2524"/>
      <c r="E61" s="2524"/>
      <c r="F61" s="2524"/>
      <c r="G61" s="2528"/>
      <c r="H61" s="2509"/>
      <c r="I61" s="2510"/>
      <c r="J61" s="2510"/>
      <c r="K61" s="2511"/>
      <c r="L61" s="2480"/>
      <c r="M61" s="2481"/>
      <c r="N61" s="2481"/>
      <c r="O61" s="2482"/>
      <c r="P61" s="2509"/>
      <c r="Q61" s="2510"/>
      <c r="R61" s="2510"/>
      <c r="S61" s="2511"/>
      <c r="T61" s="2439"/>
      <c r="U61" s="2298"/>
      <c r="V61" s="2298"/>
      <c r="W61" s="2452"/>
      <c r="X61" s="2439"/>
      <c r="Y61" s="2298"/>
      <c r="Z61" s="2298"/>
      <c r="AA61" s="2452"/>
      <c r="AB61" s="2881"/>
      <c r="AC61" s="2881"/>
      <c r="AD61" s="2881"/>
      <c r="AE61" s="2882"/>
      <c r="AF61" s="2444"/>
      <c r="AG61" s="2298"/>
      <c r="AH61" s="2298"/>
      <c r="AI61" s="2445"/>
      <c r="AJ61" s="2298"/>
      <c r="AK61" s="2298"/>
      <c r="AL61" s="2298"/>
      <c r="AM61" s="2452"/>
      <c r="AN61" s="2298"/>
      <c r="AO61" s="2298"/>
      <c r="AP61" s="2298"/>
      <c r="AQ61" s="2452"/>
      <c r="AR61" s="2439"/>
      <c r="AS61" s="2298"/>
      <c r="AT61" s="2298"/>
      <c r="AU61" s="2452"/>
      <c r="AV61" s="2356"/>
      <c r="AW61" s="2356"/>
      <c r="AX61" s="2356"/>
      <c r="AY61" s="2880"/>
      <c r="AZ61" s="2356"/>
      <c r="BA61" s="2356"/>
      <c r="BB61" s="2356"/>
      <c r="BC61" s="2880"/>
      <c r="BD61" s="2356"/>
      <c r="BE61" s="2356"/>
      <c r="BF61" s="2356"/>
      <c r="BG61" s="2880"/>
      <c r="BH61" s="2356"/>
      <c r="BI61" s="2356"/>
      <c r="BJ61" s="2356"/>
      <c r="BK61" s="2880"/>
      <c r="BL61" s="2885"/>
      <c r="BM61" s="2375"/>
      <c r="BN61" s="2375"/>
      <c r="BO61" s="2375"/>
      <c r="BP61" s="2375"/>
      <c r="BQ61" s="2375"/>
      <c r="BR61" s="2375"/>
      <c r="BS61" s="2376"/>
      <c r="BT61" s="2372"/>
      <c r="BU61" s="2372"/>
      <c r="BV61" s="2372"/>
      <c r="BW61" s="2372"/>
      <c r="BX61" s="2372"/>
      <c r="BY61" s="2372"/>
      <c r="BZ61" s="2372"/>
      <c r="CA61" s="2372"/>
      <c r="CB61" s="2372"/>
      <c r="CC61" s="2372"/>
      <c r="CD61" s="2372"/>
      <c r="CE61" s="2372"/>
      <c r="CF61" s="2372"/>
      <c r="CG61" s="2372"/>
      <c r="CH61" s="2373"/>
      <c r="CI61" s="2886"/>
      <c r="CJ61" s="2886"/>
      <c r="CK61" s="2857"/>
      <c r="CL61" s="2857"/>
      <c r="CM61" s="2857"/>
      <c r="CQ61" s="2745"/>
      <c r="CR61" s="2746"/>
      <c r="CS61" s="2746"/>
      <c r="CT61" s="2747"/>
      <c r="EC61" s="109"/>
      <c r="ED61" s="109"/>
      <c r="EE61" s="109"/>
      <c r="EF61" s="109"/>
      <c r="EG61" s="109"/>
      <c r="EH61" s="109"/>
      <c r="EI61" s="109"/>
      <c r="EJ61" s="109"/>
      <c r="EK61" s="109"/>
      <c r="EL61" s="109"/>
      <c r="EM61" s="109"/>
      <c r="EN61" s="109"/>
      <c r="EO61" s="109"/>
      <c r="EP61" s="109"/>
      <c r="EQ61" s="109"/>
      <c r="ER61" s="109"/>
      <c r="ES61" s="109"/>
      <c r="ET61" s="109"/>
      <c r="EU61" s="109"/>
      <c r="EV61" s="109"/>
    </row>
    <row r="62" spans="1:152" ht="8.85" customHeight="1">
      <c r="A62" s="2518">
        <v>31</v>
      </c>
      <c r="B62" s="2525"/>
      <c r="C62" s="2520"/>
      <c r="D62" s="2520"/>
      <c r="E62" s="2520"/>
      <c r="F62" s="2520"/>
      <c r="G62" s="2529"/>
      <c r="H62" s="2503">
        <v>0.45833333333333331</v>
      </c>
      <c r="I62" s="2504"/>
      <c r="J62" s="2504"/>
      <c r="K62" s="2505"/>
      <c r="L62" s="2474"/>
      <c r="M62" s="2475"/>
      <c r="N62" s="2475"/>
      <c r="O62" s="2476"/>
      <c r="P62" s="2503">
        <v>0.54166666666666663</v>
      </c>
      <c r="Q62" s="2504"/>
      <c r="R62" s="2504"/>
      <c r="S62" s="2505"/>
      <c r="T62" s="2420"/>
      <c r="U62" s="2421"/>
      <c r="V62" s="2421"/>
      <c r="W62" s="2450"/>
      <c r="X62" s="2420"/>
      <c r="Y62" s="2421"/>
      <c r="Z62" s="2421"/>
      <c r="AA62" s="2450"/>
      <c r="AB62" s="2881" t="str">
        <f t="shared" ref="AB62" si="14">IF(L62="REJECTED",AB58,IF(X62="","",IF(N$22="","",N$22-X62)))</f>
        <v/>
      </c>
      <c r="AC62" s="2881"/>
      <c r="AD62" s="2881"/>
      <c r="AE62" s="2882"/>
      <c r="AF62" s="2440"/>
      <c r="AG62" s="2421"/>
      <c r="AH62" s="2421"/>
      <c r="AI62" s="2441"/>
      <c r="AJ62" s="2421"/>
      <c r="AK62" s="2421"/>
      <c r="AL62" s="2421"/>
      <c r="AM62" s="2483"/>
      <c r="AN62" s="2421"/>
      <c r="AO62" s="2421"/>
      <c r="AP62" s="2421"/>
      <c r="AQ62" s="2483"/>
      <c r="AR62" s="2420"/>
      <c r="AS62" s="2421"/>
      <c r="AT62" s="2421"/>
      <c r="AU62" s="2483"/>
      <c r="AV62" s="2356"/>
      <c r="AW62" s="2356"/>
      <c r="AX62" s="2356"/>
      <c r="AY62" s="2880"/>
      <c r="AZ62" s="2356"/>
      <c r="BA62" s="2356"/>
      <c r="BB62" s="2356"/>
      <c r="BC62" s="2880"/>
      <c r="BD62" s="2356"/>
      <c r="BE62" s="2356"/>
      <c r="BF62" s="2356"/>
      <c r="BG62" s="2880"/>
      <c r="BH62" s="2356"/>
      <c r="BI62" s="2356"/>
      <c r="BJ62" s="2356"/>
      <c r="BK62" s="2880"/>
      <c r="BL62" s="2885" t="str">
        <f t="shared" ref="BL62" si="15">IF(OR(L62="REJECTED",L62="Not Placed"),0,IF(AF62="","",SUM(AF62:AM65)-SUM(AN62:BK65)))</f>
        <v/>
      </c>
      <c r="BM62" s="2375"/>
      <c r="BN62" s="2375"/>
      <c r="BO62" s="2375"/>
      <c r="BP62" s="2375" t="str">
        <f t="shared" ref="BP62" si="16">IF(L62="REJECTED",BP58,IF(AF62="","",BP58+BL62))</f>
        <v/>
      </c>
      <c r="BQ62" s="2375"/>
      <c r="BR62" s="2375"/>
      <c r="BS62" s="2376"/>
      <c r="BT62" s="2368"/>
      <c r="BU62" s="2368"/>
      <c r="BV62" s="2368"/>
      <c r="BW62" s="2368"/>
      <c r="BX62" s="2368"/>
      <c r="BY62" s="2368"/>
      <c r="BZ62" s="2368"/>
      <c r="CA62" s="2368"/>
      <c r="CB62" s="2368"/>
      <c r="CC62" s="2368"/>
      <c r="CD62" s="2368"/>
      <c r="CE62" s="2368"/>
      <c r="CF62" s="2368"/>
      <c r="CG62" s="2368"/>
      <c r="CH62" s="2369"/>
      <c r="CI62" s="2886">
        <v>31</v>
      </c>
      <c r="CJ62" s="2886"/>
      <c r="CK62" s="2857" t="e">
        <f>'Concr. Curve'!BL25</f>
        <v>#DIV/0!</v>
      </c>
      <c r="CL62" s="2857"/>
      <c r="CM62" s="2857"/>
      <c r="CQ62" s="2967">
        <f t="shared" ref="CQ62" si="17">IF(OR(P62="",H62=""),"",MOD(P62-H62,1)*24*60)</f>
        <v>119.99999999999997</v>
      </c>
      <c r="CR62" s="2968"/>
      <c r="CS62" s="2968"/>
      <c r="CT62" s="2969"/>
      <c r="EC62" s="109"/>
      <c r="ED62" s="109"/>
      <c r="EE62" s="109"/>
      <c r="EF62" s="109"/>
      <c r="EG62" s="109"/>
      <c r="EH62" s="109"/>
      <c r="EI62" s="109"/>
      <c r="EJ62" s="109"/>
      <c r="EK62" s="109"/>
      <c r="EL62" s="109"/>
      <c r="EM62" s="109"/>
      <c r="EN62" s="109"/>
      <c r="EO62" s="109"/>
      <c r="EP62" s="109"/>
      <c r="EQ62" s="109"/>
      <c r="ER62" s="109"/>
      <c r="ES62" s="109"/>
      <c r="ET62" s="109"/>
      <c r="EU62" s="109"/>
      <c r="EV62" s="109"/>
    </row>
    <row r="63" spans="1:152" ht="8.85" customHeight="1">
      <c r="A63" s="2518"/>
      <c r="B63" s="2530"/>
      <c r="C63" s="2522"/>
      <c r="D63" s="2522"/>
      <c r="E63" s="2522"/>
      <c r="F63" s="2522"/>
      <c r="G63" s="2527"/>
      <c r="H63" s="2506"/>
      <c r="I63" s="2507"/>
      <c r="J63" s="2507"/>
      <c r="K63" s="2508"/>
      <c r="L63" s="2477"/>
      <c r="M63" s="2478"/>
      <c r="N63" s="2478"/>
      <c r="O63" s="2479"/>
      <c r="P63" s="2506"/>
      <c r="Q63" s="2507"/>
      <c r="R63" s="2507"/>
      <c r="S63" s="2508"/>
      <c r="T63" s="2422"/>
      <c r="U63" s="2297"/>
      <c r="V63" s="2297"/>
      <c r="W63" s="2451"/>
      <c r="X63" s="2422"/>
      <c r="Y63" s="2297"/>
      <c r="Z63" s="2297"/>
      <c r="AA63" s="2451"/>
      <c r="AB63" s="2881"/>
      <c r="AC63" s="2881"/>
      <c r="AD63" s="2881"/>
      <c r="AE63" s="2882"/>
      <c r="AF63" s="2446"/>
      <c r="AG63" s="2297"/>
      <c r="AH63" s="2297"/>
      <c r="AI63" s="2447"/>
      <c r="AJ63" s="2297"/>
      <c r="AK63" s="2297"/>
      <c r="AL63" s="2297"/>
      <c r="AM63" s="2451"/>
      <c r="AN63" s="2297"/>
      <c r="AO63" s="2297"/>
      <c r="AP63" s="2297"/>
      <c r="AQ63" s="2451"/>
      <c r="AR63" s="2422"/>
      <c r="AS63" s="2297"/>
      <c r="AT63" s="2297"/>
      <c r="AU63" s="2451"/>
      <c r="AV63" s="2356"/>
      <c r="AW63" s="2356"/>
      <c r="AX63" s="2356"/>
      <c r="AY63" s="2880"/>
      <c r="AZ63" s="2356"/>
      <c r="BA63" s="2356"/>
      <c r="BB63" s="2356"/>
      <c r="BC63" s="2880"/>
      <c r="BD63" s="2356"/>
      <c r="BE63" s="2356"/>
      <c r="BF63" s="2356"/>
      <c r="BG63" s="2880"/>
      <c r="BH63" s="2356"/>
      <c r="BI63" s="2356"/>
      <c r="BJ63" s="2356"/>
      <c r="BK63" s="2880"/>
      <c r="BL63" s="2885"/>
      <c r="BM63" s="2375"/>
      <c r="BN63" s="2375"/>
      <c r="BO63" s="2375"/>
      <c r="BP63" s="2375"/>
      <c r="BQ63" s="2375"/>
      <c r="BR63" s="2375"/>
      <c r="BS63" s="2376"/>
      <c r="BT63" s="2370"/>
      <c r="BU63" s="2370"/>
      <c r="BV63" s="2370"/>
      <c r="BW63" s="2370"/>
      <c r="BX63" s="2370"/>
      <c r="BY63" s="2370"/>
      <c r="BZ63" s="2370"/>
      <c r="CA63" s="2370"/>
      <c r="CB63" s="2370"/>
      <c r="CC63" s="2370"/>
      <c r="CD63" s="2370"/>
      <c r="CE63" s="2370"/>
      <c r="CF63" s="2370"/>
      <c r="CG63" s="2370"/>
      <c r="CH63" s="2371"/>
      <c r="CI63" s="2886"/>
      <c r="CJ63" s="2886"/>
      <c r="CK63" s="2857"/>
      <c r="CL63" s="2857"/>
      <c r="CM63" s="2857"/>
      <c r="CQ63" s="2742"/>
      <c r="CR63" s="2743"/>
      <c r="CS63" s="2743"/>
      <c r="CT63" s="2744"/>
      <c r="EC63" s="109"/>
      <c r="ED63" s="109"/>
      <c r="EE63" s="109"/>
      <c r="EF63" s="109"/>
      <c r="EG63" s="109"/>
      <c r="EH63" s="109"/>
      <c r="EI63" s="109"/>
      <c r="EJ63" s="109"/>
      <c r="EK63" s="109"/>
      <c r="EL63" s="109"/>
      <c r="EM63" s="109"/>
      <c r="EN63" s="109"/>
      <c r="EO63" s="109"/>
      <c r="EP63" s="109"/>
      <c r="EQ63" s="109"/>
      <c r="ER63" s="109"/>
      <c r="ES63" s="109"/>
      <c r="ET63" s="109"/>
      <c r="EU63" s="109"/>
      <c r="EV63" s="109"/>
    </row>
    <row r="64" spans="1:152" ht="8.85" customHeight="1">
      <c r="A64" s="2518"/>
      <c r="B64" s="2530"/>
      <c r="C64" s="2522"/>
      <c r="D64" s="2522"/>
      <c r="E64" s="2522"/>
      <c r="F64" s="2522"/>
      <c r="G64" s="2527"/>
      <c r="H64" s="2506"/>
      <c r="I64" s="2507"/>
      <c r="J64" s="2507"/>
      <c r="K64" s="2508"/>
      <c r="L64" s="2477"/>
      <c r="M64" s="2478"/>
      <c r="N64" s="2478"/>
      <c r="O64" s="2479"/>
      <c r="P64" s="2506"/>
      <c r="Q64" s="2507"/>
      <c r="R64" s="2507"/>
      <c r="S64" s="2508"/>
      <c r="T64" s="2422"/>
      <c r="U64" s="2297"/>
      <c r="V64" s="2297"/>
      <c r="W64" s="2451"/>
      <c r="X64" s="2422"/>
      <c r="Y64" s="2297"/>
      <c r="Z64" s="2297"/>
      <c r="AA64" s="2451"/>
      <c r="AB64" s="2881"/>
      <c r="AC64" s="2881"/>
      <c r="AD64" s="2881"/>
      <c r="AE64" s="2882"/>
      <c r="AF64" s="2446"/>
      <c r="AG64" s="2297"/>
      <c r="AH64" s="2297"/>
      <c r="AI64" s="2447"/>
      <c r="AJ64" s="2297"/>
      <c r="AK64" s="2297"/>
      <c r="AL64" s="2297"/>
      <c r="AM64" s="2451"/>
      <c r="AN64" s="2297"/>
      <c r="AO64" s="2297"/>
      <c r="AP64" s="2297"/>
      <c r="AQ64" s="2451"/>
      <c r="AR64" s="2422"/>
      <c r="AS64" s="2297"/>
      <c r="AT64" s="2297"/>
      <c r="AU64" s="2451"/>
      <c r="AV64" s="2356"/>
      <c r="AW64" s="2356"/>
      <c r="AX64" s="2356"/>
      <c r="AY64" s="2880"/>
      <c r="AZ64" s="2356"/>
      <c r="BA64" s="2356"/>
      <c r="BB64" s="2356"/>
      <c r="BC64" s="2880"/>
      <c r="BD64" s="2356"/>
      <c r="BE64" s="2356"/>
      <c r="BF64" s="2356"/>
      <c r="BG64" s="2880"/>
      <c r="BH64" s="2356"/>
      <c r="BI64" s="2356"/>
      <c r="BJ64" s="2356"/>
      <c r="BK64" s="2880"/>
      <c r="BL64" s="2885"/>
      <c r="BM64" s="2375"/>
      <c r="BN64" s="2375"/>
      <c r="BO64" s="2375"/>
      <c r="BP64" s="2375"/>
      <c r="BQ64" s="2375"/>
      <c r="BR64" s="2375"/>
      <c r="BS64" s="2376"/>
      <c r="BT64" s="2370"/>
      <c r="BU64" s="2370"/>
      <c r="BV64" s="2370"/>
      <c r="BW64" s="2370"/>
      <c r="BX64" s="2370"/>
      <c r="BY64" s="2370"/>
      <c r="BZ64" s="2370"/>
      <c r="CA64" s="2370"/>
      <c r="CB64" s="2370"/>
      <c r="CC64" s="2370"/>
      <c r="CD64" s="2370"/>
      <c r="CE64" s="2370"/>
      <c r="CF64" s="2370"/>
      <c r="CG64" s="2370"/>
      <c r="CH64" s="2371"/>
      <c r="CI64" s="2886"/>
      <c r="CJ64" s="2886"/>
      <c r="CK64" s="2857"/>
      <c r="CL64" s="2857"/>
      <c r="CM64" s="2857"/>
      <c r="CQ64" s="2742"/>
      <c r="CR64" s="2743"/>
      <c r="CS64" s="2743"/>
      <c r="CT64" s="2744"/>
      <c r="EC64" s="109"/>
      <c r="ED64" s="109"/>
      <c r="EE64" s="109"/>
      <c r="EF64" s="109"/>
      <c r="EG64" s="109"/>
      <c r="EH64" s="109"/>
      <c r="EI64" s="109"/>
      <c r="EJ64" s="109"/>
      <c r="EK64" s="109"/>
      <c r="EL64" s="109"/>
      <c r="EM64" s="109"/>
      <c r="EN64" s="109"/>
      <c r="EO64" s="109"/>
      <c r="EP64" s="109"/>
      <c r="EQ64" s="109"/>
      <c r="ER64" s="109"/>
      <c r="ES64" s="109"/>
      <c r="ET64" s="109"/>
      <c r="EU64" s="109"/>
      <c r="EV64" s="109"/>
    </row>
    <row r="65" spans="1:152" ht="8.85" customHeight="1">
      <c r="A65" s="2518"/>
      <c r="B65" s="2523"/>
      <c r="C65" s="2524"/>
      <c r="D65" s="2524"/>
      <c r="E65" s="2524"/>
      <c r="F65" s="2524"/>
      <c r="G65" s="2528"/>
      <c r="H65" s="2509"/>
      <c r="I65" s="2510"/>
      <c r="J65" s="2510"/>
      <c r="K65" s="2511"/>
      <c r="L65" s="2480"/>
      <c r="M65" s="2481"/>
      <c r="N65" s="2481"/>
      <c r="O65" s="2482"/>
      <c r="P65" s="2509"/>
      <c r="Q65" s="2510"/>
      <c r="R65" s="2510"/>
      <c r="S65" s="2511"/>
      <c r="T65" s="2439"/>
      <c r="U65" s="2298"/>
      <c r="V65" s="2298"/>
      <c r="W65" s="2452"/>
      <c r="X65" s="2439"/>
      <c r="Y65" s="2298"/>
      <c r="Z65" s="2298"/>
      <c r="AA65" s="2452"/>
      <c r="AB65" s="2881"/>
      <c r="AC65" s="2881"/>
      <c r="AD65" s="2881"/>
      <c r="AE65" s="2882"/>
      <c r="AF65" s="2444"/>
      <c r="AG65" s="2298"/>
      <c r="AH65" s="2298"/>
      <c r="AI65" s="2445"/>
      <c r="AJ65" s="2298"/>
      <c r="AK65" s="2298"/>
      <c r="AL65" s="2298"/>
      <c r="AM65" s="2452"/>
      <c r="AN65" s="2298"/>
      <c r="AO65" s="2298"/>
      <c r="AP65" s="2298"/>
      <c r="AQ65" s="2452"/>
      <c r="AR65" s="2439"/>
      <c r="AS65" s="2298"/>
      <c r="AT65" s="2298"/>
      <c r="AU65" s="2452"/>
      <c r="AV65" s="2356"/>
      <c r="AW65" s="2356"/>
      <c r="AX65" s="2356"/>
      <c r="AY65" s="2880"/>
      <c r="AZ65" s="2356"/>
      <c r="BA65" s="2356"/>
      <c r="BB65" s="2356"/>
      <c r="BC65" s="2880"/>
      <c r="BD65" s="2356"/>
      <c r="BE65" s="2356"/>
      <c r="BF65" s="2356"/>
      <c r="BG65" s="2880"/>
      <c r="BH65" s="2356"/>
      <c r="BI65" s="2356"/>
      <c r="BJ65" s="2356"/>
      <c r="BK65" s="2880"/>
      <c r="BL65" s="2885"/>
      <c r="BM65" s="2375"/>
      <c r="BN65" s="2375"/>
      <c r="BO65" s="2375"/>
      <c r="BP65" s="2375"/>
      <c r="BQ65" s="2375"/>
      <c r="BR65" s="2375"/>
      <c r="BS65" s="2376"/>
      <c r="BT65" s="2372"/>
      <c r="BU65" s="2372"/>
      <c r="BV65" s="2372"/>
      <c r="BW65" s="2372"/>
      <c r="BX65" s="2372"/>
      <c r="BY65" s="2372"/>
      <c r="BZ65" s="2372"/>
      <c r="CA65" s="2372"/>
      <c r="CB65" s="2372"/>
      <c r="CC65" s="2372"/>
      <c r="CD65" s="2372"/>
      <c r="CE65" s="2372"/>
      <c r="CF65" s="2372"/>
      <c r="CG65" s="2372"/>
      <c r="CH65" s="2373"/>
      <c r="CI65" s="2886"/>
      <c r="CJ65" s="2886"/>
      <c r="CK65" s="2857"/>
      <c r="CL65" s="2857"/>
      <c r="CM65" s="2857"/>
      <c r="CQ65" s="2745"/>
      <c r="CR65" s="2746"/>
      <c r="CS65" s="2746"/>
      <c r="CT65" s="2747"/>
      <c r="EC65" s="109"/>
      <c r="ED65" s="109"/>
      <c r="EE65" s="109"/>
      <c r="EF65" s="109"/>
      <c r="EG65" s="109"/>
      <c r="EH65" s="109"/>
      <c r="EI65" s="109"/>
      <c r="EJ65" s="109"/>
      <c r="EK65" s="109"/>
      <c r="EL65" s="109"/>
      <c r="EM65" s="109"/>
      <c r="EN65" s="109"/>
      <c r="EO65" s="109"/>
      <c r="EP65" s="109"/>
      <c r="EQ65" s="109"/>
      <c r="ER65" s="109"/>
      <c r="ES65" s="109"/>
      <c r="ET65" s="109"/>
      <c r="EU65" s="109"/>
      <c r="EV65" s="109"/>
    </row>
    <row r="66" spans="1:152" ht="8.85" customHeight="1">
      <c r="A66" s="2518">
        <v>32</v>
      </c>
      <c r="B66" s="2525"/>
      <c r="C66" s="2520"/>
      <c r="D66" s="2520"/>
      <c r="E66" s="2520"/>
      <c r="F66" s="2520"/>
      <c r="G66" s="2529"/>
      <c r="H66" s="2503">
        <v>0.45833333333333331</v>
      </c>
      <c r="I66" s="2504"/>
      <c r="J66" s="2504"/>
      <c r="K66" s="2505"/>
      <c r="L66" s="2474"/>
      <c r="M66" s="2475"/>
      <c r="N66" s="2475"/>
      <c r="O66" s="2476"/>
      <c r="P66" s="2503">
        <v>0.58333333333333337</v>
      </c>
      <c r="Q66" s="2504"/>
      <c r="R66" s="2504"/>
      <c r="S66" s="2505"/>
      <c r="T66" s="2420"/>
      <c r="U66" s="2421"/>
      <c r="V66" s="2421"/>
      <c r="W66" s="2450"/>
      <c r="X66" s="2420"/>
      <c r="Y66" s="2421"/>
      <c r="Z66" s="2421"/>
      <c r="AA66" s="2450"/>
      <c r="AB66" s="2881" t="str">
        <f t="shared" ref="AB66" si="18">IF(L66="REJECTED",AB62,IF(X66="","",IF(N$22="","",N$22-X66)))</f>
        <v/>
      </c>
      <c r="AC66" s="2881"/>
      <c r="AD66" s="2881"/>
      <c r="AE66" s="2882"/>
      <c r="AF66" s="2440"/>
      <c r="AG66" s="2421"/>
      <c r="AH66" s="2421"/>
      <c r="AI66" s="2441"/>
      <c r="AJ66" s="2421"/>
      <c r="AK66" s="2421"/>
      <c r="AL66" s="2421"/>
      <c r="AM66" s="2483"/>
      <c r="AN66" s="2421"/>
      <c r="AO66" s="2421"/>
      <c r="AP66" s="2421"/>
      <c r="AQ66" s="2483"/>
      <c r="AR66" s="2420"/>
      <c r="AS66" s="2421"/>
      <c r="AT66" s="2421"/>
      <c r="AU66" s="2483"/>
      <c r="AV66" s="2356"/>
      <c r="AW66" s="2356"/>
      <c r="AX66" s="2356"/>
      <c r="AY66" s="2880"/>
      <c r="AZ66" s="2356"/>
      <c r="BA66" s="2356"/>
      <c r="BB66" s="2356"/>
      <c r="BC66" s="2880"/>
      <c r="BD66" s="2356"/>
      <c r="BE66" s="2356"/>
      <c r="BF66" s="2356"/>
      <c r="BG66" s="2880"/>
      <c r="BH66" s="2356"/>
      <c r="BI66" s="2356"/>
      <c r="BJ66" s="2356"/>
      <c r="BK66" s="2880"/>
      <c r="BL66" s="2885" t="str">
        <f t="shared" ref="BL66" si="19">IF(OR(L66="REJECTED",L66="Not Placed"),0,IF(AF66="","",SUM(AF66:AM69)-SUM(AN66:BK69)))</f>
        <v/>
      </c>
      <c r="BM66" s="2375"/>
      <c r="BN66" s="2375"/>
      <c r="BO66" s="2375"/>
      <c r="BP66" s="2375" t="str">
        <f t="shared" ref="BP66" si="20">IF(L66="REJECTED",BP62,IF(AF66="","",BP62+BL66))</f>
        <v/>
      </c>
      <c r="BQ66" s="2375"/>
      <c r="BR66" s="2375"/>
      <c r="BS66" s="2376"/>
      <c r="BT66" s="2368"/>
      <c r="BU66" s="2368"/>
      <c r="BV66" s="2368"/>
      <c r="BW66" s="2368"/>
      <c r="BX66" s="2368"/>
      <c r="BY66" s="2368"/>
      <c r="BZ66" s="2368"/>
      <c r="CA66" s="2368"/>
      <c r="CB66" s="2368"/>
      <c r="CC66" s="2368"/>
      <c r="CD66" s="2368"/>
      <c r="CE66" s="2368"/>
      <c r="CF66" s="2368"/>
      <c r="CG66" s="2368"/>
      <c r="CH66" s="2369"/>
      <c r="CI66" s="2886">
        <v>32</v>
      </c>
      <c r="CJ66" s="2886"/>
      <c r="CK66" s="2857" t="e">
        <f>'Concr. Curve'!BL24</f>
        <v>#DIV/0!</v>
      </c>
      <c r="CL66" s="2857"/>
      <c r="CM66" s="2857"/>
      <c r="CQ66" s="2967">
        <f t="shared" ref="CQ66" si="21">IF(OR(P66="",H66=""),"",MOD(P66-H66,1)*24*60)</f>
        <v>180.00000000000009</v>
      </c>
      <c r="CR66" s="2968"/>
      <c r="CS66" s="2968"/>
      <c r="CT66" s="2969"/>
      <c r="EC66" s="109"/>
      <c r="ED66" s="109"/>
      <c r="EE66" s="109"/>
      <c r="EF66" s="109"/>
      <c r="EG66" s="109"/>
      <c r="EH66" s="109"/>
      <c r="EI66" s="109"/>
      <c r="EJ66" s="109"/>
      <c r="EK66" s="109"/>
      <c r="EL66" s="109"/>
      <c r="EM66" s="109"/>
      <c r="EN66" s="109"/>
      <c r="EO66" s="109"/>
      <c r="EP66" s="109"/>
      <c r="EQ66" s="109"/>
      <c r="ER66" s="109"/>
      <c r="ES66" s="109"/>
      <c r="ET66" s="109"/>
      <c r="EU66" s="109"/>
      <c r="EV66" s="109"/>
    </row>
    <row r="67" spans="1:152" ht="8.85" customHeight="1">
      <c r="A67" s="2518"/>
      <c r="B67" s="2530"/>
      <c r="C67" s="2522"/>
      <c r="D67" s="2522"/>
      <c r="E67" s="2522"/>
      <c r="F67" s="2522"/>
      <c r="G67" s="2527"/>
      <c r="H67" s="2506"/>
      <c r="I67" s="2507"/>
      <c r="J67" s="2507"/>
      <c r="K67" s="2508"/>
      <c r="L67" s="2477"/>
      <c r="M67" s="2478"/>
      <c r="N67" s="2478"/>
      <c r="O67" s="2479"/>
      <c r="P67" s="2506"/>
      <c r="Q67" s="2507"/>
      <c r="R67" s="2507"/>
      <c r="S67" s="2508"/>
      <c r="T67" s="2422"/>
      <c r="U67" s="2297"/>
      <c r="V67" s="2297"/>
      <c r="W67" s="2451"/>
      <c r="X67" s="2422"/>
      <c r="Y67" s="2297"/>
      <c r="Z67" s="2297"/>
      <c r="AA67" s="2451"/>
      <c r="AB67" s="2881"/>
      <c r="AC67" s="2881"/>
      <c r="AD67" s="2881"/>
      <c r="AE67" s="2882"/>
      <c r="AF67" s="2446"/>
      <c r="AG67" s="2297"/>
      <c r="AH67" s="2297"/>
      <c r="AI67" s="2447"/>
      <c r="AJ67" s="2297"/>
      <c r="AK67" s="2297"/>
      <c r="AL67" s="2297"/>
      <c r="AM67" s="2451"/>
      <c r="AN67" s="2297"/>
      <c r="AO67" s="2297"/>
      <c r="AP67" s="2297"/>
      <c r="AQ67" s="2451"/>
      <c r="AR67" s="2422"/>
      <c r="AS67" s="2297"/>
      <c r="AT67" s="2297"/>
      <c r="AU67" s="2451"/>
      <c r="AV67" s="2356"/>
      <c r="AW67" s="2356"/>
      <c r="AX67" s="2356"/>
      <c r="AY67" s="2880"/>
      <c r="AZ67" s="2356"/>
      <c r="BA67" s="2356"/>
      <c r="BB67" s="2356"/>
      <c r="BC67" s="2880"/>
      <c r="BD67" s="2356"/>
      <c r="BE67" s="2356"/>
      <c r="BF67" s="2356"/>
      <c r="BG67" s="2880"/>
      <c r="BH67" s="2356"/>
      <c r="BI67" s="2356"/>
      <c r="BJ67" s="2356"/>
      <c r="BK67" s="2880"/>
      <c r="BL67" s="2885"/>
      <c r="BM67" s="2375"/>
      <c r="BN67" s="2375"/>
      <c r="BO67" s="2375"/>
      <c r="BP67" s="2375"/>
      <c r="BQ67" s="2375"/>
      <c r="BR67" s="2375"/>
      <c r="BS67" s="2376"/>
      <c r="BT67" s="2370"/>
      <c r="BU67" s="2370"/>
      <c r="BV67" s="2370"/>
      <c r="BW67" s="2370"/>
      <c r="BX67" s="2370"/>
      <c r="BY67" s="2370"/>
      <c r="BZ67" s="2370"/>
      <c r="CA67" s="2370"/>
      <c r="CB67" s="2370"/>
      <c r="CC67" s="2370"/>
      <c r="CD67" s="2370"/>
      <c r="CE67" s="2370"/>
      <c r="CF67" s="2370"/>
      <c r="CG67" s="2370"/>
      <c r="CH67" s="2371"/>
      <c r="CI67" s="2886"/>
      <c r="CJ67" s="2886"/>
      <c r="CK67" s="2857"/>
      <c r="CL67" s="2857"/>
      <c r="CM67" s="2857"/>
      <c r="CQ67" s="2742"/>
      <c r="CR67" s="2743"/>
      <c r="CS67" s="2743"/>
      <c r="CT67" s="2744"/>
      <c r="EC67" s="109"/>
      <c r="ED67" s="109"/>
      <c r="EE67" s="109"/>
      <c r="EF67" s="109"/>
      <c r="EG67" s="109"/>
      <c r="EH67" s="109"/>
      <c r="EI67" s="109"/>
      <c r="EJ67" s="109"/>
      <c r="EK67" s="109"/>
      <c r="EL67" s="109"/>
      <c r="EM67" s="109"/>
      <c r="EN67" s="109"/>
      <c r="EO67" s="109"/>
      <c r="EP67" s="109"/>
      <c r="EQ67" s="109"/>
      <c r="ER67" s="109"/>
      <c r="ES67" s="109"/>
      <c r="ET67" s="109"/>
      <c r="EU67" s="109"/>
      <c r="EV67" s="109"/>
    </row>
    <row r="68" spans="1:152" ht="8.85" customHeight="1">
      <c r="A68" s="2518"/>
      <c r="B68" s="2530"/>
      <c r="C68" s="2522"/>
      <c r="D68" s="2522"/>
      <c r="E68" s="2522"/>
      <c r="F68" s="2522"/>
      <c r="G68" s="2527"/>
      <c r="H68" s="2506"/>
      <c r="I68" s="2507"/>
      <c r="J68" s="2507"/>
      <c r="K68" s="2508"/>
      <c r="L68" s="2477"/>
      <c r="M68" s="2478"/>
      <c r="N68" s="2478"/>
      <c r="O68" s="2479"/>
      <c r="P68" s="2506"/>
      <c r="Q68" s="2507"/>
      <c r="R68" s="2507"/>
      <c r="S68" s="2508"/>
      <c r="T68" s="2422"/>
      <c r="U68" s="2297"/>
      <c r="V68" s="2297"/>
      <c r="W68" s="2451"/>
      <c r="X68" s="2422"/>
      <c r="Y68" s="2297"/>
      <c r="Z68" s="2297"/>
      <c r="AA68" s="2451"/>
      <c r="AB68" s="2881"/>
      <c r="AC68" s="2881"/>
      <c r="AD68" s="2881"/>
      <c r="AE68" s="2882"/>
      <c r="AF68" s="2446"/>
      <c r="AG68" s="2297"/>
      <c r="AH68" s="2297"/>
      <c r="AI68" s="2447"/>
      <c r="AJ68" s="2297"/>
      <c r="AK68" s="2297"/>
      <c r="AL68" s="2297"/>
      <c r="AM68" s="2451"/>
      <c r="AN68" s="2297"/>
      <c r="AO68" s="2297"/>
      <c r="AP68" s="2297"/>
      <c r="AQ68" s="2451"/>
      <c r="AR68" s="2422"/>
      <c r="AS68" s="2297"/>
      <c r="AT68" s="2297"/>
      <c r="AU68" s="2451"/>
      <c r="AV68" s="2356"/>
      <c r="AW68" s="2356"/>
      <c r="AX68" s="2356"/>
      <c r="AY68" s="2880"/>
      <c r="AZ68" s="2356"/>
      <c r="BA68" s="2356"/>
      <c r="BB68" s="2356"/>
      <c r="BC68" s="2880"/>
      <c r="BD68" s="2356"/>
      <c r="BE68" s="2356"/>
      <c r="BF68" s="2356"/>
      <c r="BG68" s="2880"/>
      <c r="BH68" s="2356"/>
      <c r="BI68" s="2356"/>
      <c r="BJ68" s="2356"/>
      <c r="BK68" s="2880"/>
      <c r="BL68" s="2885"/>
      <c r="BM68" s="2375"/>
      <c r="BN68" s="2375"/>
      <c r="BO68" s="2375"/>
      <c r="BP68" s="2375"/>
      <c r="BQ68" s="2375"/>
      <c r="BR68" s="2375"/>
      <c r="BS68" s="2376"/>
      <c r="BT68" s="2370"/>
      <c r="BU68" s="2370"/>
      <c r="BV68" s="2370"/>
      <c r="BW68" s="2370"/>
      <c r="BX68" s="2370"/>
      <c r="BY68" s="2370"/>
      <c r="BZ68" s="2370"/>
      <c r="CA68" s="2370"/>
      <c r="CB68" s="2370"/>
      <c r="CC68" s="2370"/>
      <c r="CD68" s="2370"/>
      <c r="CE68" s="2370"/>
      <c r="CF68" s="2370"/>
      <c r="CG68" s="2370"/>
      <c r="CH68" s="2371"/>
      <c r="CI68" s="2886"/>
      <c r="CJ68" s="2886"/>
      <c r="CK68" s="2857"/>
      <c r="CL68" s="2857"/>
      <c r="CM68" s="2857"/>
      <c r="CQ68" s="2742"/>
      <c r="CR68" s="2743"/>
      <c r="CS68" s="2743"/>
      <c r="CT68" s="2744"/>
      <c r="EC68" s="109"/>
      <c r="ED68" s="109"/>
      <c r="EE68" s="109"/>
      <c r="EF68" s="109"/>
      <c r="EG68" s="109"/>
      <c r="EH68" s="109"/>
      <c r="EI68" s="109"/>
      <c r="EJ68" s="109"/>
      <c r="EK68" s="109"/>
      <c r="EL68" s="109"/>
      <c r="EM68" s="109"/>
      <c r="EN68" s="109"/>
      <c r="EO68" s="109"/>
      <c r="EP68" s="109"/>
      <c r="EQ68" s="109"/>
      <c r="ER68" s="109"/>
      <c r="ES68" s="109"/>
      <c r="ET68" s="109"/>
      <c r="EU68" s="109"/>
      <c r="EV68" s="109"/>
    </row>
    <row r="69" spans="1:152" ht="8.85" customHeight="1">
      <c r="A69" s="2518"/>
      <c r="B69" s="2523"/>
      <c r="C69" s="2524"/>
      <c r="D69" s="2524"/>
      <c r="E69" s="2524"/>
      <c r="F69" s="2524"/>
      <c r="G69" s="2528"/>
      <c r="H69" s="2509"/>
      <c r="I69" s="2510"/>
      <c r="J69" s="2510"/>
      <c r="K69" s="2511"/>
      <c r="L69" s="2480"/>
      <c r="M69" s="2481"/>
      <c r="N69" s="2481"/>
      <c r="O69" s="2482"/>
      <c r="P69" s="2509"/>
      <c r="Q69" s="2510"/>
      <c r="R69" s="2510"/>
      <c r="S69" s="2511"/>
      <c r="T69" s="2439"/>
      <c r="U69" s="2298"/>
      <c r="V69" s="2298"/>
      <c r="W69" s="2452"/>
      <c r="X69" s="2439"/>
      <c r="Y69" s="2298"/>
      <c r="Z69" s="2298"/>
      <c r="AA69" s="2452"/>
      <c r="AB69" s="2881"/>
      <c r="AC69" s="2881"/>
      <c r="AD69" s="2881"/>
      <c r="AE69" s="2882"/>
      <c r="AF69" s="2444"/>
      <c r="AG69" s="2298"/>
      <c r="AH69" s="2298"/>
      <c r="AI69" s="2445"/>
      <c r="AJ69" s="2298"/>
      <c r="AK69" s="2298"/>
      <c r="AL69" s="2298"/>
      <c r="AM69" s="2452"/>
      <c r="AN69" s="2298"/>
      <c r="AO69" s="2298"/>
      <c r="AP69" s="2298"/>
      <c r="AQ69" s="2452"/>
      <c r="AR69" s="2439"/>
      <c r="AS69" s="2298"/>
      <c r="AT69" s="2298"/>
      <c r="AU69" s="2452"/>
      <c r="AV69" s="2356"/>
      <c r="AW69" s="2356"/>
      <c r="AX69" s="2356"/>
      <c r="AY69" s="2880"/>
      <c r="AZ69" s="2356"/>
      <c r="BA69" s="2356"/>
      <c r="BB69" s="2356"/>
      <c r="BC69" s="2880"/>
      <c r="BD69" s="2356"/>
      <c r="BE69" s="2356"/>
      <c r="BF69" s="2356"/>
      <c r="BG69" s="2880"/>
      <c r="BH69" s="2356"/>
      <c r="BI69" s="2356"/>
      <c r="BJ69" s="2356"/>
      <c r="BK69" s="2880"/>
      <c r="BL69" s="2885"/>
      <c r="BM69" s="2375"/>
      <c r="BN69" s="2375"/>
      <c r="BO69" s="2375"/>
      <c r="BP69" s="2375"/>
      <c r="BQ69" s="2375"/>
      <c r="BR69" s="2375"/>
      <c r="BS69" s="2376"/>
      <c r="BT69" s="2372"/>
      <c r="BU69" s="2372"/>
      <c r="BV69" s="2372"/>
      <c r="BW69" s="2372"/>
      <c r="BX69" s="2372"/>
      <c r="BY69" s="2372"/>
      <c r="BZ69" s="2372"/>
      <c r="CA69" s="2372"/>
      <c r="CB69" s="2372"/>
      <c r="CC69" s="2372"/>
      <c r="CD69" s="2372"/>
      <c r="CE69" s="2372"/>
      <c r="CF69" s="2372"/>
      <c r="CG69" s="2372"/>
      <c r="CH69" s="2373"/>
      <c r="CI69" s="2886"/>
      <c r="CJ69" s="2886"/>
      <c r="CK69" s="2857"/>
      <c r="CL69" s="2857"/>
      <c r="CM69" s="2857"/>
      <c r="CQ69" s="2745"/>
      <c r="CR69" s="2746"/>
      <c r="CS69" s="2746"/>
      <c r="CT69" s="2747"/>
      <c r="EC69" s="109"/>
      <c r="ED69" s="109"/>
      <c r="EE69" s="109"/>
      <c r="EF69" s="109"/>
      <c r="EG69" s="109"/>
      <c r="EH69" s="109"/>
      <c r="EI69" s="109"/>
      <c r="EJ69" s="109"/>
      <c r="EK69" s="109"/>
      <c r="EL69" s="109"/>
      <c r="EM69" s="109"/>
      <c r="EN69" s="109"/>
      <c r="EO69" s="109"/>
      <c r="EP69" s="109"/>
      <c r="EQ69" s="109"/>
      <c r="ER69" s="109"/>
      <c r="ES69" s="109"/>
      <c r="ET69" s="109"/>
      <c r="EU69" s="109"/>
      <c r="EV69" s="109"/>
    </row>
    <row r="70" spans="1:152" ht="8.85" customHeight="1">
      <c r="A70" s="2518">
        <v>33</v>
      </c>
      <c r="B70" s="2525"/>
      <c r="C70" s="2520"/>
      <c r="D70" s="2520"/>
      <c r="E70" s="2520"/>
      <c r="F70" s="2520"/>
      <c r="G70" s="2529"/>
      <c r="H70" s="2503">
        <v>0.95833333333333337</v>
      </c>
      <c r="I70" s="2504"/>
      <c r="J70" s="2504"/>
      <c r="K70" s="2505"/>
      <c r="L70" s="2474"/>
      <c r="M70" s="2475"/>
      <c r="N70" s="2475"/>
      <c r="O70" s="2476"/>
      <c r="P70" s="2503">
        <v>0.125</v>
      </c>
      <c r="Q70" s="2504"/>
      <c r="R70" s="2504"/>
      <c r="S70" s="2505"/>
      <c r="T70" s="2420"/>
      <c r="U70" s="2421"/>
      <c r="V70" s="2421"/>
      <c r="W70" s="2450"/>
      <c r="X70" s="2420"/>
      <c r="Y70" s="2421"/>
      <c r="Z70" s="2421"/>
      <c r="AA70" s="2450"/>
      <c r="AB70" s="2881" t="str">
        <f t="shared" ref="AB70" si="22">IF(L70="REJECTED",AB66,IF(X70="","",IF(N$22="","",N$22-X70)))</f>
        <v/>
      </c>
      <c r="AC70" s="2881"/>
      <c r="AD70" s="2881"/>
      <c r="AE70" s="2882"/>
      <c r="AF70" s="2440"/>
      <c r="AG70" s="2421"/>
      <c r="AH70" s="2421"/>
      <c r="AI70" s="2441"/>
      <c r="AJ70" s="2421"/>
      <c r="AK70" s="2421"/>
      <c r="AL70" s="2421"/>
      <c r="AM70" s="2483"/>
      <c r="AN70" s="2421"/>
      <c r="AO70" s="2421"/>
      <c r="AP70" s="2421"/>
      <c r="AQ70" s="2483"/>
      <c r="AR70" s="2420"/>
      <c r="AS70" s="2421"/>
      <c r="AT70" s="2421"/>
      <c r="AU70" s="2483"/>
      <c r="AV70" s="2356"/>
      <c r="AW70" s="2356"/>
      <c r="AX70" s="2356"/>
      <c r="AY70" s="2880"/>
      <c r="AZ70" s="2356"/>
      <c r="BA70" s="2356"/>
      <c r="BB70" s="2356"/>
      <c r="BC70" s="2880"/>
      <c r="BD70" s="2356"/>
      <c r="BE70" s="2356"/>
      <c r="BF70" s="2356"/>
      <c r="BG70" s="2880"/>
      <c r="BH70" s="2356"/>
      <c r="BI70" s="2356"/>
      <c r="BJ70" s="2356"/>
      <c r="BK70" s="2880"/>
      <c r="BL70" s="2885" t="str">
        <f t="shared" ref="BL70" si="23">IF(OR(L70="REJECTED",L70="Not Placed"),0,IF(AF70="","",SUM(AF70:AM73)-SUM(AN70:BK73)))</f>
        <v/>
      </c>
      <c r="BM70" s="2375"/>
      <c r="BN70" s="2375"/>
      <c r="BO70" s="2375"/>
      <c r="BP70" s="2375" t="str">
        <f t="shared" ref="BP70" si="24">IF(L70="REJECTED",BP66,IF(AF70="","",BP66+BL70))</f>
        <v/>
      </c>
      <c r="BQ70" s="2375"/>
      <c r="BR70" s="2375"/>
      <c r="BS70" s="2376"/>
      <c r="BT70" s="2368"/>
      <c r="BU70" s="2368"/>
      <c r="BV70" s="2368"/>
      <c r="BW70" s="2368"/>
      <c r="BX70" s="2368"/>
      <c r="BY70" s="2368"/>
      <c r="BZ70" s="2368"/>
      <c r="CA70" s="2368"/>
      <c r="CB70" s="2368"/>
      <c r="CC70" s="2368"/>
      <c r="CD70" s="2368"/>
      <c r="CE70" s="2368"/>
      <c r="CF70" s="2368"/>
      <c r="CG70" s="2368"/>
      <c r="CH70" s="2369"/>
      <c r="CI70" s="2886">
        <v>33</v>
      </c>
      <c r="CJ70" s="2886"/>
      <c r="CK70" s="2857" t="e">
        <f>'Concr. Curve'!BL23</f>
        <v>#DIV/0!</v>
      </c>
      <c r="CL70" s="2857"/>
      <c r="CM70" s="2857"/>
      <c r="CQ70" s="2967">
        <f t="shared" ref="CQ70" si="25">IF(OR(P70="",H70=""),"",MOD(P70-H70,1)*24*60)</f>
        <v>239.99999999999994</v>
      </c>
      <c r="CR70" s="2968"/>
      <c r="CS70" s="2968"/>
      <c r="CT70" s="2969"/>
      <c r="EC70" s="109"/>
      <c r="ED70" s="109"/>
      <c r="EE70" s="109"/>
      <c r="EF70" s="109"/>
      <c r="EG70" s="109"/>
      <c r="EH70" s="109"/>
      <c r="EI70" s="109"/>
      <c r="EJ70" s="109"/>
      <c r="EK70" s="109"/>
      <c r="EL70" s="109"/>
      <c r="EM70" s="109"/>
      <c r="EN70" s="109"/>
      <c r="EO70" s="109"/>
      <c r="EP70" s="109"/>
      <c r="EQ70" s="109"/>
      <c r="ER70" s="109"/>
      <c r="ES70" s="109"/>
      <c r="ET70" s="109"/>
      <c r="EU70" s="109"/>
      <c r="EV70" s="109"/>
    </row>
    <row r="71" spans="1:152" ht="8.85" customHeight="1">
      <c r="A71" s="2518"/>
      <c r="B71" s="2530"/>
      <c r="C71" s="2522"/>
      <c r="D71" s="2522"/>
      <c r="E71" s="2522"/>
      <c r="F71" s="2522"/>
      <c r="G71" s="2527"/>
      <c r="H71" s="2506"/>
      <c r="I71" s="2507"/>
      <c r="J71" s="2507"/>
      <c r="K71" s="2508"/>
      <c r="L71" s="2477"/>
      <c r="M71" s="2478"/>
      <c r="N71" s="2478"/>
      <c r="O71" s="2479"/>
      <c r="P71" s="2506"/>
      <c r="Q71" s="2507"/>
      <c r="R71" s="2507"/>
      <c r="S71" s="2508"/>
      <c r="T71" s="2422"/>
      <c r="U71" s="2297"/>
      <c r="V71" s="2297"/>
      <c r="W71" s="2451"/>
      <c r="X71" s="2422"/>
      <c r="Y71" s="2297"/>
      <c r="Z71" s="2297"/>
      <c r="AA71" s="2451"/>
      <c r="AB71" s="2881"/>
      <c r="AC71" s="2881"/>
      <c r="AD71" s="2881"/>
      <c r="AE71" s="2882"/>
      <c r="AF71" s="2446"/>
      <c r="AG71" s="2297"/>
      <c r="AH71" s="2297"/>
      <c r="AI71" s="2447"/>
      <c r="AJ71" s="2297"/>
      <c r="AK71" s="2297"/>
      <c r="AL71" s="2297"/>
      <c r="AM71" s="2451"/>
      <c r="AN71" s="2297"/>
      <c r="AO71" s="2297"/>
      <c r="AP71" s="2297"/>
      <c r="AQ71" s="2451"/>
      <c r="AR71" s="2422"/>
      <c r="AS71" s="2297"/>
      <c r="AT71" s="2297"/>
      <c r="AU71" s="2451"/>
      <c r="AV71" s="2356"/>
      <c r="AW71" s="2356"/>
      <c r="AX71" s="2356"/>
      <c r="AY71" s="2880"/>
      <c r="AZ71" s="2356"/>
      <c r="BA71" s="2356"/>
      <c r="BB71" s="2356"/>
      <c r="BC71" s="2880"/>
      <c r="BD71" s="2356"/>
      <c r="BE71" s="2356"/>
      <c r="BF71" s="2356"/>
      <c r="BG71" s="2880"/>
      <c r="BH71" s="2356"/>
      <c r="BI71" s="2356"/>
      <c r="BJ71" s="2356"/>
      <c r="BK71" s="2880"/>
      <c r="BL71" s="2885"/>
      <c r="BM71" s="2375"/>
      <c r="BN71" s="2375"/>
      <c r="BO71" s="2375"/>
      <c r="BP71" s="2375"/>
      <c r="BQ71" s="2375"/>
      <c r="BR71" s="2375"/>
      <c r="BS71" s="2376"/>
      <c r="BT71" s="2370"/>
      <c r="BU71" s="2370"/>
      <c r="BV71" s="2370"/>
      <c r="BW71" s="2370"/>
      <c r="BX71" s="2370"/>
      <c r="BY71" s="2370"/>
      <c r="BZ71" s="2370"/>
      <c r="CA71" s="2370"/>
      <c r="CB71" s="2370"/>
      <c r="CC71" s="2370"/>
      <c r="CD71" s="2370"/>
      <c r="CE71" s="2370"/>
      <c r="CF71" s="2370"/>
      <c r="CG71" s="2370"/>
      <c r="CH71" s="2371"/>
      <c r="CI71" s="2886"/>
      <c r="CJ71" s="2886"/>
      <c r="CK71" s="2857"/>
      <c r="CL71" s="2857"/>
      <c r="CM71" s="2857"/>
      <c r="CQ71" s="2742"/>
      <c r="CR71" s="2743"/>
      <c r="CS71" s="2743"/>
      <c r="CT71" s="2744"/>
      <c r="EC71" s="109"/>
      <c r="ED71" s="109"/>
      <c r="EE71" s="109"/>
      <c r="EF71" s="109"/>
      <c r="EG71" s="109"/>
      <c r="EH71" s="109"/>
      <c r="EI71" s="109"/>
      <c r="EJ71" s="109"/>
      <c r="EK71" s="109"/>
      <c r="EL71" s="109"/>
      <c r="EM71" s="109"/>
      <c r="EN71" s="109"/>
      <c r="EO71" s="109"/>
      <c r="EP71" s="109"/>
      <c r="EQ71" s="109"/>
      <c r="ER71" s="109"/>
      <c r="ES71" s="109"/>
      <c r="ET71" s="109"/>
      <c r="EU71" s="109"/>
      <c r="EV71" s="109"/>
    </row>
    <row r="72" spans="1:152" ht="8.85" customHeight="1">
      <c r="A72" s="2518"/>
      <c r="B72" s="2530"/>
      <c r="C72" s="2522"/>
      <c r="D72" s="2522"/>
      <c r="E72" s="2522"/>
      <c r="F72" s="2522"/>
      <c r="G72" s="2527"/>
      <c r="H72" s="2506"/>
      <c r="I72" s="2507"/>
      <c r="J72" s="2507"/>
      <c r="K72" s="2508"/>
      <c r="L72" s="2477"/>
      <c r="M72" s="2478"/>
      <c r="N72" s="2478"/>
      <c r="O72" s="2479"/>
      <c r="P72" s="2506"/>
      <c r="Q72" s="2507"/>
      <c r="R72" s="2507"/>
      <c r="S72" s="2508"/>
      <c r="T72" s="2422"/>
      <c r="U72" s="2297"/>
      <c r="V72" s="2297"/>
      <c r="W72" s="2451"/>
      <c r="X72" s="2422"/>
      <c r="Y72" s="2297"/>
      <c r="Z72" s="2297"/>
      <c r="AA72" s="2451"/>
      <c r="AB72" s="2881"/>
      <c r="AC72" s="2881"/>
      <c r="AD72" s="2881"/>
      <c r="AE72" s="2882"/>
      <c r="AF72" s="2446"/>
      <c r="AG72" s="2297"/>
      <c r="AH72" s="2297"/>
      <c r="AI72" s="2447"/>
      <c r="AJ72" s="2297"/>
      <c r="AK72" s="2297"/>
      <c r="AL72" s="2297"/>
      <c r="AM72" s="2451"/>
      <c r="AN72" s="2297"/>
      <c r="AO72" s="2297"/>
      <c r="AP72" s="2297"/>
      <c r="AQ72" s="2451"/>
      <c r="AR72" s="2422"/>
      <c r="AS72" s="2297"/>
      <c r="AT72" s="2297"/>
      <c r="AU72" s="2451"/>
      <c r="AV72" s="2356"/>
      <c r="AW72" s="2356"/>
      <c r="AX72" s="2356"/>
      <c r="AY72" s="2880"/>
      <c r="AZ72" s="2356"/>
      <c r="BA72" s="2356"/>
      <c r="BB72" s="2356"/>
      <c r="BC72" s="2880"/>
      <c r="BD72" s="2356"/>
      <c r="BE72" s="2356"/>
      <c r="BF72" s="2356"/>
      <c r="BG72" s="2880"/>
      <c r="BH72" s="2356"/>
      <c r="BI72" s="2356"/>
      <c r="BJ72" s="2356"/>
      <c r="BK72" s="2880"/>
      <c r="BL72" s="2885"/>
      <c r="BM72" s="2375"/>
      <c r="BN72" s="2375"/>
      <c r="BO72" s="2375"/>
      <c r="BP72" s="2375"/>
      <c r="BQ72" s="2375"/>
      <c r="BR72" s="2375"/>
      <c r="BS72" s="2376"/>
      <c r="BT72" s="2370"/>
      <c r="BU72" s="2370"/>
      <c r="BV72" s="2370"/>
      <c r="BW72" s="2370"/>
      <c r="BX72" s="2370"/>
      <c r="BY72" s="2370"/>
      <c r="BZ72" s="2370"/>
      <c r="CA72" s="2370"/>
      <c r="CB72" s="2370"/>
      <c r="CC72" s="2370"/>
      <c r="CD72" s="2370"/>
      <c r="CE72" s="2370"/>
      <c r="CF72" s="2370"/>
      <c r="CG72" s="2370"/>
      <c r="CH72" s="2371"/>
      <c r="CI72" s="2886"/>
      <c r="CJ72" s="2886"/>
      <c r="CK72" s="2857"/>
      <c r="CL72" s="2857"/>
      <c r="CM72" s="2857"/>
      <c r="CQ72" s="2742"/>
      <c r="CR72" s="2743"/>
      <c r="CS72" s="2743"/>
      <c r="CT72" s="2744"/>
      <c r="EC72" s="109"/>
      <c r="ED72" s="109"/>
      <c r="EE72" s="109"/>
      <c r="EF72" s="109"/>
      <c r="EG72" s="109"/>
      <c r="EH72" s="109"/>
      <c r="EI72" s="109"/>
      <c r="EJ72" s="109"/>
      <c r="EK72" s="109"/>
      <c r="EL72" s="109"/>
      <c r="EM72" s="109"/>
      <c r="EN72" s="109"/>
      <c r="EO72" s="109"/>
      <c r="EP72" s="109"/>
      <c r="EQ72" s="109"/>
      <c r="ER72" s="109"/>
      <c r="ES72" s="109"/>
      <c r="ET72" s="109"/>
      <c r="EU72" s="109"/>
      <c r="EV72" s="109"/>
    </row>
    <row r="73" spans="1:152" ht="8.85" customHeight="1">
      <c r="A73" s="2518"/>
      <c r="B73" s="2523"/>
      <c r="C73" s="2524"/>
      <c r="D73" s="2524"/>
      <c r="E73" s="2524"/>
      <c r="F73" s="2524"/>
      <c r="G73" s="2528"/>
      <c r="H73" s="2509"/>
      <c r="I73" s="2510"/>
      <c r="J73" s="2510"/>
      <c r="K73" s="2511"/>
      <c r="L73" s="2480"/>
      <c r="M73" s="2481"/>
      <c r="N73" s="2481"/>
      <c r="O73" s="2482"/>
      <c r="P73" s="2509"/>
      <c r="Q73" s="2510"/>
      <c r="R73" s="2510"/>
      <c r="S73" s="2511"/>
      <c r="T73" s="2439"/>
      <c r="U73" s="2298"/>
      <c r="V73" s="2298"/>
      <c r="W73" s="2452"/>
      <c r="X73" s="2439"/>
      <c r="Y73" s="2298"/>
      <c r="Z73" s="2298"/>
      <c r="AA73" s="2452"/>
      <c r="AB73" s="2881"/>
      <c r="AC73" s="2881"/>
      <c r="AD73" s="2881"/>
      <c r="AE73" s="2882"/>
      <c r="AF73" s="2444"/>
      <c r="AG73" s="2298"/>
      <c r="AH73" s="2298"/>
      <c r="AI73" s="2445"/>
      <c r="AJ73" s="2298"/>
      <c r="AK73" s="2298"/>
      <c r="AL73" s="2298"/>
      <c r="AM73" s="2452"/>
      <c r="AN73" s="2298"/>
      <c r="AO73" s="2298"/>
      <c r="AP73" s="2298"/>
      <c r="AQ73" s="2452"/>
      <c r="AR73" s="2439"/>
      <c r="AS73" s="2298"/>
      <c r="AT73" s="2298"/>
      <c r="AU73" s="2452"/>
      <c r="AV73" s="2356"/>
      <c r="AW73" s="2356"/>
      <c r="AX73" s="2356"/>
      <c r="AY73" s="2880"/>
      <c r="AZ73" s="2356"/>
      <c r="BA73" s="2356"/>
      <c r="BB73" s="2356"/>
      <c r="BC73" s="2880"/>
      <c r="BD73" s="2356"/>
      <c r="BE73" s="2356"/>
      <c r="BF73" s="2356"/>
      <c r="BG73" s="2880"/>
      <c r="BH73" s="2356"/>
      <c r="BI73" s="2356"/>
      <c r="BJ73" s="2356"/>
      <c r="BK73" s="2880"/>
      <c r="BL73" s="2885"/>
      <c r="BM73" s="2375"/>
      <c r="BN73" s="2375"/>
      <c r="BO73" s="2375"/>
      <c r="BP73" s="2375"/>
      <c r="BQ73" s="2375"/>
      <c r="BR73" s="2375"/>
      <c r="BS73" s="2376"/>
      <c r="BT73" s="2372"/>
      <c r="BU73" s="2372"/>
      <c r="BV73" s="2372"/>
      <c r="BW73" s="2372"/>
      <c r="BX73" s="2372"/>
      <c r="BY73" s="2372"/>
      <c r="BZ73" s="2372"/>
      <c r="CA73" s="2372"/>
      <c r="CB73" s="2372"/>
      <c r="CC73" s="2372"/>
      <c r="CD73" s="2372"/>
      <c r="CE73" s="2372"/>
      <c r="CF73" s="2372"/>
      <c r="CG73" s="2372"/>
      <c r="CH73" s="2373"/>
      <c r="CI73" s="2886"/>
      <c r="CJ73" s="2886"/>
      <c r="CK73" s="2857"/>
      <c r="CL73" s="2857"/>
      <c r="CM73" s="2857"/>
      <c r="CQ73" s="2745"/>
      <c r="CR73" s="2746"/>
      <c r="CS73" s="2746"/>
      <c r="CT73" s="2747"/>
      <c r="EC73" s="109"/>
      <c r="ED73" s="109"/>
      <c r="EE73" s="109"/>
      <c r="EF73" s="109"/>
      <c r="EG73" s="109"/>
      <c r="EH73" s="109"/>
      <c r="EI73" s="109"/>
      <c r="EJ73" s="109"/>
      <c r="EK73" s="109"/>
      <c r="EL73" s="109"/>
      <c r="EM73" s="109"/>
      <c r="EN73" s="109"/>
      <c r="EO73" s="109"/>
      <c r="EP73" s="109"/>
      <c r="EQ73" s="109"/>
      <c r="ER73" s="109"/>
      <c r="ES73" s="109"/>
      <c r="ET73" s="109"/>
      <c r="EU73" s="109"/>
      <c r="EV73" s="109"/>
    </row>
    <row r="74" spans="1:152" ht="8.85" customHeight="1">
      <c r="A74" s="2518">
        <v>34</v>
      </c>
      <c r="B74" s="2525"/>
      <c r="C74" s="2520"/>
      <c r="D74" s="2520"/>
      <c r="E74" s="2520"/>
      <c r="F74" s="2520"/>
      <c r="G74" s="2529"/>
      <c r="H74" s="2911">
        <v>0</v>
      </c>
      <c r="I74" s="2911"/>
      <c r="J74" s="2911"/>
      <c r="K74" s="2911"/>
      <c r="L74" s="2474"/>
      <c r="M74" s="2475"/>
      <c r="N74" s="2475"/>
      <c r="O74" s="2476"/>
      <c r="P74" s="2912">
        <v>4.1666666666666664E-2</v>
      </c>
      <c r="Q74" s="2913"/>
      <c r="R74" s="2913"/>
      <c r="S74" s="2913"/>
      <c r="T74" s="2356"/>
      <c r="U74" s="2356"/>
      <c r="V74" s="2356"/>
      <c r="W74" s="2356"/>
      <c r="X74" s="2420"/>
      <c r="Y74" s="2421"/>
      <c r="Z74" s="2421"/>
      <c r="AA74" s="2421"/>
      <c r="AB74" s="2881" t="str">
        <f t="shared" ref="AB74" si="26">IF(L74="REJECTED",AB70,IF(X74="","",IF(N$22="","",N$22-X74)))</f>
        <v/>
      </c>
      <c r="AC74" s="2881"/>
      <c r="AD74" s="2881"/>
      <c r="AE74" s="2882"/>
      <c r="AF74" s="2440"/>
      <c r="AG74" s="2421"/>
      <c r="AH74" s="2421"/>
      <c r="AI74" s="2441"/>
      <c r="AJ74" s="2421"/>
      <c r="AK74" s="2421"/>
      <c r="AL74" s="2421"/>
      <c r="AM74" s="2483"/>
      <c r="AN74" s="2421"/>
      <c r="AO74" s="2421"/>
      <c r="AP74" s="2421"/>
      <c r="AQ74" s="2483"/>
      <c r="AR74" s="2420"/>
      <c r="AS74" s="2421"/>
      <c r="AT74" s="2421"/>
      <c r="AU74" s="2483"/>
      <c r="AV74" s="2356"/>
      <c r="AW74" s="2356"/>
      <c r="AX74" s="2356"/>
      <c r="AY74" s="2880"/>
      <c r="AZ74" s="2356"/>
      <c r="BA74" s="2356"/>
      <c r="BB74" s="2356"/>
      <c r="BC74" s="2880"/>
      <c r="BD74" s="2356"/>
      <c r="BE74" s="2356"/>
      <c r="BF74" s="2356"/>
      <c r="BG74" s="2880"/>
      <c r="BH74" s="2356"/>
      <c r="BI74" s="2356"/>
      <c r="BJ74" s="2356"/>
      <c r="BK74" s="2880"/>
      <c r="BL74" s="2885" t="str">
        <f t="shared" ref="BL74" si="27">IF(OR(L74="REJECTED",L74="Not Placed"),0,IF(AF74="","",SUM(AF74:AM77)-SUM(AN74:BK77)))</f>
        <v/>
      </c>
      <c r="BM74" s="2375"/>
      <c r="BN74" s="2375"/>
      <c r="BO74" s="2375"/>
      <c r="BP74" s="2375" t="str">
        <f t="shared" ref="BP74" si="28">IF(L74="REJECTED",BP70,IF(AF74="","",BP70+BL74))</f>
        <v/>
      </c>
      <c r="BQ74" s="2375"/>
      <c r="BR74" s="2375"/>
      <c r="BS74" s="2376"/>
      <c r="BT74" s="2368"/>
      <c r="BU74" s="2368"/>
      <c r="BV74" s="2368"/>
      <c r="BW74" s="2368"/>
      <c r="BX74" s="2368"/>
      <c r="BY74" s="2368"/>
      <c r="BZ74" s="2368"/>
      <c r="CA74" s="2368"/>
      <c r="CB74" s="2368"/>
      <c r="CC74" s="2368"/>
      <c r="CD74" s="2368"/>
      <c r="CE74" s="2368"/>
      <c r="CF74" s="2368"/>
      <c r="CG74" s="2368"/>
      <c r="CH74" s="2369"/>
      <c r="CI74" s="2886">
        <v>34</v>
      </c>
      <c r="CJ74" s="2886"/>
      <c r="CK74" s="2857" t="e">
        <f>'Concr. Curve'!BL22</f>
        <v>#DIV/0!</v>
      </c>
      <c r="CL74" s="2857"/>
      <c r="CM74" s="2857"/>
      <c r="CQ74" s="2967">
        <f t="shared" ref="CQ74" si="29">IF(OR(P74="",H74=""),"",MOD(P74-H74,1)*24*60)</f>
        <v>60</v>
      </c>
      <c r="CR74" s="2968"/>
      <c r="CS74" s="2968"/>
      <c r="CT74" s="2969"/>
      <c r="EC74" s="109"/>
      <c r="ED74" s="109"/>
      <c r="EE74" s="109"/>
      <c r="EF74" s="109"/>
      <c r="EG74" s="109"/>
      <c r="EH74" s="109"/>
      <c r="EI74" s="109"/>
      <c r="EJ74" s="109"/>
      <c r="EK74" s="109"/>
      <c r="EL74" s="109"/>
      <c r="EM74" s="109"/>
      <c r="EN74" s="109"/>
      <c r="EO74" s="109"/>
      <c r="EP74" s="109"/>
      <c r="EQ74" s="109"/>
      <c r="ER74" s="109"/>
      <c r="ES74" s="109"/>
      <c r="ET74" s="109"/>
      <c r="EU74" s="109"/>
      <c r="EV74" s="109"/>
    </row>
    <row r="75" spans="1:152" ht="8.85" customHeight="1">
      <c r="A75" s="2518"/>
      <c r="B75" s="2530"/>
      <c r="C75" s="2522"/>
      <c r="D75" s="2522"/>
      <c r="E75" s="2522"/>
      <c r="F75" s="2522"/>
      <c r="G75" s="2527"/>
      <c r="H75" s="2911"/>
      <c r="I75" s="2911"/>
      <c r="J75" s="2911"/>
      <c r="K75" s="2911"/>
      <c r="L75" s="2477"/>
      <c r="M75" s="2478"/>
      <c r="N75" s="2478"/>
      <c r="O75" s="2479"/>
      <c r="P75" s="2913"/>
      <c r="Q75" s="2913"/>
      <c r="R75" s="2913"/>
      <c r="S75" s="2913"/>
      <c r="T75" s="2356"/>
      <c r="U75" s="2356"/>
      <c r="V75" s="2356"/>
      <c r="W75" s="2356"/>
      <c r="X75" s="2422"/>
      <c r="Y75" s="2297"/>
      <c r="Z75" s="2297"/>
      <c r="AA75" s="2297"/>
      <c r="AB75" s="2881"/>
      <c r="AC75" s="2881"/>
      <c r="AD75" s="2881"/>
      <c r="AE75" s="2882"/>
      <c r="AF75" s="2446"/>
      <c r="AG75" s="2297"/>
      <c r="AH75" s="2297"/>
      <c r="AI75" s="2447"/>
      <c r="AJ75" s="2297"/>
      <c r="AK75" s="2297"/>
      <c r="AL75" s="2297"/>
      <c r="AM75" s="2451"/>
      <c r="AN75" s="2297"/>
      <c r="AO75" s="2297"/>
      <c r="AP75" s="2297"/>
      <c r="AQ75" s="2451"/>
      <c r="AR75" s="2422"/>
      <c r="AS75" s="2297"/>
      <c r="AT75" s="2297"/>
      <c r="AU75" s="2451"/>
      <c r="AV75" s="2356"/>
      <c r="AW75" s="2356"/>
      <c r="AX75" s="2356"/>
      <c r="AY75" s="2880"/>
      <c r="AZ75" s="2356"/>
      <c r="BA75" s="2356"/>
      <c r="BB75" s="2356"/>
      <c r="BC75" s="2880"/>
      <c r="BD75" s="2356"/>
      <c r="BE75" s="2356"/>
      <c r="BF75" s="2356"/>
      <c r="BG75" s="2880"/>
      <c r="BH75" s="2356"/>
      <c r="BI75" s="2356"/>
      <c r="BJ75" s="2356"/>
      <c r="BK75" s="2880"/>
      <c r="BL75" s="2885"/>
      <c r="BM75" s="2375"/>
      <c r="BN75" s="2375"/>
      <c r="BO75" s="2375"/>
      <c r="BP75" s="2375"/>
      <c r="BQ75" s="2375"/>
      <c r="BR75" s="2375"/>
      <c r="BS75" s="2376"/>
      <c r="BT75" s="2370"/>
      <c r="BU75" s="2370"/>
      <c r="BV75" s="2370"/>
      <c r="BW75" s="2370"/>
      <c r="BX75" s="2370"/>
      <c r="BY75" s="2370"/>
      <c r="BZ75" s="2370"/>
      <c r="CA75" s="2370"/>
      <c r="CB75" s="2370"/>
      <c r="CC75" s="2370"/>
      <c r="CD75" s="2370"/>
      <c r="CE75" s="2370"/>
      <c r="CF75" s="2370"/>
      <c r="CG75" s="2370"/>
      <c r="CH75" s="2371"/>
      <c r="CI75" s="2886"/>
      <c r="CJ75" s="2886"/>
      <c r="CK75" s="2857"/>
      <c r="CL75" s="2857"/>
      <c r="CM75" s="2857"/>
      <c r="CQ75" s="2742"/>
      <c r="CR75" s="2743"/>
      <c r="CS75" s="2743"/>
      <c r="CT75" s="2744"/>
      <c r="EC75" s="109"/>
      <c r="ED75" s="109"/>
      <c r="EE75" s="109"/>
      <c r="EF75" s="109"/>
      <c r="EG75" s="109"/>
      <c r="EH75" s="109"/>
      <c r="EI75" s="109"/>
      <c r="EJ75" s="109"/>
      <c r="EK75" s="109"/>
      <c r="EL75" s="109"/>
      <c r="EM75" s="109"/>
      <c r="EN75" s="109"/>
      <c r="EO75" s="109"/>
      <c r="EP75" s="109"/>
      <c r="EQ75" s="109"/>
      <c r="ER75" s="109"/>
      <c r="ES75" s="109"/>
      <c r="ET75" s="109"/>
      <c r="EU75" s="109"/>
      <c r="EV75" s="109"/>
    </row>
    <row r="76" spans="1:152" ht="8.85" customHeight="1">
      <c r="A76" s="2518"/>
      <c r="B76" s="2530"/>
      <c r="C76" s="2522"/>
      <c r="D76" s="2522"/>
      <c r="E76" s="2522"/>
      <c r="F76" s="2522"/>
      <c r="G76" s="2527"/>
      <c r="H76" s="2911"/>
      <c r="I76" s="2911"/>
      <c r="J76" s="2911"/>
      <c r="K76" s="2911"/>
      <c r="L76" s="2477"/>
      <c r="M76" s="2478"/>
      <c r="N76" s="2478"/>
      <c r="O76" s="2479"/>
      <c r="P76" s="2913"/>
      <c r="Q76" s="2913"/>
      <c r="R76" s="2913"/>
      <c r="S76" s="2913"/>
      <c r="T76" s="2356"/>
      <c r="U76" s="2356"/>
      <c r="V76" s="2356"/>
      <c r="W76" s="2356"/>
      <c r="X76" s="2422"/>
      <c r="Y76" s="2297"/>
      <c r="Z76" s="2297"/>
      <c r="AA76" s="2297"/>
      <c r="AB76" s="2881"/>
      <c r="AC76" s="2881"/>
      <c r="AD76" s="2881"/>
      <c r="AE76" s="2882"/>
      <c r="AF76" s="2446"/>
      <c r="AG76" s="2297"/>
      <c r="AH76" s="2297"/>
      <c r="AI76" s="2447"/>
      <c r="AJ76" s="2297"/>
      <c r="AK76" s="2297"/>
      <c r="AL76" s="2297"/>
      <c r="AM76" s="2451"/>
      <c r="AN76" s="2297"/>
      <c r="AO76" s="2297"/>
      <c r="AP76" s="2297"/>
      <c r="AQ76" s="2451"/>
      <c r="AR76" s="2422"/>
      <c r="AS76" s="2297"/>
      <c r="AT76" s="2297"/>
      <c r="AU76" s="2451"/>
      <c r="AV76" s="2356"/>
      <c r="AW76" s="2356"/>
      <c r="AX76" s="2356"/>
      <c r="AY76" s="2880"/>
      <c r="AZ76" s="2356"/>
      <c r="BA76" s="2356"/>
      <c r="BB76" s="2356"/>
      <c r="BC76" s="2880"/>
      <c r="BD76" s="2356"/>
      <c r="BE76" s="2356"/>
      <c r="BF76" s="2356"/>
      <c r="BG76" s="2880"/>
      <c r="BH76" s="2356"/>
      <c r="BI76" s="2356"/>
      <c r="BJ76" s="2356"/>
      <c r="BK76" s="2880"/>
      <c r="BL76" s="2885"/>
      <c r="BM76" s="2375"/>
      <c r="BN76" s="2375"/>
      <c r="BO76" s="2375"/>
      <c r="BP76" s="2375"/>
      <c r="BQ76" s="2375"/>
      <c r="BR76" s="2375"/>
      <c r="BS76" s="2376"/>
      <c r="BT76" s="2370"/>
      <c r="BU76" s="2370"/>
      <c r="BV76" s="2370"/>
      <c r="BW76" s="2370"/>
      <c r="BX76" s="2370"/>
      <c r="BY76" s="2370"/>
      <c r="BZ76" s="2370"/>
      <c r="CA76" s="2370"/>
      <c r="CB76" s="2370"/>
      <c r="CC76" s="2370"/>
      <c r="CD76" s="2370"/>
      <c r="CE76" s="2370"/>
      <c r="CF76" s="2370"/>
      <c r="CG76" s="2370"/>
      <c r="CH76" s="2371"/>
      <c r="CI76" s="2886"/>
      <c r="CJ76" s="2886"/>
      <c r="CK76" s="2857"/>
      <c r="CL76" s="2857"/>
      <c r="CM76" s="2857"/>
      <c r="CQ76" s="2742"/>
      <c r="CR76" s="2743"/>
      <c r="CS76" s="2743"/>
      <c r="CT76" s="2744"/>
      <c r="EC76" s="109"/>
      <c r="ED76" s="109"/>
      <c r="EE76" s="109"/>
      <c r="EF76" s="109"/>
      <c r="EG76" s="109"/>
      <c r="EH76" s="109"/>
      <c r="EI76" s="109"/>
      <c r="EJ76" s="109"/>
      <c r="EK76" s="109"/>
      <c r="EL76" s="109"/>
      <c r="EM76" s="109"/>
      <c r="EN76" s="109"/>
      <c r="EO76" s="109"/>
      <c r="EP76" s="109"/>
      <c r="EQ76" s="109"/>
      <c r="ER76" s="109"/>
      <c r="ES76" s="109"/>
      <c r="ET76" s="109"/>
      <c r="EU76" s="109"/>
      <c r="EV76" s="109"/>
    </row>
    <row r="77" spans="1:152" ht="8.85" customHeight="1">
      <c r="A77" s="2518"/>
      <c r="B77" s="2523"/>
      <c r="C77" s="2524"/>
      <c r="D77" s="2524"/>
      <c r="E77" s="2524"/>
      <c r="F77" s="2524"/>
      <c r="G77" s="2528"/>
      <c r="H77" s="2911"/>
      <c r="I77" s="2911"/>
      <c r="J77" s="2911"/>
      <c r="K77" s="2911"/>
      <c r="L77" s="2480"/>
      <c r="M77" s="2481"/>
      <c r="N77" s="2481"/>
      <c r="O77" s="2482"/>
      <c r="P77" s="2913"/>
      <c r="Q77" s="2913"/>
      <c r="R77" s="2913"/>
      <c r="S77" s="2913"/>
      <c r="T77" s="2356"/>
      <c r="U77" s="2356"/>
      <c r="V77" s="2356"/>
      <c r="W77" s="2356"/>
      <c r="X77" s="2439"/>
      <c r="Y77" s="2298"/>
      <c r="Z77" s="2298"/>
      <c r="AA77" s="2298"/>
      <c r="AB77" s="2881"/>
      <c r="AC77" s="2881"/>
      <c r="AD77" s="2881"/>
      <c r="AE77" s="2882"/>
      <c r="AF77" s="2444"/>
      <c r="AG77" s="2298"/>
      <c r="AH77" s="2298"/>
      <c r="AI77" s="2445"/>
      <c r="AJ77" s="2298"/>
      <c r="AK77" s="2298"/>
      <c r="AL77" s="2298"/>
      <c r="AM77" s="2452"/>
      <c r="AN77" s="2298"/>
      <c r="AO77" s="2298"/>
      <c r="AP77" s="2298"/>
      <c r="AQ77" s="2452"/>
      <c r="AR77" s="2439"/>
      <c r="AS77" s="2298"/>
      <c r="AT77" s="2298"/>
      <c r="AU77" s="2452"/>
      <c r="AV77" s="2356"/>
      <c r="AW77" s="2356"/>
      <c r="AX77" s="2356"/>
      <c r="AY77" s="2880"/>
      <c r="AZ77" s="2356"/>
      <c r="BA77" s="2356"/>
      <c r="BB77" s="2356"/>
      <c r="BC77" s="2880"/>
      <c r="BD77" s="2356"/>
      <c r="BE77" s="2356"/>
      <c r="BF77" s="2356"/>
      <c r="BG77" s="2880"/>
      <c r="BH77" s="2356"/>
      <c r="BI77" s="2356"/>
      <c r="BJ77" s="2356"/>
      <c r="BK77" s="2880"/>
      <c r="BL77" s="2885"/>
      <c r="BM77" s="2375"/>
      <c r="BN77" s="2375"/>
      <c r="BO77" s="2375"/>
      <c r="BP77" s="2375"/>
      <c r="BQ77" s="2375"/>
      <c r="BR77" s="2375"/>
      <c r="BS77" s="2376"/>
      <c r="BT77" s="2372"/>
      <c r="BU77" s="2372"/>
      <c r="BV77" s="2372"/>
      <c r="BW77" s="2372"/>
      <c r="BX77" s="2372"/>
      <c r="BY77" s="2372"/>
      <c r="BZ77" s="2372"/>
      <c r="CA77" s="2372"/>
      <c r="CB77" s="2372"/>
      <c r="CC77" s="2372"/>
      <c r="CD77" s="2372"/>
      <c r="CE77" s="2372"/>
      <c r="CF77" s="2372"/>
      <c r="CG77" s="2372"/>
      <c r="CH77" s="2373"/>
      <c r="CI77" s="2886"/>
      <c r="CJ77" s="2886"/>
      <c r="CK77" s="2857"/>
      <c r="CL77" s="2857"/>
      <c r="CM77" s="2857"/>
      <c r="CQ77" s="2745"/>
      <c r="CR77" s="2746"/>
      <c r="CS77" s="2746"/>
      <c r="CT77" s="2747"/>
      <c r="EC77" s="109"/>
      <c r="ED77" s="109"/>
      <c r="EE77" s="109"/>
      <c r="EF77" s="109"/>
      <c r="EG77" s="109"/>
      <c r="EH77" s="109"/>
      <c r="EI77" s="109"/>
      <c r="EJ77" s="109"/>
      <c r="EK77" s="109"/>
      <c r="EL77" s="109"/>
      <c r="EM77" s="109"/>
      <c r="EN77" s="109"/>
      <c r="EO77" s="109"/>
      <c r="EP77" s="109"/>
      <c r="EQ77" s="109"/>
      <c r="ER77" s="109"/>
      <c r="ES77" s="109"/>
      <c r="ET77" s="109"/>
      <c r="EU77" s="109"/>
      <c r="EV77" s="109"/>
    </row>
    <row r="78" spans="1:152" ht="8.85" customHeight="1">
      <c r="A78" s="2518">
        <v>35</v>
      </c>
      <c r="B78" s="2525"/>
      <c r="C78" s="2520"/>
      <c r="D78" s="2520"/>
      <c r="E78" s="2520"/>
      <c r="F78" s="2520"/>
      <c r="G78" s="2529"/>
      <c r="H78" s="2911">
        <v>4.1666666666666664E-2</v>
      </c>
      <c r="I78" s="2911"/>
      <c r="J78" s="2911"/>
      <c r="K78" s="2911"/>
      <c r="L78" s="2474"/>
      <c r="M78" s="2475"/>
      <c r="N78" s="2475"/>
      <c r="O78" s="2476"/>
      <c r="P78" s="2912">
        <v>0.125</v>
      </c>
      <c r="Q78" s="2913"/>
      <c r="R78" s="2913"/>
      <c r="S78" s="2913"/>
      <c r="T78" s="2356"/>
      <c r="U78" s="2356"/>
      <c r="V78" s="2356"/>
      <c r="W78" s="2356"/>
      <c r="X78" s="2420"/>
      <c r="Y78" s="2421"/>
      <c r="Z78" s="2421"/>
      <c r="AA78" s="2421"/>
      <c r="AB78" s="2881" t="str">
        <f t="shared" ref="AB78" si="30">IF(L78="REJECTED",AB74,IF(X78="","",IF(N$22="","",N$22-X78)))</f>
        <v/>
      </c>
      <c r="AC78" s="2881"/>
      <c r="AD78" s="2881"/>
      <c r="AE78" s="2882"/>
      <c r="AF78" s="2440"/>
      <c r="AG78" s="2421"/>
      <c r="AH78" s="2421"/>
      <c r="AI78" s="2441"/>
      <c r="AJ78" s="2421"/>
      <c r="AK78" s="2421"/>
      <c r="AL78" s="2421"/>
      <c r="AM78" s="2483"/>
      <c r="AN78" s="2421"/>
      <c r="AO78" s="2421"/>
      <c r="AP78" s="2421"/>
      <c r="AQ78" s="2483"/>
      <c r="AR78" s="2420"/>
      <c r="AS78" s="2421"/>
      <c r="AT78" s="2421"/>
      <c r="AU78" s="2483"/>
      <c r="AV78" s="2356"/>
      <c r="AW78" s="2356"/>
      <c r="AX78" s="2356"/>
      <c r="AY78" s="2880"/>
      <c r="AZ78" s="2356"/>
      <c r="BA78" s="2356"/>
      <c r="BB78" s="2356"/>
      <c r="BC78" s="2880"/>
      <c r="BD78" s="2356"/>
      <c r="BE78" s="2356"/>
      <c r="BF78" s="2356"/>
      <c r="BG78" s="2880"/>
      <c r="BH78" s="2356"/>
      <c r="BI78" s="2356"/>
      <c r="BJ78" s="2356"/>
      <c r="BK78" s="2880"/>
      <c r="BL78" s="2885" t="str">
        <f t="shared" ref="BL78" si="31">IF(OR(L78="REJECTED",L78="Not Placed"),0,IF(AF78="","",SUM(AF78:AM81)-SUM(AN78:BK81)))</f>
        <v/>
      </c>
      <c r="BM78" s="2375"/>
      <c r="BN78" s="2375"/>
      <c r="BO78" s="2375"/>
      <c r="BP78" s="2375" t="str">
        <f t="shared" ref="BP78" si="32">IF(L78="REJECTED",BP74,IF(AF78="","",BP74+BL78))</f>
        <v/>
      </c>
      <c r="BQ78" s="2375"/>
      <c r="BR78" s="2375"/>
      <c r="BS78" s="2376"/>
      <c r="BT78" s="2368"/>
      <c r="BU78" s="2368"/>
      <c r="BV78" s="2368"/>
      <c r="BW78" s="2368"/>
      <c r="BX78" s="2368"/>
      <c r="BY78" s="2368"/>
      <c r="BZ78" s="2368"/>
      <c r="CA78" s="2368"/>
      <c r="CB78" s="2368"/>
      <c r="CC78" s="2368"/>
      <c r="CD78" s="2368"/>
      <c r="CE78" s="2368"/>
      <c r="CF78" s="2368"/>
      <c r="CG78" s="2368"/>
      <c r="CH78" s="2369"/>
      <c r="CI78" s="2886">
        <v>35</v>
      </c>
      <c r="CJ78" s="2886"/>
      <c r="CK78" s="2857" t="e">
        <f>'Concr. Curve'!BL21</f>
        <v>#DIV/0!</v>
      </c>
      <c r="CL78" s="2857"/>
      <c r="CM78" s="2857"/>
      <c r="CQ78" s="2967">
        <f t="shared" ref="CQ78" si="33">IF(OR(P78="",H78=""),"",MOD(P78-H78,1)*24*60)</f>
        <v>120</v>
      </c>
      <c r="CR78" s="2968"/>
      <c r="CS78" s="2968"/>
      <c r="CT78" s="2969"/>
      <c r="EC78" s="109"/>
      <c r="ED78" s="109"/>
      <c r="EE78" s="109"/>
      <c r="EF78" s="109"/>
      <c r="EG78" s="109"/>
      <c r="EH78" s="109"/>
      <c r="EI78" s="109"/>
      <c r="EJ78" s="109"/>
      <c r="EK78" s="109"/>
      <c r="EL78" s="109"/>
      <c r="EM78" s="109"/>
      <c r="EN78" s="109"/>
      <c r="EO78" s="109"/>
      <c r="EP78" s="109"/>
      <c r="EQ78" s="109"/>
      <c r="ER78" s="109"/>
      <c r="ES78" s="109"/>
      <c r="ET78" s="109"/>
      <c r="EU78" s="109"/>
      <c r="EV78" s="109"/>
    </row>
    <row r="79" spans="1:152" ht="8.85" customHeight="1">
      <c r="A79" s="2518"/>
      <c r="B79" s="2530"/>
      <c r="C79" s="2522"/>
      <c r="D79" s="2522"/>
      <c r="E79" s="2522"/>
      <c r="F79" s="2522"/>
      <c r="G79" s="2527"/>
      <c r="H79" s="2911"/>
      <c r="I79" s="2911"/>
      <c r="J79" s="2911"/>
      <c r="K79" s="2911"/>
      <c r="L79" s="2477"/>
      <c r="M79" s="2478"/>
      <c r="N79" s="2478"/>
      <c r="O79" s="2479"/>
      <c r="P79" s="2913"/>
      <c r="Q79" s="2913"/>
      <c r="R79" s="2913"/>
      <c r="S79" s="2913"/>
      <c r="T79" s="2356"/>
      <c r="U79" s="2356"/>
      <c r="V79" s="2356"/>
      <c r="W79" s="2356"/>
      <c r="X79" s="2422"/>
      <c r="Y79" s="2297"/>
      <c r="Z79" s="2297"/>
      <c r="AA79" s="2297"/>
      <c r="AB79" s="2881"/>
      <c r="AC79" s="2881"/>
      <c r="AD79" s="2881"/>
      <c r="AE79" s="2882"/>
      <c r="AF79" s="2446"/>
      <c r="AG79" s="2297"/>
      <c r="AH79" s="2297"/>
      <c r="AI79" s="2447"/>
      <c r="AJ79" s="2297"/>
      <c r="AK79" s="2297"/>
      <c r="AL79" s="2297"/>
      <c r="AM79" s="2451"/>
      <c r="AN79" s="2297"/>
      <c r="AO79" s="2297"/>
      <c r="AP79" s="2297"/>
      <c r="AQ79" s="2451"/>
      <c r="AR79" s="2422"/>
      <c r="AS79" s="2297"/>
      <c r="AT79" s="2297"/>
      <c r="AU79" s="2451"/>
      <c r="AV79" s="2356"/>
      <c r="AW79" s="2356"/>
      <c r="AX79" s="2356"/>
      <c r="AY79" s="2880"/>
      <c r="AZ79" s="2356"/>
      <c r="BA79" s="2356"/>
      <c r="BB79" s="2356"/>
      <c r="BC79" s="2880"/>
      <c r="BD79" s="2356"/>
      <c r="BE79" s="2356"/>
      <c r="BF79" s="2356"/>
      <c r="BG79" s="2880"/>
      <c r="BH79" s="2356"/>
      <c r="BI79" s="2356"/>
      <c r="BJ79" s="2356"/>
      <c r="BK79" s="2880"/>
      <c r="BL79" s="2885"/>
      <c r="BM79" s="2375"/>
      <c r="BN79" s="2375"/>
      <c r="BO79" s="2375"/>
      <c r="BP79" s="2375"/>
      <c r="BQ79" s="2375"/>
      <c r="BR79" s="2375"/>
      <c r="BS79" s="2376"/>
      <c r="BT79" s="2370"/>
      <c r="BU79" s="2370"/>
      <c r="BV79" s="2370"/>
      <c r="BW79" s="2370"/>
      <c r="BX79" s="2370"/>
      <c r="BY79" s="2370"/>
      <c r="BZ79" s="2370"/>
      <c r="CA79" s="2370"/>
      <c r="CB79" s="2370"/>
      <c r="CC79" s="2370"/>
      <c r="CD79" s="2370"/>
      <c r="CE79" s="2370"/>
      <c r="CF79" s="2370"/>
      <c r="CG79" s="2370"/>
      <c r="CH79" s="2371"/>
      <c r="CI79" s="2886"/>
      <c r="CJ79" s="2886"/>
      <c r="CK79" s="2857"/>
      <c r="CL79" s="2857"/>
      <c r="CM79" s="2857"/>
      <c r="CQ79" s="2742"/>
      <c r="CR79" s="2743"/>
      <c r="CS79" s="2743"/>
      <c r="CT79" s="2744"/>
      <c r="EC79" s="109"/>
      <c r="ED79" s="109"/>
      <c r="EE79" s="109"/>
      <c r="EF79" s="109"/>
      <c r="EG79" s="109"/>
      <c r="EH79" s="109"/>
      <c r="EI79" s="109"/>
      <c r="EJ79" s="109"/>
      <c r="EK79" s="109"/>
      <c r="EL79" s="109"/>
      <c r="EM79" s="109"/>
      <c r="EN79" s="109"/>
      <c r="EO79" s="109"/>
      <c r="EP79" s="109"/>
      <c r="EQ79" s="109"/>
      <c r="ER79" s="109"/>
      <c r="ES79" s="109"/>
      <c r="ET79" s="109"/>
      <c r="EU79" s="109"/>
      <c r="EV79" s="109"/>
    </row>
    <row r="80" spans="1:152" ht="8.85" customHeight="1">
      <c r="A80" s="2518"/>
      <c r="B80" s="2530"/>
      <c r="C80" s="2522"/>
      <c r="D80" s="2522"/>
      <c r="E80" s="2522"/>
      <c r="F80" s="2522"/>
      <c r="G80" s="2527"/>
      <c r="H80" s="2911"/>
      <c r="I80" s="2911"/>
      <c r="J80" s="2911"/>
      <c r="K80" s="2911"/>
      <c r="L80" s="2477"/>
      <c r="M80" s="2478"/>
      <c r="N80" s="2478"/>
      <c r="O80" s="2479"/>
      <c r="P80" s="2913"/>
      <c r="Q80" s="2913"/>
      <c r="R80" s="2913"/>
      <c r="S80" s="2913"/>
      <c r="T80" s="2356"/>
      <c r="U80" s="2356"/>
      <c r="V80" s="2356"/>
      <c r="W80" s="2356"/>
      <c r="X80" s="2422"/>
      <c r="Y80" s="2297"/>
      <c r="Z80" s="2297"/>
      <c r="AA80" s="2297"/>
      <c r="AB80" s="2881"/>
      <c r="AC80" s="2881"/>
      <c r="AD80" s="2881"/>
      <c r="AE80" s="2882"/>
      <c r="AF80" s="2446"/>
      <c r="AG80" s="2297"/>
      <c r="AH80" s="2297"/>
      <c r="AI80" s="2447"/>
      <c r="AJ80" s="2297"/>
      <c r="AK80" s="2297"/>
      <c r="AL80" s="2297"/>
      <c r="AM80" s="2451"/>
      <c r="AN80" s="2297"/>
      <c r="AO80" s="2297"/>
      <c r="AP80" s="2297"/>
      <c r="AQ80" s="2451"/>
      <c r="AR80" s="2422"/>
      <c r="AS80" s="2297"/>
      <c r="AT80" s="2297"/>
      <c r="AU80" s="2451"/>
      <c r="AV80" s="2356"/>
      <c r="AW80" s="2356"/>
      <c r="AX80" s="2356"/>
      <c r="AY80" s="2880"/>
      <c r="AZ80" s="2356"/>
      <c r="BA80" s="2356"/>
      <c r="BB80" s="2356"/>
      <c r="BC80" s="2880"/>
      <c r="BD80" s="2356"/>
      <c r="BE80" s="2356"/>
      <c r="BF80" s="2356"/>
      <c r="BG80" s="2880"/>
      <c r="BH80" s="2356"/>
      <c r="BI80" s="2356"/>
      <c r="BJ80" s="2356"/>
      <c r="BK80" s="2880"/>
      <c r="BL80" s="2885"/>
      <c r="BM80" s="2375"/>
      <c r="BN80" s="2375"/>
      <c r="BO80" s="2375"/>
      <c r="BP80" s="2375"/>
      <c r="BQ80" s="2375"/>
      <c r="BR80" s="2375"/>
      <c r="BS80" s="2376"/>
      <c r="BT80" s="2370"/>
      <c r="BU80" s="2370"/>
      <c r="BV80" s="2370"/>
      <c r="BW80" s="2370"/>
      <c r="BX80" s="2370"/>
      <c r="BY80" s="2370"/>
      <c r="BZ80" s="2370"/>
      <c r="CA80" s="2370"/>
      <c r="CB80" s="2370"/>
      <c r="CC80" s="2370"/>
      <c r="CD80" s="2370"/>
      <c r="CE80" s="2370"/>
      <c r="CF80" s="2370"/>
      <c r="CG80" s="2370"/>
      <c r="CH80" s="2371"/>
      <c r="CI80" s="2886"/>
      <c r="CJ80" s="2886"/>
      <c r="CK80" s="2857"/>
      <c r="CL80" s="2857"/>
      <c r="CM80" s="2857"/>
      <c r="CQ80" s="2742"/>
      <c r="CR80" s="2743"/>
      <c r="CS80" s="2743"/>
      <c r="CT80" s="2744"/>
      <c r="EC80" s="109"/>
      <c r="ED80" s="109"/>
      <c r="EE80" s="109"/>
      <c r="EF80" s="109"/>
      <c r="EG80" s="109"/>
      <c r="EH80" s="109"/>
      <c r="EI80" s="109"/>
      <c r="EJ80" s="109"/>
      <c r="EK80" s="109"/>
      <c r="EL80" s="109"/>
      <c r="EM80" s="109"/>
      <c r="EN80" s="109"/>
      <c r="EO80" s="109"/>
      <c r="EP80" s="109"/>
      <c r="EQ80" s="109"/>
      <c r="ER80" s="109"/>
      <c r="ES80" s="109"/>
      <c r="ET80" s="109"/>
      <c r="EU80" s="109"/>
      <c r="EV80" s="109"/>
    </row>
    <row r="81" spans="1:152" ht="8.85" customHeight="1">
      <c r="A81" s="2518"/>
      <c r="B81" s="2523"/>
      <c r="C81" s="2524"/>
      <c r="D81" s="2524"/>
      <c r="E81" s="2524"/>
      <c r="F81" s="2524"/>
      <c r="G81" s="2528"/>
      <c r="H81" s="2911"/>
      <c r="I81" s="2911"/>
      <c r="J81" s="2911"/>
      <c r="K81" s="2911"/>
      <c r="L81" s="2480"/>
      <c r="M81" s="2481"/>
      <c r="N81" s="2481"/>
      <c r="O81" s="2482"/>
      <c r="P81" s="2913"/>
      <c r="Q81" s="2913"/>
      <c r="R81" s="2913"/>
      <c r="S81" s="2913"/>
      <c r="T81" s="2356"/>
      <c r="U81" s="2356"/>
      <c r="V81" s="2356"/>
      <c r="W81" s="2356"/>
      <c r="X81" s="2439"/>
      <c r="Y81" s="2298"/>
      <c r="Z81" s="2298"/>
      <c r="AA81" s="2298"/>
      <c r="AB81" s="2881"/>
      <c r="AC81" s="2881"/>
      <c r="AD81" s="2881"/>
      <c r="AE81" s="2882"/>
      <c r="AF81" s="2444"/>
      <c r="AG81" s="2298"/>
      <c r="AH81" s="2298"/>
      <c r="AI81" s="2445"/>
      <c r="AJ81" s="2298"/>
      <c r="AK81" s="2298"/>
      <c r="AL81" s="2298"/>
      <c r="AM81" s="2452"/>
      <c r="AN81" s="2298"/>
      <c r="AO81" s="2298"/>
      <c r="AP81" s="2298"/>
      <c r="AQ81" s="2452"/>
      <c r="AR81" s="2439"/>
      <c r="AS81" s="2298"/>
      <c r="AT81" s="2298"/>
      <c r="AU81" s="2452"/>
      <c r="AV81" s="2356"/>
      <c r="AW81" s="2356"/>
      <c r="AX81" s="2356"/>
      <c r="AY81" s="2880"/>
      <c r="AZ81" s="2356"/>
      <c r="BA81" s="2356"/>
      <c r="BB81" s="2356"/>
      <c r="BC81" s="2880"/>
      <c r="BD81" s="2356"/>
      <c r="BE81" s="2356"/>
      <c r="BF81" s="2356"/>
      <c r="BG81" s="2880"/>
      <c r="BH81" s="2356"/>
      <c r="BI81" s="2356"/>
      <c r="BJ81" s="2356"/>
      <c r="BK81" s="2880"/>
      <c r="BL81" s="2885"/>
      <c r="BM81" s="2375"/>
      <c r="BN81" s="2375"/>
      <c r="BO81" s="2375"/>
      <c r="BP81" s="2375"/>
      <c r="BQ81" s="2375"/>
      <c r="BR81" s="2375"/>
      <c r="BS81" s="2376"/>
      <c r="BT81" s="2372"/>
      <c r="BU81" s="2372"/>
      <c r="BV81" s="2372"/>
      <c r="BW81" s="2372"/>
      <c r="BX81" s="2372"/>
      <c r="BY81" s="2372"/>
      <c r="BZ81" s="2372"/>
      <c r="CA81" s="2372"/>
      <c r="CB81" s="2372"/>
      <c r="CC81" s="2372"/>
      <c r="CD81" s="2372"/>
      <c r="CE81" s="2372"/>
      <c r="CF81" s="2372"/>
      <c r="CG81" s="2372"/>
      <c r="CH81" s="2373"/>
      <c r="CI81" s="2886"/>
      <c r="CJ81" s="2886"/>
      <c r="CK81" s="2857"/>
      <c r="CL81" s="2857"/>
      <c r="CM81" s="2857"/>
      <c r="CQ81" s="2745"/>
      <c r="CR81" s="2746"/>
      <c r="CS81" s="2746"/>
      <c r="CT81" s="2747"/>
      <c r="EC81" s="109"/>
      <c r="ED81" s="109"/>
      <c r="EE81" s="109"/>
      <c r="EF81" s="109"/>
      <c r="EG81" s="109"/>
      <c r="EH81" s="109"/>
      <c r="EI81" s="109"/>
      <c r="EJ81" s="109"/>
      <c r="EK81" s="109"/>
      <c r="EL81" s="109"/>
      <c r="EM81" s="109"/>
      <c r="EN81" s="109"/>
      <c r="EO81" s="109"/>
      <c r="EP81" s="109"/>
      <c r="EQ81" s="109"/>
      <c r="ER81" s="109"/>
      <c r="ES81" s="109"/>
      <c r="ET81" s="109"/>
      <c r="EU81" s="109"/>
      <c r="EV81" s="109"/>
    </row>
    <row r="82" spans="1:152" ht="8.85" customHeight="1">
      <c r="A82" s="2518">
        <v>36</v>
      </c>
      <c r="B82" s="2525"/>
      <c r="C82" s="2520"/>
      <c r="D82" s="2520"/>
      <c r="E82" s="2520"/>
      <c r="F82" s="2520"/>
      <c r="G82" s="2529"/>
      <c r="H82" s="2911">
        <v>8.3333333333333329E-2</v>
      </c>
      <c r="I82" s="2911"/>
      <c r="J82" s="2911"/>
      <c r="K82" s="2911"/>
      <c r="L82" s="2474"/>
      <c r="M82" s="2475"/>
      <c r="N82" s="2475"/>
      <c r="O82" s="2476"/>
      <c r="P82" s="2912">
        <v>0.16666666666666666</v>
      </c>
      <c r="Q82" s="2913"/>
      <c r="R82" s="2913"/>
      <c r="S82" s="2913"/>
      <c r="T82" s="2356"/>
      <c r="U82" s="2356"/>
      <c r="V82" s="2356"/>
      <c r="W82" s="2356"/>
      <c r="X82" s="2420"/>
      <c r="Y82" s="2421"/>
      <c r="Z82" s="2421"/>
      <c r="AA82" s="2421"/>
      <c r="AB82" s="2881" t="str">
        <f t="shared" ref="AB82" si="34">IF(L82="REJECTED",AB78,IF(X82="","",IF(N$22="","",N$22-X82)))</f>
        <v/>
      </c>
      <c r="AC82" s="2881"/>
      <c r="AD82" s="2881"/>
      <c r="AE82" s="2882"/>
      <c r="AF82" s="2440"/>
      <c r="AG82" s="2421"/>
      <c r="AH82" s="2421"/>
      <c r="AI82" s="2441"/>
      <c r="AJ82" s="2421"/>
      <c r="AK82" s="2421"/>
      <c r="AL82" s="2421"/>
      <c r="AM82" s="2483"/>
      <c r="AN82" s="2421"/>
      <c r="AO82" s="2421"/>
      <c r="AP82" s="2421"/>
      <c r="AQ82" s="2483"/>
      <c r="AR82" s="2420"/>
      <c r="AS82" s="2421"/>
      <c r="AT82" s="2421"/>
      <c r="AU82" s="2483"/>
      <c r="AV82" s="2356"/>
      <c r="AW82" s="2356"/>
      <c r="AX82" s="2356"/>
      <c r="AY82" s="2880"/>
      <c r="AZ82" s="2356"/>
      <c r="BA82" s="2356"/>
      <c r="BB82" s="2356"/>
      <c r="BC82" s="2880"/>
      <c r="BD82" s="2356"/>
      <c r="BE82" s="2356"/>
      <c r="BF82" s="2356"/>
      <c r="BG82" s="2880"/>
      <c r="BH82" s="2356"/>
      <c r="BI82" s="2356"/>
      <c r="BJ82" s="2356"/>
      <c r="BK82" s="2880"/>
      <c r="BL82" s="2885" t="str">
        <f t="shared" ref="BL82" si="35">IF(OR(L82="REJECTED",L82="Not Placed"),0,IF(AF82="","",SUM(AF82:AM85)-SUM(AN82:BK85)))</f>
        <v/>
      </c>
      <c r="BM82" s="2375"/>
      <c r="BN82" s="2375"/>
      <c r="BO82" s="2375"/>
      <c r="BP82" s="2375" t="str">
        <f t="shared" ref="BP82" si="36">IF(L82="REJECTED",BP78,IF(AF82="","",BP78+BL82))</f>
        <v/>
      </c>
      <c r="BQ82" s="2375"/>
      <c r="BR82" s="2375"/>
      <c r="BS82" s="2376"/>
      <c r="BT82" s="2368"/>
      <c r="BU82" s="2368"/>
      <c r="BV82" s="2368"/>
      <c r="BW82" s="2368"/>
      <c r="BX82" s="2368"/>
      <c r="BY82" s="2368"/>
      <c r="BZ82" s="2368"/>
      <c r="CA82" s="2368"/>
      <c r="CB82" s="2368"/>
      <c r="CC82" s="2368"/>
      <c r="CD82" s="2368"/>
      <c r="CE82" s="2368"/>
      <c r="CF82" s="2368"/>
      <c r="CG82" s="2368"/>
      <c r="CH82" s="2369"/>
      <c r="CI82" s="2886">
        <v>36</v>
      </c>
      <c r="CJ82" s="2886"/>
      <c r="CK82" s="2857" t="e">
        <f>'Concr. Curve'!BL20</f>
        <v>#DIV/0!</v>
      </c>
      <c r="CL82" s="2857"/>
      <c r="CM82" s="2857"/>
      <c r="CQ82" s="2967">
        <f t="shared" ref="CQ82" si="37">IF(OR(P82="",H82=""),"",MOD(P82-H82,1)*24*60)</f>
        <v>120</v>
      </c>
      <c r="CR82" s="2968"/>
      <c r="CS82" s="2968"/>
      <c r="CT82" s="2969"/>
      <c r="EC82" s="109"/>
      <c r="ED82" s="109"/>
      <c r="EE82" s="109"/>
      <c r="EF82" s="109"/>
      <c r="EG82" s="109"/>
      <c r="EH82" s="109"/>
      <c r="EI82" s="109"/>
      <c r="EJ82" s="109"/>
      <c r="EK82" s="109"/>
      <c r="EL82" s="109"/>
      <c r="EM82" s="109"/>
      <c r="EN82" s="109"/>
      <c r="EO82" s="109"/>
      <c r="EP82" s="109"/>
      <c r="EQ82" s="109"/>
      <c r="ER82" s="109"/>
      <c r="ES82" s="109"/>
      <c r="ET82" s="109"/>
      <c r="EU82" s="109"/>
      <c r="EV82" s="109"/>
    </row>
    <row r="83" spans="1:152" ht="8.85" customHeight="1">
      <c r="A83" s="2518"/>
      <c r="B83" s="2530"/>
      <c r="C83" s="2522"/>
      <c r="D83" s="2522"/>
      <c r="E83" s="2522"/>
      <c r="F83" s="2522"/>
      <c r="G83" s="2527"/>
      <c r="H83" s="2911"/>
      <c r="I83" s="2911"/>
      <c r="J83" s="2911"/>
      <c r="K83" s="2911"/>
      <c r="L83" s="2477"/>
      <c r="M83" s="2478"/>
      <c r="N83" s="2478"/>
      <c r="O83" s="2479"/>
      <c r="P83" s="2913"/>
      <c r="Q83" s="2913"/>
      <c r="R83" s="2913"/>
      <c r="S83" s="2913"/>
      <c r="T83" s="2356"/>
      <c r="U83" s="2356"/>
      <c r="V83" s="2356"/>
      <c r="W83" s="2356"/>
      <c r="X83" s="2422"/>
      <c r="Y83" s="2297"/>
      <c r="Z83" s="2297"/>
      <c r="AA83" s="2297"/>
      <c r="AB83" s="2881"/>
      <c r="AC83" s="2881"/>
      <c r="AD83" s="2881"/>
      <c r="AE83" s="2882"/>
      <c r="AF83" s="2446"/>
      <c r="AG83" s="2297"/>
      <c r="AH83" s="2297"/>
      <c r="AI83" s="2447"/>
      <c r="AJ83" s="2297"/>
      <c r="AK83" s="2297"/>
      <c r="AL83" s="2297"/>
      <c r="AM83" s="2451"/>
      <c r="AN83" s="2297"/>
      <c r="AO83" s="2297"/>
      <c r="AP83" s="2297"/>
      <c r="AQ83" s="2451"/>
      <c r="AR83" s="2422"/>
      <c r="AS83" s="2297"/>
      <c r="AT83" s="2297"/>
      <c r="AU83" s="2451"/>
      <c r="AV83" s="2356"/>
      <c r="AW83" s="2356"/>
      <c r="AX83" s="2356"/>
      <c r="AY83" s="2880"/>
      <c r="AZ83" s="2356"/>
      <c r="BA83" s="2356"/>
      <c r="BB83" s="2356"/>
      <c r="BC83" s="2880"/>
      <c r="BD83" s="2356"/>
      <c r="BE83" s="2356"/>
      <c r="BF83" s="2356"/>
      <c r="BG83" s="2880"/>
      <c r="BH83" s="2356"/>
      <c r="BI83" s="2356"/>
      <c r="BJ83" s="2356"/>
      <c r="BK83" s="2880"/>
      <c r="BL83" s="2885"/>
      <c r="BM83" s="2375"/>
      <c r="BN83" s="2375"/>
      <c r="BO83" s="2375"/>
      <c r="BP83" s="2375"/>
      <c r="BQ83" s="2375"/>
      <c r="BR83" s="2375"/>
      <c r="BS83" s="2376"/>
      <c r="BT83" s="2370"/>
      <c r="BU83" s="2370"/>
      <c r="BV83" s="2370"/>
      <c r="BW83" s="2370"/>
      <c r="BX83" s="2370"/>
      <c r="BY83" s="2370"/>
      <c r="BZ83" s="2370"/>
      <c r="CA83" s="2370"/>
      <c r="CB83" s="2370"/>
      <c r="CC83" s="2370"/>
      <c r="CD83" s="2370"/>
      <c r="CE83" s="2370"/>
      <c r="CF83" s="2370"/>
      <c r="CG83" s="2370"/>
      <c r="CH83" s="2371"/>
      <c r="CI83" s="2886"/>
      <c r="CJ83" s="2886"/>
      <c r="CK83" s="2857"/>
      <c r="CL83" s="2857"/>
      <c r="CM83" s="2857"/>
      <c r="CQ83" s="2742"/>
      <c r="CR83" s="2743"/>
      <c r="CS83" s="2743"/>
      <c r="CT83" s="2744"/>
      <c r="EC83" s="109"/>
      <c r="ED83" s="109"/>
      <c r="EE83" s="109"/>
      <c r="EF83" s="109"/>
      <c r="EG83" s="109"/>
      <c r="EH83" s="109"/>
      <c r="EI83" s="109"/>
      <c r="EJ83" s="109"/>
      <c r="EK83" s="109"/>
      <c r="EL83" s="109"/>
      <c r="EM83" s="109"/>
      <c r="EN83" s="109"/>
      <c r="EO83" s="109"/>
      <c r="EP83" s="109"/>
      <c r="EQ83" s="109"/>
      <c r="ER83" s="109"/>
      <c r="ES83" s="109"/>
      <c r="ET83" s="109"/>
      <c r="EU83" s="109"/>
      <c r="EV83" s="109"/>
    </row>
    <row r="84" spans="1:152" ht="8.85" customHeight="1">
      <c r="A84" s="2518"/>
      <c r="B84" s="2530"/>
      <c r="C84" s="2522"/>
      <c r="D84" s="2522"/>
      <c r="E84" s="2522"/>
      <c r="F84" s="2522"/>
      <c r="G84" s="2527"/>
      <c r="H84" s="2911"/>
      <c r="I84" s="2911"/>
      <c r="J84" s="2911"/>
      <c r="K84" s="2911"/>
      <c r="L84" s="2477"/>
      <c r="M84" s="2478"/>
      <c r="N84" s="2478"/>
      <c r="O84" s="2479"/>
      <c r="P84" s="2913"/>
      <c r="Q84" s="2913"/>
      <c r="R84" s="2913"/>
      <c r="S84" s="2913"/>
      <c r="T84" s="2356"/>
      <c r="U84" s="2356"/>
      <c r="V84" s="2356"/>
      <c r="W84" s="2356"/>
      <c r="X84" s="2422"/>
      <c r="Y84" s="2297"/>
      <c r="Z84" s="2297"/>
      <c r="AA84" s="2297"/>
      <c r="AB84" s="2881"/>
      <c r="AC84" s="2881"/>
      <c r="AD84" s="2881"/>
      <c r="AE84" s="2882"/>
      <c r="AF84" s="2446"/>
      <c r="AG84" s="2297"/>
      <c r="AH84" s="2297"/>
      <c r="AI84" s="2447"/>
      <c r="AJ84" s="2297"/>
      <c r="AK84" s="2297"/>
      <c r="AL84" s="2297"/>
      <c r="AM84" s="2451"/>
      <c r="AN84" s="2297"/>
      <c r="AO84" s="2297"/>
      <c r="AP84" s="2297"/>
      <c r="AQ84" s="2451"/>
      <c r="AR84" s="2422"/>
      <c r="AS84" s="2297"/>
      <c r="AT84" s="2297"/>
      <c r="AU84" s="2451"/>
      <c r="AV84" s="2356"/>
      <c r="AW84" s="2356"/>
      <c r="AX84" s="2356"/>
      <c r="AY84" s="2880"/>
      <c r="AZ84" s="2356"/>
      <c r="BA84" s="2356"/>
      <c r="BB84" s="2356"/>
      <c r="BC84" s="2880"/>
      <c r="BD84" s="2356"/>
      <c r="BE84" s="2356"/>
      <c r="BF84" s="2356"/>
      <c r="BG84" s="2880"/>
      <c r="BH84" s="2356"/>
      <c r="BI84" s="2356"/>
      <c r="BJ84" s="2356"/>
      <c r="BK84" s="2880"/>
      <c r="BL84" s="2885"/>
      <c r="BM84" s="2375"/>
      <c r="BN84" s="2375"/>
      <c r="BO84" s="2375"/>
      <c r="BP84" s="2375"/>
      <c r="BQ84" s="2375"/>
      <c r="BR84" s="2375"/>
      <c r="BS84" s="2376"/>
      <c r="BT84" s="2370"/>
      <c r="BU84" s="2370"/>
      <c r="BV84" s="2370"/>
      <c r="BW84" s="2370"/>
      <c r="BX84" s="2370"/>
      <c r="BY84" s="2370"/>
      <c r="BZ84" s="2370"/>
      <c r="CA84" s="2370"/>
      <c r="CB84" s="2370"/>
      <c r="CC84" s="2370"/>
      <c r="CD84" s="2370"/>
      <c r="CE84" s="2370"/>
      <c r="CF84" s="2370"/>
      <c r="CG84" s="2370"/>
      <c r="CH84" s="2371"/>
      <c r="CI84" s="2886"/>
      <c r="CJ84" s="2886"/>
      <c r="CK84" s="2857"/>
      <c r="CL84" s="2857"/>
      <c r="CM84" s="2857"/>
      <c r="CQ84" s="2742"/>
      <c r="CR84" s="2743"/>
      <c r="CS84" s="2743"/>
      <c r="CT84" s="2744"/>
      <c r="EC84" s="109"/>
      <c r="ED84" s="109"/>
      <c r="EE84" s="109"/>
      <c r="EF84" s="109"/>
      <c r="EG84" s="109"/>
      <c r="EH84" s="109"/>
      <c r="EI84" s="109"/>
      <c r="EJ84" s="109"/>
      <c r="EK84" s="109"/>
      <c r="EL84" s="109"/>
      <c r="EM84" s="109"/>
      <c r="EN84" s="109"/>
      <c r="EO84" s="109"/>
      <c r="EP84" s="109"/>
      <c r="EQ84" s="109"/>
      <c r="ER84" s="109"/>
      <c r="ES84" s="109"/>
      <c r="ET84" s="109"/>
      <c r="EU84" s="109"/>
      <c r="EV84" s="109"/>
    </row>
    <row r="85" spans="1:152" ht="8.85" customHeight="1">
      <c r="A85" s="2518"/>
      <c r="B85" s="2523"/>
      <c r="C85" s="2524"/>
      <c r="D85" s="2524"/>
      <c r="E85" s="2524"/>
      <c r="F85" s="2524"/>
      <c r="G85" s="2528"/>
      <c r="H85" s="2911"/>
      <c r="I85" s="2911"/>
      <c r="J85" s="2911"/>
      <c r="K85" s="2911"/>
      <c r="L85" s="2480"/>
      <c r="M85" s="2481"/>
      <c r="N85" s="2481"/>
      <c r="O85" s="2482"/>
      <c r="P85" s="2913"/>
      <c r="Q85" s="2913"/>
      <c r="R85" s="2913"/>
      <c r="S85" s="2913"/>
      <c r="T85" s="2356"/>
      <c r="U85" s="2356"/>
      <c r="V85" s="2356"/>
      <c r="W85" s="2356"/>
      <c r="X85" s="2439"/>
      <c r="Y85" s="2298"/>
      <c r="Z85" s="2298"/>
      <c r="AA85" s="2298"/>
      <c r="AB85" s="2881"/>
      <c r="AC85" s="2881"/>
      <c r="AD85" s="2881"/>
      <c r="AE85" s="2882"/>
      <c r="AF85" s="2444"/>
      <c r="AG85" s="2298"/>
      <c r="AH85" s="2298"/>
      <c r="AI85" s="2445"/>
      <c r="AJ85" s="2298"/>
      <c r="AK85" s="2298"/>
      <c r="AL85" s="2298"/>
      <c r="AM85" s="2452"/>
      <c r="AN85" s="2298"/>
      <c r="AO85" s="2298"/>
      <c r="AP85" s="2298"/>
      <c r="AQ85" s="2452"/>
      <c r="AR85" s="2439"/>
      <c r="AS85" s="2298"/>
      <c r="AT85" s="2298"/>
      <c r="AU85" s="2452"/>
      <c r="AV85" s="2356"/>
      <c r="AW85" s="2356"/>
      <c r="AX85" s="2356"/>
      <c r="AY85" s="2880"/>
      <c r="AZ85" s="2356"/>
      <c r="BA85" s="2356"/>
      <c r="BB85" s="2356"/>
      <c r="BC85" s="2880"/>
      <c r="BD85" s="2356"/>
      <c r="BE85" s="2356"/>
      <c r="BF85" s="2356"/>
      <c r="BG85" s="2880"/>
      <c r="BH85" s="2356"/>
      <c r="BI85" s="2356"/>
      <c r="BJ85" s="2356"/>
      <c r="BK85" s="2880"/>
      <c r="BL85" s="2885"/>
      <c r="BM85" s="2375"/>
      <c r="BN85" s="2375"/>
      <c r="BO85" s="2375"/>
      <c r="BP85" s="2375"/>
      <c r="BQ85" s="2375"/>
      <c r="BR85" s="2375"/>
      <c r="BS85" s="2376"/>
      <c r="BT85" s="2372"/>
      <c r="BU85" s="2372"/>
      <c r="BV85" s="2372"/>
      <c r="BW85" s="2372"/>
      <c r="BX85" s="2372"/>
      <c r="BY85" s="2372"/>
      <c r="BZ85" s="2372"/>
      <c r="CA85" s="2372"/>
      <c r="CB85" s="2372"/>
      <c r="CC85" s="2372"/>
      <c r="CD85" s="2372"/>
      <c r="CE85" s="2372"/>
      <c r="CF85" s="2372"/>
      <c r="CG85" s="2372"/>
      <c r="CH85" s="2373"/>
      <c r="CI85" s="2886"/>
      <c r="CJ85" s="2886"/>
      <c r="CK85" s="2857"/>
      <c r="CL85" s="2857"/>
      <c r="CM85" s="2857"/>
      <c r="CQ85" s="2745"/>
      <c r="CR85" s="2746"/>
      <c r="CS85" s="2746"/>
      <c r="CT85" s="2747"/>
      <c r="EC85" s="109"/>
      <c r="ED85" s="109"/>
      <c r="EE85" s="109"/>
      <c r="EF85" s="109"/>
      <c r="EG85" s="109"/>
      <c r="EH85" s="109"/>
      <c r="EI85" s="109"/>
      <c r="EJ85" s="109"/>
      <c r="EK85" s="109"/>
      <c r="EL85" s="109"/>
      <c r="EM85" s="109"/>
      <c r="EN85" s="109"/>
      <c r="EO85" s="109"/>
      <c r="EP85" s="109"/>
      <c r="EQ85" s="109"/>
      <c r="ER85" s="109"/>
      <c r="ES85" s="109"/>
      <c r="ET85" s="109"/>
      <c r="EU85" s="109"/>
      <c r="EV85" s="109"/>
    </row>
    <row r="86" spans="1:152" ht="8.85" customHeight="1">
      <c r="A86" s="2518">
        <v>37</v>
      </c>
      <c r="B86" s="2525"/>
      <c r="C86" s="2520"/>
      <c r="D86" s="2520"/>
      <c r="E86" s="2520"/>
      <c r="F86" s="2520"/>
      <c r="G86" s="2529"/>
      <c r="H86" s="2911">
        <v>0.125</v>
      </c>
      <c r="I86" s="2911"/>
      <c r="J86" s="2911"/>
      <c r="K86" s="2911"/>
      <c r="L86" s="2474"/>
      <c r="M86" s="2475"/>
      <c r="N86" s="2475"/>
      <c r="O86" s="2476"/>
      <c r="P86" s="2912">
        <v>0.16666666666666666</v>
      </c>
      <c r="Q86" s="2913"/>
      <c r="R86" s="2913"/>
      <c r="S86" s="2913"/>
      <c r="T86" s="2356"/>
      <c r="U86" s="2356"/>
      <c r="V86" s="2356"/>
      <c r="W86" s="2356"/>
      <c r="X86" s="2420"/>
      <c r="Y86" s="2421"/>
      <c r="Z86" s="2421"/>
      <c r="AA86" s="2421"/>
      <c r="AB86" s="2881" t="str">
        <f t="shared" ref="AB86" si="38">IF(L86="REJECTED",AB82,IF(X86="","",IF(N$22="","",N$22-X86)))</f>
        <v/>
      </c>
      <c r="AC86" s="2881"/>
      <c r="AD86" s="2881"/>
      <c r="AE86" s="2882"/>
      <c r="AF86" s="2440"/>
      <c r="AG86" s="2421"/>
      <c r="AH86" s="2421"/>
      <c r="AI86" s="2441"/>
      <c r="AJ86" s="2421"/>
      <c r="AK86" s="2421"/>
      <c r="AL86" s="2421"/>
      <c r="AM86" s="2483"/>
      <c r="AN86" s="2421"/>
      <c r="AO86" s="2421"/>
      <c r="AP86" s="2421"/>
      <c r="AQ86" s="2483"/>
      <c r="AR86" s="2420"/>
      <c r="AS86" s="2421"/>
      <c r="AT86" s="2421"/>
      <c r="AU86" s="2483"/>
      <c r="AV86" s="2356"/>
      <c r="AW86" s="2356"/>
      <c r="AX86" s="2356"/>
      <c r="AY86" s="2880"/>
      <c r="AZ86" s="2356"/>
      <c r="BA86" s="2356"/>
      <c r="BB86" s="2356"/>
      <c r="BC86" s="2880"/>
      <c r="BD86" s="2356"/>
      <c r="BE86" s="2356"/>
      <c r="BF86" s="2356"/>
      <c r="BG86" s="2880"/>
      <c r="BH86" s="2356"/>
      <c r="BI86" s="2356"/>
      <c r="BJ86" s="2356"/>
      <c r="BK86" s="2880"/>
      <c r="BL86" s="2885" t="str">
        <f t="shared" ref="BL86" si="39">IF(OR(L86="REJECTED",L86="Not Placed"),0,IF(AF86="","",SUM(AF86:AM89)-SUM(AN86:BK89)))</f>
        <v/>
      </c>
      <c r="BM86" s="2375"/>
      <c r="BN86" s="2375"/>
      <c r="BO86" s="2375"/>
      <c r="BP86" s="2375" t="str">
        <f t="shared" ref="BP86" si="40">IF(L86="REJECTED",BP82,IF(AF86="","",BP82+BL86))</f>
        <v/>
      </c>
      <c r="BQ86" s="2375"/>
      <c r="BR86" s="2375"/>
      <c r="BS86" s="2376"/>
      <c r="BT86" s="2368"/>
      <c r="BU86" s="2368"/>
      <c r="BV86" s="2368"/>
      <c r="BW86" s="2368"/>
      <c r="BX86" s="2368"/>
      <c r="BY86" s="2368"/>
      <c r="BZ86" s="2368"/>
      <c r="CA86" s="2368"/>
      <c r="CB86" s="2368"/>
      <c r="CC86" s="2368"/>
      <c r="CD86" s="2368"/>
      <c r="CE86" s="2368"/>
      <c r="CF86" s="2368"/>
      <c r="CG86" s="2368"/>
      <c r="CH86" s="2369"/>
      <c r="CI86" s="2886">
        <v>37</v>
      </c>
      <c r="CJ86" s="2886"/>
      <c r="CK86" s="2857" t="e">
        <f>'Concr. Curve'!BL19</f>
        <v>#DIV/0!</v>
      </c>
      <c r="CL86" s="2857"/>
      <c r="CM86" s="2857"/>
      <c r="CQ86" s="2967">
        <f t="shared" ref="CQ86" si="41">IF(OR(P86="",H86=""),"",MOD(P86-H86,1)*24*60)</f>
        <v>59.999999999999986</v>
      </c>
      <c r="CR86" s="2968"/>
      <c r="CS86" s="2968"/>
      <c r="CT86" s="2969"/>
      <c r="EC86" s="109"/>
      <c r="ED86" s="109"/>
      <c r="EE86" s="109"/>
      <c r="EF86" s="109"/>
      <c r="EG86" s="109"/>
      <c r="EH86" s="109"/>
      <c r="EI86" s="109"/>
      <c r="EJ86" s="109"/>
      <c r="EK86" s="109"/>
      <c r="EL86" s="109"/>
      <c r="EM86" s="109"/>
      <c r="EN86" s="109"/>
      <c r="EO86" s="109"/>
      <c r="EP86" s="109"/>
      <c r="EQ86" s="109"/>
      <c r="ER86" s="109"/>
      <c r="ES86" s="109"/>
      <c r="ET86" s="109"/>
      <c r="EU86" s="109"/>
      <c r="EV86" s="109"/>
    </row>
    <row r="87" spans="1:152" ht="8.85" customHeight="1">
      <c r="A87" s="2518"/>
      <c r="B87" s="2530"/>
      <c r="C87" s="2522"/>
      <c r="D87" s="2522"/>
      <c r="E87" s="2522"/>
      <c r="F87" s="2522"/>
      <c r="G87" s="2527"/>
      <c r="H87" s="2911"/>
      <c r="I87" s="2911"/>
      <c r="J87" s="2911"/>
      <c r="K87" s="2911"/>
      <c r="L87" s="2477"/>
      <c r="M87" s="2478"/>
      <c r="N87" s="2478"/>
      <c r="O87" s="2479"/>
      <c r="P87" s="2913"/>
      <c r="Q87" s="2913"/>
      <c r="R87" s="2913"/>
      <c r="S87" s="2913"/>
      <c r="T87" s="2356"/>
      <c r="U87" s="2356"/>
      <c r="V87" s="2356"/>
      <c r="W87" s="2356"/>
      <c r="X87" s="2422"/>
      <c r="Y87" s="2297"/>
      <c r="Z87" s="2297"/>
      <c r="AA87" s="2297"/>
      <c r="AB87" s="2881"/>
      <c r="AC87" s="2881"/>
      <c r="AD87" s="2881"/>
      <c r="AE87" s="2882"/>
      <c r="AF87" s="2446"/>
      <c r="AG87" s="2297"/>
      <c r="AH87" s="2297"/>
      <c r="AI87" s="2447"/>
      <c r="AJ87" s="2297"/>
      <c r="AK87" s="2297"/>
      <c r="AL87" s="2297"/>
      <c r="AM87" s="2451"/>
      <c r="AN87" s="2297"/>
      <c r="AO87" s="2297"/>
      <c r="AP87" s="2297"/>
      <c r="AQ87" s="2451"/>
      <c r="AR87" s="2422"/>
      <c r="AS87" s="2297"/>
      <c r="AT87" s="2297"/>
      <c r="AU87" s="2451"/>
      <c r="AV87" s="2356"/>
      <c r="AW87" s="2356"/>
      <c r="AX87" s="2356"/>
      <c r="AY87" s="2880"/>
      <c r="AZ87" s="2356"/>
      <c r="BA87" s="2356"/>
      <c r="BB87" s="2356"/>
      <c r="BC87" s="2880"/>
      <c r="BD87" s="2356"/>
      <c r="BE87" s="2356"/>
      <c r="BF87" s="2356"/>
      <c r="BG87" s="2880"/>
      <c r="BH87" s="2356"/>
      <c r="BI87" s="2356"/>
      <c r="BJ87" s="2356"/>
      <c r="BK87" s="2880"/>
      <c r="BL87" s="2885"/>
      <c r="BM87" s="2375"/>
      <c r="BN87" s="2375"/>
      <c r="BO87" s="2375"/>
      <c r="BP87" s="2375"/>
      <c r="BQ87" s="2375"/>
      <c r="BR87" s="2375"/>
      <c r="BS87" s="2376"/>
      <c r="BT87" s="2370"/>
      <c r="BU87" s="2370"/>
      <c r="BV87" s="2370"/>
      <c r="BW87" s="2370"/>
      <c r="BX87" s="2370"/>
      <c r="BY87" s="2370"/>
      <c r="BZ87" s="2370"/>
      <c r="CA87" s="2370"/>
      <c r="CB87" s="2370"/>
      <c r="CC87" s="2370"/>
      <c r="CD87" s="2370"/>
      <c r="CE87" s="2370"/>
      <c r="CF87" s="2370"/>
      <c r="CG87" s="2370"/>
      <c r="CH87" s="2371"/>
      <c r="CI87" s="2886"/>
      <c r="CJ87" s="2886"/>
      <c r="CK87" s="2857"/>
      <c r="CL87" s="2857"/>
      <c r="CM87" s="2857"/>
      <c r="CQ87" s="2742"/>
      <c r="CR87" s="2743"/>
      <c r="CS87" s="2743"/>
      <c r="CT87" s="2744"/>
      <c r="EC87" s="109"/>
      <c r="ED87" s="109"/>
      <c r="EE87" s="109"/>
      <c r="EF87" s="109"/>
      <c r="EG87" s="109"/>
      <c r="EH87" s="109"/>
      <c r="EI87" s="109"/>
      <c r="EJ87" s="109"/>
      <c r="EK87" s="109"/>
      <c r="EL87" s="109"/>
      <c r="EM87" s="109"/>
      <c r="EN87" s="109"/>
      <c r="EO87" s="109"/>
      <c r="EP87" s="109"/>
      <c r="EQ87" s="109"/>
      <c r="ER87" s="109"/>
      <c r="ES87" s="109"/>
      <c r="ET87" s="109"/>
      <c r="EU87" s="109"/>
      <c r="EV87" s="109"/>
    </row>
    <row r="88" spans="1:152" ht="8.85" customHeight="1">
      <c r="A88" s="2518"/>
      <c r="B88" s="2530"/>
      <c r="C88" s="2522"/>
      <c r="D88" s="2522"/>
      <c r="E88" s="2522"/>
      <c r="F88" s="2522"/>
      <c r="G88" s="2527"/>
      <c r="H88" s="2911"/>
      <c r="I88" s="2911"/>
      <c r="J88" s="2911"/>
      <c r="K88" s="2911"/>
      <c r="L88" s="2477"/>
      <c r="M88" s="2478"/>
      <c r="N88" s="2478"/>
      <c r="O88" s="2479"/>
      <c r="P88" s="2913"/>
      <c r="Q88" s="2913"/>
      <c r="R88" s="2913"/>
      <c r="S88" s="2913"/>
      <c r="T88" s="2356"/>
      <c r="U88" s="2356"/>
      <c r="V88" s="2356"/>
      <c r="W88" s="2356"/>
      <c r="X88" s="2422"/>
      <c r="Y88" s="2297"/>
      <c r="Z88" s="2297"/>
      <c r="AA88" s="2297"/>
      <c r="AB88" s="2881"/>
      <c r="AC88" s="2881"/>
      <c r="AD88" s="2881"/>
      <c r="AE88" s="2882"/>
      <c r="AF88" s="2446"/>
      <c r="AG88" s="2297"/>
      <c r="AH88" s="2297"/>
      <c r="AI88" s="2447"/>
      <c r="AJ88" s="2297"/>
      <c r="AK88" s="2297"/>
      <c r="AL88" s="2297"/>
      <c r="AM88" s="2451"/>
      <c r="AN88" s="2297"/>
      <c r="AO88" s="2297"/>
      <c r="AP88" s="2297"/>
      <c r="AQ88" s="2451"/>
      <c r="AR88" s="2422"/>
      <c r="AS88" s="2297"/>
      <c r="AT88" s="2297"/>
      <c r="AU88" s="2451"/>
      <c r="AV88" s="2356"/>
      <c r="AW88" s="2356"/>
      <c r="AX88" s="2356"/>
      <c r="AY88" s="2880"/>
      <c r="AZ88" s="2356"/>
      <c r="BA88" s="2356"/>
      <c r="BB88" s="2356"/>
      <c r="BC88" s="2880"/>
      <c r="BD88" s="2356"/>
      <c r="BE88" s="2356"/>
      <c r="BF88" s="2356"/>
      <c r="BG88" s="2880"/>
      <c r="BH88" s="2356"/>
      <c r="BI88" s="2356"/>
      <c r="BJ88" s="2356"/>
      <c r="BK88" s="2880"/>
      <c r="BL88" s="2885"/>
      <c r="BM88" s="2375"/>
      <c r="BN88" s="2375"/>
      <c r="BO88" s="2375"/>
      <c r="BP88" s="2375"/>
      <c r="BQ88" s="2375"/>
      <c r="BR88" s="2375"/>
      <c r="BS88" s="2376"/>
      <c r="BT88" s="2370"/>
      <c r="BU88" s="2370"/>
      <c r="BV88" s="2370"/>
      <c r="BW88" s="2370"/>
      <c r="BX88" s="2370"/>
      <c r="BY88" s="2370"/>
      <c r="BZ88" s="2370"/>
      <c r="CA88" s="2370"/>
      <c r="CB88" s="2370"/>
      <c r="CC88" s="2370"/>
      <c r="CD88" s="2370"/>
      <c r="CE88" s="2370"/>
      <c r="CF88" s="2370"/>
      <c r="CG88" s="2370"/>
      <c r="CH88" s="2371"/>
      <c r="CI88" s="2886"/>
      <c r="CJ88" s="2886"/>
      <c r="CK88" s="2857"/>
      <c r="CL88" s="2857"/>
      <c r="CM88" s="2857"/>
      <c r="CQ88" s="2742"/>
      <c r="CR88" s="2743"/>
      <c r="CS88" s="2743"/>
      <c r="CT88" s="2744"/>
      <c r="EC88" s="109"/>
      <c r="ED88" s="109"/>
      <c r="EE88" s="109"/>
      <c r="EF88" s="109"/>
      <c r="EG88" s="109"/>
      <c r="EH88" s="109"/>
      <c r="EI88" s="109"/>
      <c r="EJ88" s="109"/>
      <c r="EK88" s="109"/>
      <c r="EL88" s="109"/>
      <c r="EM88" s="109"/>
      <c r="EN88" s="109"/>
      <c r="EO88" s="109"/>
      <c r="EP88" s="109"/>
      <c r="EQ88" s="109"/>
      <c r="ER88" s="109"/>
      <c r="ES88" s="109"/>
      <c r="ET88" s="109"/>
      <c r="EU88" s="109"/>
      <c r="EV88" s="109"/>
    </row>
    <row r="89" spans="1:152" ht="8.85" customHeight="1">
      <c r="A89" s="2518"/>
      <c r="B89" s="2523"/>
      <c r="C89" s="2524"/>
      <c r="D89" s="2524"/>
      <c r="E89" s="2524"/>
      <c r="F89" s="2524"/>
      <c r="G89" s="2528"/>
      <c r="H89" s="2911"/>
      <c r="I89" s="2911"/>
      <c r="J89" s="2911"/>
      <c r="K89" s="2911"/>
      <c r="L89" s="2480"/>
      <c r="M89" s="2481"/>
      <c r="N89" s="2481"/>
      <c r="O89" s="2482"/>
      <c r="P89" s="2913"/>
      <c r="Q89" s="2913"/>
      <c r="R89" s="2913"/>
      <c r="S89" s="2913"/>
      <c r="T89" s="2356"/>
      <c r="U89" s="2356"/>
      <c r="V89" s="2356"/>
      <c r="W89" s="2356"/>
      <c r="X89" s="2439"/>
      <c r="Y89" s="2298"/>
      <c r="Z89" s="2298"/>
      <c r="AA89" s="2298"/>
      <c r="AB89" s="2881"/>
      <c r="AC89" s="2881"/>
      <c r="AD89" s="2881"/>
      <c r="AE89" s="2882"/>
      <c r="AF89" s="2444"/>
      <c r="AG89" s="2298"/>
      <c r="AH89" s="2298"/>
      <c r="AI89" s="2445"/>
      <c r="AJ89" s="2298"/>
      <c r="AK89" s="2298"/>
      <c r="AL89" s="2298"/>
      <c r="AM89" s="2452"/>
      <c r="AN89" s="2298"/>
      <c r="AO89" s="2298"/>
      <c r="AP89" s="2298"/>
      <c r="AQ89" s="2452"/>
      <c r="AR89" s="2439"/>
      <c r="AS89" s="2298"/>
      <c r="AT89" s="2298"/>
      <c r="AU89" s="2452"/>
      <c r="AV89" s="2356"/>
      <c r="AW89" s="2356"/>
      <c r="AX89" s="2356"/>
      <c r="AY89" s="2880"/>
      <c r="AZ89" s="2356"/>
      <c r="BA89" s="2356"/>
      <c r="BB89" s="2356"/>
      <c r="BC89" s="2880"/>
      <c r="BD89" s="2356"/>
      <c r="BE89" s="2356"/>
      <c r="BF89" s="2356"/>
      <c r="BG89" s="2880"/>
      <c r="BH89" s="2356"/>
      <c r="BI89" s="2356"/>
      <c r="BJ89" s="2356"/>
      <c r="BK89" s="2880"/>
      <c r="BL89" s="2885"/>
      <c r="BM89" s="2375"/>
      <c r="BN89" s="2375"/>
      <c r="BO89" s="2375"/>
      <c r="BP89" s="2375"/>
      <c r="BQ89" s="2375"/>
      <c r="BR89" s="2375"/>
      <c r="BS89" s="2376"/>
      <c r="BT89" s="2372"/>
      <c r="BU89" s="2372"/>
      <c r="BV89" s="2372"/>
      <c r="BW89" s="2372"/>
      <c r="BX89" s="2372"/>
      <c r="BY89" s="2372"/>
      <c r="BZ89" s="2372"/>
      <c r="CA89" s="2372"/>
      <c r="CB89" s="2372"/>
      <c r="CC89" s="2372"/>
      <c r="CD89" s="2372"/>
      <c r="CE89" s="2372"/>
      <c r="CF89" s="2372"/>
      <c r="CG89" s="2372"/>
      <c r="CH89" s="2373"/>
      <c r="CI89" s="2886"/>
      <c r="CJ89" s="2886"/>
      <c r="CK89" s="2857"/>
      <c r="CL89" s="2857"/>
      <c r="CM89" s="2857"/>
      <c r="CQ89" s="2745"/>
      <c r="CR89" s="2746"/>
      <c r="CS89" s="2746"/>
      <c r="CT89" s="2747"/>
      <c r="EC89" s="109"/>
      <c r="ED89" s="109"/>
      <c r="EE89" s="109"/>
      <c r="EF89" s="109"/>
      <c r="EG89" s="109"/>
      <c r="EH89" s="109"/>
      <c r="EI89" s="109"/>
      <c r="EJ89" s="109"/>
      <c r="EK89" s="109"/>
      <c r="EL89" s="109"/>
      <c r="EM89" s="109"/>
      <c r="EN89" s="109"/>
      <c r="EO89" s="109"/>
      <c r="EP89" s="109"/>
      <c r="EQ89" s="109"/>
      <c r="ER89" s="109"/>
      <c r="ES89" s="109"/>
      <c r="ET89" s="109"/>
      <c r="EU89" s="109"/>
      <c r="EV89" s="109"/>
    </row>
    <row r="90" spans="1:152" ht="8.85" customHeight="1">
      <c r="A90" s="2518">
        <v>38</v>
      </c>
      <c r="B90" s="2525"/>
      <c r="C90" s="2520"/>
      <c r="D90" s="2520"/>
      <c r="E90" s="2520"/>
      <c r="F90" s="2520"/>
      <c r="G90" s="2529"/>
      <c r="H90" s="2911">
        <v>0.16666666666666666</v>
      </c>
      <c r="I90" s="2911"/>
      <c r="J90" s="2911"/>
      <c r="K90" s="2911"/>
      <c r="L90" s="2474"/>
      <c r="M90" s="2475"/>
      <c r="N90" s="2475"/>
      <c r="O90" s="2476"/>
      <c r="P90" s="2912">
        <v>0.29166666666666669</v>
      </c>
      <c r="Q90" s="2913"/>
      <c r="R90" s="2913"/>
      <c r="S90" s="2913"/>
      <c r="T90" s="2356"/>
      <c r="U90" s="2356"/>
      <c r="V90" s="2356"/>
      <c r="W90" s="2356"/>
      <c r="X90" s="2420"/>
      <c r="Y90" s="2421"/>
      <c r="Z90" s="2421"/>
      <c r="AA90" s="2421"/>
      <c r="AB90" s="2881" t="str">
        <f t="shared" ref="AB90" si="42">IF(L90="REJECTED",AB86,IF(X90="","",IF(N$22="","",N$22-X90)))</f>
        <v/>
      </c>
      <c r="AC90" s="2881"/>
      <c r="AD90" s="2881"/>
      <c r="AE90" s="2882"/>
      <c r="AF90" s="2440"/>
      <c r="AG90" s="2421"/>
      <c r="AH90" s="2421"/>
      <c r="AI90" s="2441"/>
      <c r="AJ90" s="2421"/>
      <c r="AK90" s="2421"/>
      <c r="AL90" s="2421"/>
      <c r="AM90" s="2483"/>
      <c r="AN90" s="2421"/>
      <c r="AO90" s="2421"/>
      <c r="AP90" s="2421"/>
      <c r="AQ90" s="2483"/>
      <c r="AR90" s="2420"/>
      <c r="AS90" s="2421"/>
      <c r="AT90" s="2421"/>
      <c r="AU90" s="2483"/>
      <c r="AV90" s="2356"/>
      <c r="AW90" s="2356"/>
      <c r="AX90" s="2356"/>
      <c r="AY90" s="2880"/>
      <c r="AZ90" s="2356"/>
      <c r="BA90" s="2356"/>
      <c r="BB90" s="2356"/>
      <c r="BC90" s="2880"/>
      <c r="BD90" s="2356"/>
      <c r="BE90" s="2356"/>
      <c r="BF90" s="2356"/>
      <c r="BG90" s="2880"/>
      <c r="BH90" s="2356"/>
      <c r="BI90" s="2356"/>
      <c r="BJ90" s="2356"/>
      <c r="BK90" s="2880"/>
      <c r="BL90" s="2885" t="str">
        <f t="shared" ref="BL90" si="43">IF(OR(L90="REJECTED",L90="Not Placed"),0,IF(AF90="","",SUM(AF90:AM93)-SUM(AN90:BK93)))</f>
        <v/>
      </c>
      <c r="BM90" s="2375"/>
      <c r="BN90" s="2375"/>
      <c r="BO90" s="2375"/>
      <c r="BP90" s="2375" t="str">
        <f t="shared" ref="BP90" si="44">IF(L90="REJECTED",BP86,IF(AF90="","",BP86+BL90))</f>
        <v/>
      </c>
      <c r="BQ90" s="2375"/>
      <c r="BR90" s="2375"/>
      <c r="BS90" s="2376"/>
      <c r="BT90" s="2368"/>
      <c r="BU90" s="2368"/>
      <c r="BV90" s="2368"/>
      <c r="BW90" s="2368"/>
      <c r="BX90" s="2368"/>
      <c r="BY90" s="2368"/>
      <c r="BZ90" s="2368"/>
      <c r="CA90" s="2368"/>
      <c r="CB90" s="2368"/>
      <c r="CC90" s="2368"/>
      <c r="CD90" s="2368"/>
      <c r="CE90" s="2368"/>
      <c r="CF90" s="2368"/>
      <c r="CG90" s="2368"/>
      <c r="CH90" s="2369"/>
      <c r="CI90" s="2886">
        <v>38</v>
      </c>
      <c r="CJ90" s="2886"/>
      <c r="CK90" s="2857" t="e">
        <f>'Concr. Curve'!BL18</f>
        <v>#DIV/0!</v>
      </c>
      <c r="CL90" s="2857"/>
      <c r="CM90" s="2857"/>
      <c r="CQ90" s="2967">
        <f t="shared" ref="CQ90" si="45">IF(OR(P90="",H90=""),"",MOD(P90-H90,1)*24*60)</f>
        <v>180.00000000000006</v>
      </c>
      <c r="CR90" s="2968"/>
      <c r="CS90" s="2968"/>
      <c r="CT90" s="2969"/>
      <c r="EC90" s="109"/>
      <c r="ED90" s="109"/>
      <c r="EE90" s="109"/>
      <c r="EF90" s="109"/>
      <c r="EG90" s="109"/>
      <c r="EH90" s="109"/>
      <c r="EI90" s="109"/>
      <c r="EJ90" s="109"/>
      <c r="EK90" s="109"/>
      <c r="EL90" s="109"/>
      <c r="EM90" s="109"/>
      <c r="EN90" s="109"/>
      <c r="EO90" s="109"/>
      <c r="EP90" s="109"/>
      <c r="EQ90" s="109"/>
      <c r="ER90" s="109"/>
      <c r="ES90" s="109"/>
      <c r="ET90" s="109"/>
      <c r="EU90" s="109"/>
      <c r="EV90" s="109"/>
    </row>
    <row r="91" spans="1:152" ht="8.85" customHeight="1">
      <c r="A91" s="2518"/>
      <c r="B91" s="2530"/>
      <c r="C91" s="2522"/>
      <c r="D91" s="2522"/>
      <c r="E91" s="2522"/>
      <c r="F91" s="2522"/>
      <c r="G91" s="2527"/>
      <c r="H91" s="2911"/>
      <c r="I91" s="2911"/>
      <c r="J91" s="2911"/>
      <c r="K91" s="2911"/>
      <c r="L91" s="2477"/>
      <c r="M91" s="2478"/>
      <c r="N91" s="2478"/>
      <c r="O91" s="2479"/>
      <c r="P91" s="2913"/>
      <c r="Q91" s="2913"/>
      <c r="R91" s="2913"/>
      <c r="S91" s="2913"/>
      <c r="T91" s="2356"/>
      <c r="U91" s="2356"/>
      <c r="V91" s="2356"/>
      <c r="W91" s="2356"/>
      <c r="X91" s="2422"/>
      <c r="Y91" s="2297"/>
      <c r="Z91" s="2297"/>
      <c r="AA91" s="2297"/>
      <c r="AB91" s="2881"/>
      <c r="AC91" s="2881"/>
      <c r="AD91" s="2881"/>
      <c r="AE91" s="2882"/>
      <c r="AF91" s="2446"/>
      <c r="AG91" s="2297"/>
      <c r="AH91" s="2297"/>
      <c r="AI91" s="2447"/>
      <c r="AJ91" s="2297"/>
      <c r="AK91" s="2297"/>
      <c r="AL91" s="2297"/>
      <c r="AM91" s="2451"/>
      <c r="AN91" s="2297"/>
      <c r="AO91" s="2297"/>
      <c r="AP91" s="2297"/>
      <c r="AQ91" s="2451"/>
      <c r="AR91" s="2422"/>
      <c r="AS91" s="2297"/>
      <c r="AT91" s="2297"/>
      <c r="AU91" s="2451"/>
      <c r="AV91" s="2356"/>
      <c r="AW91" s="2356"/>
      <c r="AX91" s="2356"/>
      <c r="AY91" s="2880"/>
      <c r="AZ91" s="2356"/>
      <c r="BA91" s="2356"/>
      <c r="BB91" s="2356"/>
      <c r="BC91" s="2880"/>
      <c r="BD91" s="2356"/>
      <c r="BE91" s="2356"/>
      <c r="BF91" s="2356"/>
      <c r="BG91" s="2880"/>
      <c r="BH91" s="2356"/>
      <c r="BI91" s="2356"/>
      <c r="BJ91" s="2356"/>
      <c r="BK91" s="2880"/>
      <c r="BL91" s="2885"/>
      <c r="BM91" s="2375"/>
      <c r="BN91" s="2375"/>
      <c r="BO91" s="2375"/>
      <c r="BP91" s="2375"/>
      <c r="BQ91" s="2375"/>
      <c r="BR91" s="2375"/>
      <c r="BS91" s="2376"/>
      <c r="BT91" s="2370"/>
      <c r="BU91" s="2370"/>
      <c r="BV91" s="2370"/>
      <c r="BW91" s="2370"/>
      <c r="BX91" s="2370"/>
      <c r="BY91" s="2370"/>
      <c r="BZ91" s="2370"/>
      <c r="CA91" s="2370"/>
      <c r="CB91" s="2370"/>
      <c r="CC91" s="2370"/>
      <c r="CD91" s="2370"/>
      <c r="CE91" s="2370"/>
      <c r="CF91" s="2370"/>
      <c r="CG91" s="2370"/>
      <c r="CH91" s="2371"/>
      <c r="CI91" s="2886"/>
      <c r="CJ91" s="2886"/>
      <c r="CK91" s="2857"/>
      <c r="CL91" s="2857"/>
      <c r="CM91" s="2857"/>
      <c r="CQ91" s="2742"/>
      <c r="CR91" s="2743"/>
      <c r="CS91" s="2743"/>
      <c r="CT91" s="2744"/>
      <c r="EC91" s="109"/>
      <c r="ED91" s="109"/>
      <c r="EE91" s="109"/>
      <c r="EF91" s="109"/>
      <c r="EG91" s="109"/>
      <c r="EH91" s="109"/>
      <c r="EI91" s="109"/>
      <c r="EJ91" s="109"/>
      <c r="EK91" s="109"/>
      <c r="EL91" s="109"/>
      <c r="EM91" s="109"/>
      <c r="EN91" s="109"/>
      <c r="EO91" s="109"/>
      <c r="EP91" s="109"/>
      <c r="EQ91" s="109"/>
      <c r="ER91" s="109"/>
      <c r="ES91" s="109"/>
      <c r="ET91" s="109"/>
      <c r="EU91" s="109"/>
      <c r="EV91" s="109"/>
    </row>
    <row r="92" spans="1:152" ht="8.85" customHeight="1">
      <c r="A92" s="2518"/>
      <c r="B92" s="2530"/>
      <c r="C92" s="2522"/>
      <c r="D92" s="2522"/>
      <c r="E92" s="2522"/>
      <c r="F92" s="2522"/>
      <c r="G92" s="2527"/>
      <c r="H92" s="2911"/>
      <c r="I92" s="2911"/>
      <c r="J92" s="2911"/>
      <c r="K92" s="2911"/>
      <c r="L92" s="2477"/>
      <c r="M92" s="2478"/>
      <c r="N92" s="2478"/>
      <c r="O92" s="2479"/>
      <c r="P92" s="2913"/>
      <c r="Q92" s="2913"/>
      <c r="R92" s="2913"/>
      <c r="S92" s="2913"/>
      <c r="T92" s="2356"/>
      <c r="U92" s="2356"/>
      <c r="V92" s="2356"/>
      <c r="W92" s="2356"/>
      <c r="X92" s="2422"/>
      <c r="Y92" s="2297"/>
      <c r="Z92" s="2297"/>
      <c r="AA92" s="2297"/>
      <c r="AB92" s="2881"/>
      <c r="AC92" s="2881"/>
      <c r="AD92" s="2881"/>
      <c r="AE92" s="2882"/>
      <c r="AF92" s="2446"/>
      <c r="AG92" s="2297"/>
      <c r="AH92" s="2297"/>
      <c r="AI92" s="2447"/>
      <c r="AJ92" s="2297"/>
      <c r="AK92" s="2297"/>
      <c r="AL92" s="2297"/>
      <c r="AM92" s="2451"/>
      <c r="AN92" s="2297"/>
      <c r="AO92" s="2297"/>
      <c r="AP92" s="2297"/>
      <c r="AQ92" s="2451"/>
      <c r="AR92" s="2422"/>
      <c r="AS92" s="2297"/>
      <c r="AT92" s="2297"/>
      <c r="AU92" s="2451"/>
      <c r="AV92" s="2356"/>
      <c r="AW92" s="2356"/>
      <c r="AX92" s="2356"/>
      <c r="AY92" s="2880"/>
      <c r="AZ92" s="2356"/>
      <c r="BA92" s="2356"/>
      <c r="BB92" s="2356"/>
      <c r="BC92" s="2880"/>
      <c r="BD92" s="2356"/>
      <c r="BE92" s="2356"/>
      <c r="BF92" s="2356"/>
      <c r="BG92" s="2880"/>
      <c r="BH92" s="2356"/>
      <c r="BI92" s="2356"/>
      <c r="BJ92" s="2356"/>
      <c r="BK92" s="2880"/>
      <c r="BL92" s="2885"/>
      <c r="BM92" s="2375"/>
      <c r="BN92" s="2375"/>
      <c r="BO92" s="2375"/>
      <c r="BP92" s="2375"/>
      <c r="BQ92" s="2375"/>
      <c r="BR92" s="2375"/>
      <c r="BS92" s="2376"/>
      <c r="BT92" s="2370"/>
      <c r="BU92" s="2370"/>
      <c r="BV92" s="2370"/>
      <c r="BW92" s="2370"/>
      <c r="BX92" s="2370"/>
      <c r="BY92" s="2370"/>
      <c r="BZ92" s="2370"/>
      <c r="CA92" s="2370"/>
      <c r="CB92" s="2370"/>
      <c r="CC92" s="2370"/>
      <c r="CD92" s="2370"/>
      <c r="CE92" s="2370"/>
      <c r="CF92" s="2370"/>
      <c r="CG92" s="2370"/>
      <c r="CH92" s="2371"/>
      <c r="CI92" s="2886"/>
      <c r="CJ92" s="2886"/>
      <c r="CK92" s="2857"/>
      <c r="CL92" s="2857"/>
      <c r="CM92" s="2857"/>
      <c r="CQ92" s="2742"/>
      <c r="CR92" s="2743"/>
      <c r="CS92" s="2743"/>
      <c r="CT92" s="2744"/>
      <c r="EC92" s="109"/>
      <c r="ED92" s="109"/>
      <c r="EE92" s="109"/>
      <c r="EF92" s="109"/>
      <c r="EG92" s="109"/>
      <c r="EH92" s="109"/>
      <c r="EI92" s="109"/>
      <c r="EJ92" s="109"/>
      <c r="EK92" s="109"/>
      <c r="EL92" s="109"/>
      <c r="EM92" s="109"/>
      <c r="EN92" s="109"/>
      <c r="EO92" s="109"/>
      <c r="EP92" s="109"/>
      <c r="EQ92" s="109"/>
      <c r="ER92" s="109"/>
      <c r="ES92" s="109"/>
      <c r="ET92" s="109"/>
      <c r="EU92" s="109"/>
      <c r="EV92" s="109"/>
    </row>
    <row r="93" spans="1:152" ht="8.85" customHeight="1">
      <c r="A93" s="2518"/>
      <c r="B93" s="2523"/>
      <c r="C93" s="2524"/>
      <c r="D93" s="2524"/>
      <c r="E93" s="2524"/>
      <c r="F93" s="2524"/>
      <c r="G93" s="2528"/>
      <c r="H93" s="2911"/>
      <c r="I93" s="2911"/>
      <c r="J93" s="2911"/>
      <c r="K93" s="2911"/>
      <c r="L93" s="2480"/>
      <c r="M93" s="2481"/>
      <c r="N93" s="2481"/>
      <c r="O93" s="2482"/>
      <c r="P93" s="2913"/>
      <c r="Q93" s="2913"/>
      <c r="R93" s="2913"/>
      <c r="S93" s="2913"/>
      <c r="T93" s="2356"/>
      <c r="U93" s="2356"/>
      <c r="V93" s="2356"/>
      <c r="W93" s="2356"/>
      <c r="X93" s="2439"/>
      <c r="Y93" s="2298"/>
      <c r="Z93" s="2298"/>
      <c r="AA93" s="2298"/>
      <c r="AB93" s="2881"/>
      <c r="AC93" s="2881"/>
      <c r="AD93" s="2881"/>
      <c r="AE93" s="2882"/>
      <c r="AF93" s="2444"/>
      <c r="AG93" s="2298"/>
      <c r="AH93" s="2298"/>
      <c r="AI93" s="2445"/>
      <c r="AJ93" s="2298"/>
      <c r="AK93" s="2298"/>
      <c r="AL93" s="2298"/>
      <c r="AM93" s="2452"/>
      <c r="AN93" s="2298"/>
      <c r="AO93" s="2298"/>
      <c r="AP93" s="2298"/>
      <c r="AQ93" s="2452"/>
      <c r="AR93" s="2439"/>
      <c r="AS93" s="2298"/>
      <c r="AT93" s="2298"/>
      <c r="AU93" s="2452"/>
      <c r="AV93" s="2356"/>
      <c r="AW93" s="2356"/>
      <c r="AX93" s="2356"/>
      <c r="AY93" s="2880"/>
      <c r="AZ93" s="2356"/>
      <c r="BA93" s="2356"/>
      <c r="BB93" s="2356"/>
      <c r="BC93" s="2880"/>
      <c r="BD93" s="2356"/>
      <c r="BE93" s="2356"/>
      <c r="BF93" s="2356"/>
      <c r="BG93" s="2880"/>
      <c r="BH93" s="2356"/>
      <c r="BI93" s="2356"/>
      <c r="BJ93" s="2356"/>
      <c r="BK93" s="2880"/>
      <c r="BL93" s="2885"/>
      <c r="BM93" s="2375"/>
      <c r="BN93" s="2375"/>
      <c r="BO93" s="2375"/>
      <c r="BP93" s="2375"/>
      <c r="BQ93" s="2375"/>
      <c r="BR93" s="2375"/>
      <c r="BS93" s="2376"/>
      <c r="BT93" s="2372"/>
      <c r="BU93" s="2372"/>
      <c r="BV93" s="2372"/>
      <c r="BW93" s="2372"/>
      <c r="BX93" s="2372"/>
      <c r="BY93" s="2372"/>
      <c r="BZ93" s="2372"/>
      <c r="CA93" s="2372"/>
      <c r="CB93" s="2372"/>
      <c r="CC93" s="2372"/>
      <c r="CD93" s="2372"/>
      <c r="CE93" s="2372"/>
      <c r="CF93" s="2372"/>
      <c r="CG93" s="2372"/>
      <c r="CH93" s="2373"/>
      <c r="CI93" s="2886"/>
      <c r="CJ93" s="2886"/>
      <c r="CK93" s="2857"/>
      <c r="CL93" s="2857"/>
      <c r="CM93" s="2857"/>
      <c r="CQ93" s="2745"/>
      <c r="CR93" s="2746"/>
      <c r="CS93" s="2746"/>
      <c r="CT93" s="2747"/>
      <c r="EC93" s="109"/>
      <c r="ED93" s="109"/>
      <c r="EE93" s="109"/>
      <c r="EF93" s="109"/>
      <c r="EG93" s="109"/>
      <c r="EH93" s="109"/>
      <c r="EI93" s="109"/>
      <c r="EJ93" s="109"/>
      <c r="EK93" s="109"/>
      <c r="EL93" s="109"/>
      <c r="EM93" s="109"/>
      <c r="EN93" s="109"/>
      <c r="EO93" s="109"/>
      <c r="EP93" s="109"/>
      <c r="EQ93" s="109"/>
      <c r="ER93" s="109"/>
      <c r="ES93" s="109"/>
      <c r="ET93" s="109"/>
      <c r="EU93" s="109"/>
      <c r="EV93" s="109"/>
    </row>
    <row r="94" spans="1:152" ht="8.85" customHeight="1">
      <c r="A94" s="2518">
        <v>39</v>
      </c>
      <c r="B94" s="2525"/>
      <c r="C94" s="2520"/>
      <c r="D94" s="2520"/>
      <c r="E94" s="2520"/>
      <c r="F94" s="2520"/>
      <c r="G94" s="2529"/>
      <c r="H94" s="2911">
        <v>0.20833333333333334</v>
      </c>
      <c r="I94" s="2911"/>
      <c r="J94" s="2911"/>
      <c r="K94" s="2911"/>
      <c r="L94" s="2474"/>
      <c r="M94" s="2475"/>
      <c r="N94" s="2475"/>
      <c r="O94" s="2476"/>
      <c r="P94" s="2912">
        <v>0.29166666666666669</v>
      </c>
      <c r="Q94" s="2913"/>
      <c r="R94" s="2913"/>
      <c r="S94" s="2913"/>
      <c r="T94" s="2356"/>
      <c r="U94" s="2356"/>
      <c r="V94" s="2356"/>
      <c r="W94" s="2356"/>
      <c r="X94" s="2420"/>
      <c r="Y94" s="2421"/>
      <c r="Z94" s="2421"/>
      <c r="AA94" s="2421"/>
      <c r="AB94" s="2881" t="str">
        <f t="shared" ref="AB94" si="46">IF(L94="REJECTED",AB90,IF(X94="","",IF(N$22="","",N$22-X94)))</f>
        <v/>
      </c>
      <c r="AC94" s="2881"/>
      <c r="AD94" s="2881"/>
      <c r="AE94" s="2882"/>
      <c r="AF94" s="2440"/>
      <c r="AG94" s="2421"/>
      <c r="AH94" s="2421"/>
      <c r="AI94" s="2441"/>
      <c r="AJ94" s="2421"/>
      <c r="AK94" s="2421"/>
      <c r="AL94" s="2421"/>
      <c r="AM94" s="2483"/>
      <c r="AN94" s="2421"/>
      <c r="AO94" s="2421"/>
      <c r="AP94" s="2421"/>
      <c r="AQ94" s="2483"/>
      <c r="AR94" s="2420"/>
      <c r="AS94" s="2421"/>
      <c r="AT94" s="2421"/>
      <c r="AU94" s="2483"/>
      <c r="AV94" s="2356"/>
      <c r="AW94" s="2356"/>
      <c r="AX94" s="2356"/>
      <c r="AY94" s="2880"/>
      <c r="AZ94" s="2356"/>
      <c r="BA94" s="2356"/>
      <c r="BB94" s="2356"/>
      <c r="BC94" s="2880"/>
      <c r="BD94" s="2356"/>
      <c r="BE94" s="2356"/>
      <c r="BF94" s="2356"/>
      <c r="BG94" s="2880"/>
      <c r="BH94" s="2356"/>
      <c r="BI94" s="2356"/>
      <c r="BJ94" s="2356"/>
      <c r="BK94" s="2880"/>
      <c r="BL94" s="2885" t="str">
        <f t="shared" ref="BL94" si="47">IF(OR(L94="REJECTED",L94="Not Placed"),0,IF(AF94="","",SUM(AF94:AM97)-SUM(AN94:BK97)))</f>
        <v/>
      </c>
      <c r="BM94" s="2375"/>
      <c r="BN94" s="2375"/>
      <c r="BO94" s="2375"/>
      <c r="BP94" s="2375" t="str">
        <f t="shared" ref="BP94" si="48">IF(L94="REJECTED",BP90,IF(AF94="","",BP90+BL94))</f>
        <v/>
      </c>
      <c r="BQ94" s="2375"/>
      <c r="BR94" s="2375"/>
      <c r="BS94" s="2376"/>
      <c r="BT94" s="2368"/>
      <c r="BU94" s="2368"/>
      <c r="BV94" s="2368"/>
      <c r="BW94" s="2368"/>
      <c r="BX94" s="2368"/>
      <c r="BY94" s="2368"/>
      <c r="BZ94" s="2368"/>
      <c r="CA94" s="2368"/>
      <c r="CB94" s="2368"/>
      <c r="CC94" s="2368"/>
      <c r="CD94" s="2368"/>
      <c r="CE94" s="2368"/>
      <c r="CF94" s="2368"/>
      <c r="CG94" s="2368"/>
      <c r="CH94" s="2369"/>
      <c r="CI94" s="2886">
        <v>39</v>
      </c>
      <c r="CJ94" s="2886"/>
      <c r="CK94" s="2857" t="e">
        <f>'Concr. Curve'!BL17</f>
        <v>#DIV/0!</v>
      </c>
      <c r="CL94" s="2857"/>
      <c r="CM94" s="2857"/>
      <c r="CQ94" s="2967">
        <f t="shared" ref="CQ94" si="49">IF(OR(P94="",H94=""),"",MOD(P94-H94,1)*24*60)</f>
        <v>120</v>
      </c>
      <c r="CR94" s="2968"/>
      <c r="CS94" s="2968"/>
      <c r="CT94" s="2969"/>
      <c r="EC94" s="109"/>
      <c r="ED94" s="109"/>
      <c r="EE94" s="109"/>
      <c r="EF94" s="109"/>
      <c r="EG94" s="109"/>
      <c r="EH94" s="109"/>
      <c r="EI94" s="109"/>
      <c r="EJ94" s="109"/>
      <c r="EK94" s="109"/>
      <c r="EL94" s="109"/>
      <c r="EM94" s="109"/>
      <c r="EN94" s="109"/>
      <c r="EO94" s="109"/>
      <c r="EP94" s="109"/>
      <c r="EQ94" s="109"/>
      <c r="ER94" s="109"/>
      <c r="ES94" s="109"/>
      <c r="ET94" s="109"/>
      <c r="EU94" s="109"/>
      <c r="EV94" s="109"/>
    </row>
    <row r="95" spans="1:152" ht="8.85" customHeight="1">
      <c r="A95" s="2518"/>
      <c r="B95" s="2530"/>
      <c r="C95" s="2522"/>
      <c r="D95" s="2522"/>
      <c r="E95" s="2522"/>
      <c r="F95" s="2522"/>
      <c r="G95" s="2527"/>
      <c r="H95" s="2911"/>
      <c r="I95" s="2911"/>
      <c r="J95" s="2911"/>
      <c r="K95" s="2911"/>
      <c r="L95" s="2477"/>
      <c r="M95" s="2478"/>
      <c r="N95" s="2478"/>
      <c r="O95" s="2479"/>
      <c r="P95" s="2913"/>
      <c r="Q95" s="2913"/>
      <c r="R95" s="2913"/>
      <c r="S95" s="2913"/>
      <c r="T95" s="2356"/>
      <c r="U95" s="2356"/>
      <c r="V95" s="2356"/>
      <c r="W95" s="2356"/>
      <c r="X95" s="2422"/>
      <c r="Y95" s="2297"/>
      <c r="Z95" s="2297"/>
      <c r="AA95" s="2297"/>
      <c r="AB95" s="2881"/>
      <c r="AC95" s="2881"/>
      <c r="AD95" s="2881"/>
      <c r="AE95" s="2882"/>
      <c r="AF95" s="2446"/>
      <c r="AG95" s="2297"/>
      <c r="AH95" s="2297"/>
      <c r="AI95" s="2447"/>
      <c r="AJ95" s="2297"/>
      <c r="AK95" s="2297"/>
      <c r="AL95" s="2297"/>
      <c r="AM95" s="2451"/>
      <c r="AN95" s="2297"/>
      <c r="AO95" s="2297"/>
      <c r="AP95" s="2297"/>
      <c r="AQ95" s="2451"/>
      <c r="AR95" s="2422"/>
      <c r="AS95" s="2297"/>
      <c r="AT95" s="2297"/>
      <c r="AU95" s="2451"/>
      <c r="AV95" s="2356"/>
      <c r="AW95" s="2356"/>
      <c r="AX95" s="2356"/>
      <c r="AY95" s="2880"/>
      <c r="AZ95" s="2356"/>
      <c r="BA95" s="2356"/>
      <c r="BB95" s="2356"/>
      <c r="BC95" s="2880"/>
      <c r="BD95" s="2356"/>
      <c r="BE95" s="2356"/>
      <c r="BF95" s="2356"/>
      <c r="BG95" s="2880"/>
      <c r="BH95" s="2356"/>
      <c r="BI95" s="2356"/>
      <c r="BJ95" s="2356"/>
      <c r="BK95" s="2880"/>
      <c r="BL95" s="2885"/>
      <c r="BM95" s="2375"/>
      <c r="BN95" s="2375"/>
      <c r="BO95" s="2375"/>
      <c r="BP95" s="2375"/>
      <c r="BQ95" s="2375"/>
      <c r="BR95" s="2375"/>
      <c r="BS95" s="2376"/>
      <c r="BT95" s="2370"/>
      <c r="BU95" s="2370"/>
      <c r="BV95" s="2370"/>
      <c r="BW95" s="2370"/>
      <c r="BX95" s="2370"/>
      <c r="BY95" s="2370"/>
      <c r="BZ95" s="2370"/>
      <c r="CA95" s="2370"/>
      <c r="CB95" s="2370"/>
      <c r="CC95" s="2370"/>
      <c r="CD95" s="2370"/>
      <c r="CE95" s="2370"/>
      <c r="CF95" s="2370"/>
      <c r="CG95" s="2370"/>
      <c r="CH95" s="2371"/>
      <c r="CI95" s="2886"/>
      <c r="CJ95" s="2886"/>
      <c r="CK95" s="2857"/>
      <c r="CL95" s="2857"/>
      <c r="CM95" s="2857"/>
      <c r="CQ95" s="2742"/>
      <c r="CR95" s="2743"/>
      <c r="CS95" s="2743"/>
      <c r="CT95" s="2744"/>
      <c r="EC95" s="109"/>
      <c r="ED95" s="109"/>
      <c r="EE95" s="109"/>
      <c r="EF95" s="109"/>
      <c r="EG95" s="109"/>
      <c r="EH95" s="109"/>
      <c r="EI95" s="109"/>
      <c r="EJ95" s="109"/>
      <c r="EK95" s="109"/>
      <c r="EL95" s="109"/>
      <c r="EM95" s="109"/>
      <c r="EN95" s="109"/>
      <c r="EO95" s="109"/>
      <c r="EP95" s="109"/>
      <c r="EQ95" s="109"/>
      <c r="ER95" s="109"/>
      <c r="ES95" s="109"/>
      <c r="ET95" s="109"/>
      <c r="EU95" s="109"/>
      <c r="EV95" s="109"/>
    </row>
    <row r="96" spans="1:152" ht="8.85" customHeight="1">
      <c r="A96" s="2518"/>
      <c r="B96" s="2530"/>
      <c r="C96" s="2522"/>
      <c r="D96" s="2522"/>
      <c r="E96" s="2522"/>
      <c r="F96" s="2522"/>
      <c r="G96" s="2527"/>
      <c r="H96" s="2911"/>
      <c r="I96" s="2911"/>
      <c r="J96" s="2911"/>
      <c r="K96" s="2911"/>
      <c r="L96" s="2477"/>
      <c r="M96" s="2478"/>
      <c r="N96" s="2478"/>
      <c r="O96" s="2479"/>
      <c r="P96" s="2913"/>
      <c r="Q96" s="2913"/>
      <c r="R96" s="2913"/>
      <c r="S96" s="2913"/>
      <c r="T96" s="2356"/>
      <c r="U96" s="2356"/>
      <c r="V96" s="2356"/>
      <c r="W96" s="2356"/>
      <c r="X96" s="2422"/>
      <c r="Y96" s="2297"/>
      <c r="Z96" s="2297"/>
      <c r="AA96" s="2297"/>
      <c r="AB96" s="2881"/>
      <c r="AC96" s="2881"/>
      <c r="AD96" s="2881"/>
      <c r="AE96" s="2882"/>
      <c r="AF96" s="2446"/>
      <c r="AG96" s="2297"/>
      <c r="AH96" s="2297"/>
      <c r="AI96" s="2447"/>
      <c r="AJ96" s="2297"/>
      <c r="AK96" s="2297"/>
      <c r="AL96" s="2297"/>
      <c r="AM96" s="2451"/>
      <c r="AN96" s="2297"/>
      <c r="AO96" s="2297"/>
      <c r="AP96" s="2297"/>
      <c r="AQ96" s="2451"/>
      <c r="AR96" s="2422"/>
      <c r="AS96" s="2297"/>
      <c r="AT96" s="2297"/>
      <c r="AU96" s="2451"/>
      <c r="AV96" s="2356"/>
      <c r="AW96" s="2356"/>
      <c r="AX96" s="2356"/>
      <c r="AY96" s="2880"/>
      <c r="AZ96" s="2356"/>
      <c r="BA96" s="2356"/>
      <c r="BB96" s="2356"/>
      <c r="BC96" s="2880"/>
      <c r="BD96" s="2356"/>
      <c r="BE96" s="2356"/>
      <c r="BF96" s="2356"/>
      <c r="BG96" s="2880"/>
      <c r="BH96" s="2356"/>
      <c r="BI96" s="2356"/>
      <c r="BJ96" s="2356"/>
      <c r="BK96" s="2880"/>
      <c r="BL96" s="2885"/>
      <c r="BM96" s="2375"/>
      <c r="BN96" s="2375"/>
      <c r="BO96" s="2375"/>
      <c r="BP96" s="2375"/>
      <c r="BQ96" s="2375"/>
      <c r="BR96" s="2375"/>
      <c r="BS96" s="2376"/>
      <c r="BT96" s="2370"/>
      <c r="BU96" s="2370"/>
      <c r="BV96" s="2370"/>
      <c r="BW96" s="2370"/>
      <c r="BX96" s="2370"/>
      <c r="BY96" s="2370"/>
      <c r="BZ96" s="2370"/>
      <c r="CA96" s="2370"/>
      <c r="CB96" s="2370"/>
      <c r="CC96" s="2370"/>
      <c r="CD96" s="2370"/>
      <c r="CE96" s="2370"/>
      <c r="CF96" s="2370"/>
      <c r="CG96" s="2370"/>
      <c r="CH96" s="2371"/>
      <c r="CI96" s="2886"/>
      <c r="CJ96" s="2886"/>
      <c r="CK96" s="2857"/>
      <c r="CL96" s="2857"/>
      <c r="CM96" s="2857"/>
      <c r="CQ96" s="2742"/>
      <c r="CR96" s="2743"/>
      <c r="CS96" s="2743"/>
      <c r="CT96" s="2744"/>
      <c r="EC96" s="109"/>
      <c r="ED96" s="109"/>
      <c r="EE96" s="109"/>
      <c r="EF96" s="109"/>
      <c r="EG96" s="109"/>
      <c r="EH96" s="109"/>
      <c r="EI96" s="109"/>
      <c r="EJ96" s="109"/>
      <c r="EK96" s="109"/>
      <c r="EL96" s="109"/>
      <c r="EM96" s="109"/>
      <c r="EN96" s="109"/>
      <c r="EO96" s="109"/>
      <c r="EP96" s="109"/>
      <c r="EQ96" s="109"/>
      <c r="ER96" s="109"/>
      <c r="ES96" s="109"/>
      <c r="ET96" s="109"/>
      <c r="EU96" s="109"/>
      <c r="EV96" s="109"/>
    </row>
    <row r="97" spans="1:152" ht="8.85" customHeight="1">
      <c r="A97" s="2518"/>
      <c r="B97" s="2523"/>
      <c r="C97" s="2524"/>
      <c r="D97" s="2524"/>
      <c r="E97" s="2524"/>
      <c r="F97" s="2524"/>
      <c r="G97" s="2528"/>
      <c r="H97" s="2911"/>
      <c r="I97" s="2911"/>
      <c r="J97" s="2911"/>
      <c r="K97" s="2911"/>
      <c r="L97" s="2480"/>
      <c r="M97" s="2481"/>
      <c r="N97" s="2481"/>
      <c r="O97" s="2482"/>
      <c r="P97" s="2913"/>
      <c r="Q97" s="2913"/>
      <c r="R97" s="2913"/>
      <c r="S97" s="2913"/>
      <c r="T97" s="2356"/>
      <c r="U97" s="2356"/>
      <c r="V97" s="2356"/>
      <c r="W97" s="2356"/>
      <c r="X97" s="2439"/>
      <c r="Y97" s="2298"/>
      <c r="Z97" s="2298"/>
      <c r="AA97" s="2298"/>
      <c r="AB97" s="2881"/>
      <c r="AC97" s="2881"/>
      <c r="AD97" s="2881"/>
      <c r="AE97" s="2882"/>
      <c r="AF97" s="2444"/>
      <c r="AG97" s="2298"/>
      <c r="AH97" s="2298"/>
      <c r="AI97" s="2445"/>
      <c r="AJ97" s="2298"/>
      <c r="AK97" s="2298"/>
      <c r="AL97" s="2298"/>
      <c r="AM97" s="2452"/>
      <c r="AN97" s="2298"/>
      <c r="AO97" s="2298"/>
      <c r="AP97" s="2298"/>
      <c r="AQ97" s="2452"/>
      <c r="AR97" s="2439"/>
      <c r="AS97" s="2298"/>
      <c r="AT97" s="2298"/>
      <c r="AU97" s="2452"/>
      <c r="AV97" s="2356"/>
      <c r="AW97" s="2356"/>
      <c r="AX97" s="2356"/>
      <c r="AY97" s="2880"/>
      <c r="AZ97" s="2356"/>
      <c r="BA97" s="2356"/>
      <c r="BB97" s="2356"/>
      <c r="BC97" s="2880"/>
      <c r="BD97" s="2356"/>
      <c r="BE97" s="2356"/>
      <c r="BF97" s="2356"/>
      <c r="BG97" s="2880"/>
      <c r="BH97" s="2356"/>
      <c r="BI97" s="2356"/>
      <c r="BJ97" s="2356"/>
      <c r="BK97" s="2880"/>
      <c r="BL97" s="2885"/>
      <c r="BM97" s="2375"/>
      <c r="BN97" s="2375"/>
      <c r="BO97" s="2375"/>
      <c r="BP97" s="2375"/>
      <c r="BQ97" s="2375"/>
      <c r="BR97" s="2375"/>
      <c r="BS97" s="2376"/>
      <c r="BT97" s="2372"/>
      <c r="BU97" s="2372"/>
      <c r="BV97" s="2372"/>
      <c r="BW97" s="2372"/>
      <c r="BX97" s="2372"/>
      <c r="BY97" s="2372"/>
      <c r="BZ97" s="2372"/>
      <c r="CA97" s="2372"/>
      <c r="CB97" s="2372"/>
      <c r="CC97" s="2372"/>
      <c r="CD97" s="2372"/>
      <c r="CE97" s="2372"/>
      <c r="CF97" s="2372"/>
      <c r="CG97" s="2372"/>
      <c r="CH97" s="2373"/>
      <c r="CI97" s="2886"/>
      <c r="CJ97" s="2886"/>
      <c r="CK97" s="2857"/>
      <c r="CL97" s="2857"/>
      <c r="CM97" s="2857"/>
      <c r="CQ97" s="2745"/>
      <c r="CR97" s="2746"/>
      <c r="CS97" s="2746"/>
      <c r="CT97" s="2747"/>
      <c r="EC97" s="109"/>
      <c r="ED97" s="109"/>
      <c r="EE97" s="109"/>
      <c r="EF97" s="109"/>
      <c r="EG97" s="109"/>
      <c r="EH97" s="109"/>
      <c r="EI97" s="109"/>
      <c r="EJ97" s="109"/>
      <c r="EK97" s="109"/>
      <c r="EL97" s="109"/>
      <c r="EM97" s="109"/>
      <c r="EN97" s="109"/>
      <c r="EO97" s="109"/>
      <c r="EP97" s="109"/>
      <c r="EQ97" s="109"/>
      <c r="ER97" s="109"/>
      <c r="ES97" s="109"/>
      <c r="ET97" s="109"/>
      <c r="EU97" s="109"/>
      <c r="EV97" s="109"/>
    </row>
    <row r="98" spans="1:152" ht="8.85" customHeight="1">
      <c r="A98" s="2518">
        <v>40</v>
      </c>
      <c r="B98" s="2525"/>
      <c r="C98" s="2520"/>
      <c r="D98" s="2520"/>
      <c r="E98" s="2520"/>
      <c r="F98" s="2520"/>
      <c r="G98" s="2529"/>
      <c r="H98" s="2911">
        <v>0.25</v>
      </c>
      <c r="I98" s="2911"/>
      <c r="J98" s="2911"/>
      <c r="K98" s="2911"/>
      <c r="L98" s="2474"/>
      <c r="M98" s="2475"/>
      <c r="N98" s="2475"/>
      <c r="O98" s="2476"/>
      <c r="P98" s="2912">
        <v>0.29166666666666669</v>
      </c>
      <c r="Q98" s="2913"/>
      <c r="R98" s="2913"/>
      <c r="S98" s="2913"/>
      <c r="T98" s="2356"/>
      <c r="U98" s="2356"/>
      <c r="V98" s="2356"/>
      <c r="W98" s="2356"/>
      <c r="X98" s="2420"/>
      <c r="Y98" s="2421"/>
      <c r="Z98" s="2421"/>
      <c r="AA98" s="2421"/>
      <c r="AB98" s="2881" t="str">
        <f t="shared" ref="AB98" si="50">IF(L98="REJECTED",AB94,IF(X98="","",IF(N$22="","",N$22-X98)))</f>
        <v/>
      </c>
      <c r="AC98" s="2881"/>
      <c r="AD98" s="2881"/>
      <c r="AE98" s="2882"/>
      <c r="AF98" s="2440"/>
      <c r="AG98" s="2421"/>
      <c r="AH98" s="2421"/>
      <c r="AI98" s="2441"/>
      <c r="AJ98" s="2421"/>
      <c r="AK98" s="2421"/>
      <c r="AL98" s="2421"/>
      <c r="AM98" s="2483"/>
      <c r="AN98" s="2421"/>
      <c r="AO98" s="2421"/>
      <c r="AP98" s="2421"/>
      <c r="AQ98" s="2483"/>
      <c r="AR98" s="2420"/>
      <c r="AS98" s="2421"/>
      <c r="AT98" s="2421"/>
      <c r="AU98" s="2483"/>
      <c r="AV98" s="2356"/>
      <c r="AW98" s="2356"/>
      <c r="AX98" s="2356"/>
      <c r="AY98" s="2880"/>
      <c r="AZ98" s="2356"/>
      <c r="BA98" s="2356"/>
      <c r="BB98" s="2356"/>
      <c r="BC98" s="2880"/>
      <c r="BD98" s="2356"/>
      <c r="BE98" s="2356"/>
      <c r="BF98" s="2356"/>
      <c r="BG98" s="2880"/>
      <c r="BH98" s="2356"/>
      <c r="BI98" s="2356"/>
      <c r="BJ98" s="2356"/>
      <c r="BK98" s="2880"/>
      <c r="BL98" s="2885" t="str">
        <f t="shared" ref="BL98" si="51">IF(OR(L98="REJECTED",L98="Not Placed"),0,IF(AF98="","",SUM(AF98:AM101)-SUM(AN98:BK101)))</f>
        <v/>
      </c>
      <c r="BM98" s="2375"/>
      <c r="BN98" s="2375"/>
      <c r="BO98" s="2375"/>
      <c r="BP98" s="2375" t="str">
        <f t="shared" ref="BP98" si="52">IF(L98="REJECTED",BP94,IF(AF98="","",BP94+BL98))</f>
        <v/>
      </c>
      <c r="BQ98" s="2375"/>
      <c r="BR98" s="2375"/>
      <c r="BS98" s="2376"/>
      <c r="BT98" s="2368"/>
      <c r="BU98" s="2368"/>
      <c r="BV98" s="2368"/>
      <c r="BW98" s="2368"/>
      <c r="BX98" s="2368"/>
      <c r="BY98" s="2368"/>
      <c r="BZ98" s="2368"/>
      <c r="CA98" s="2368"/>
      <c r="CB98" s="2368"/>
      <c r="CC98" s="2368"/>
      <c r="CD98" s="2368"/>
      <c r="CE98" s="2368"/>
      <c r="CF98" s="2368"/>
      <c r="CG98" s="2368"/>
      <c r="CH98" s="2369"/>
      <c r="CI98" s="2886">
        <v>40</v>
      </c>
      <c r="CJ98" s="2886"/>
      <c r="CK98" s="2857" t="e">
        <f>'Concr. Curve'!BL16</f>
        <v>#DIV/0!</v>
      </c>
      <c r="CL98" s="2857"/>
      <c r="CM98" s="2857"/>
      <c r="CQ98" s="2967">
        <f t="shared" ref="CQ98" si="53">IF(OR(P98="",H98=""),"",MOD(P98-H98,1)*24*60)</f>
        <v>60.000000000000028</v>
      </c>
      <c r="CR98" s="2968"/>
      <c r="CS98" s="2968"/>
      <c r="CT98" s="2969"/>
      <c r="EC98" s="109"/>
      <c r="ED98" s="109"/>
      <c r="EE98" s="109"/>
      <c r="EF98" s="109"/>
      <c r="EG98" s="109"/>
      <c r="EH98" s="109"/>
      <c r="EI98" s="109"/>
      <c r="EJ98" s="109"/>
      <c r="EK98" s="109"/>
      <c r="EL98" s="109"/>
      <c r="EM98" s="109"/>
      <c r="EN98" s="109"/>
      <c r="EO98" s="109"/>
      <c r="EP98" s="109"/>
      <c r="EQ98" s="109"/>
      <c r="ER98" s="109"/>
      <c r="ES98" s="109"/>
      <c r="ET98" s="109"/>
      <c r="EU98" s="109"/>
      <c r="EV98" s="109"/>
    </row>
    <row r="99" spans="1:152" ht="8.85" customHeight="1">
      <c r="A99" s="2518"/>
      <c r="B99" s="2530"/>
      <c r="C99" s="2522"/>
      <c r="D99" s="2522"/>
      <c r="E99" s="2522"/>
      <c r="F99" s="2522"/>
      <c r="G99" s="2527"/>
      <c r="H99" s="2911"/>
      <c r="I99" s="2911"/>
      <c r="J99" s="2911"/>
      <c r="K99" s="2911"/>
      <c r="L99" s="2477"/>
      <c r="M99" s="2478"/>
      <c r="N99" s="2478"/>
      <c r="O99" s="2479"/>
      <c r="P99" s="2913"/>
      <c r="Q99" s="2913"/>
      <c r="R99" s="2913"/>
      <c r="S99" s="2913"/>
      <c r="T99" s="2356"/>
      <c r="U99" s="2356"/>
      <c r="V99" s="2356"/>
      <c r="W99" s="2356"/>
      <c r="X99" s="2422"/>
      <c r="Y99" s="2297"/>
      <c r="Z99" s="2297"/>
      <c r="AA99" s="2297"/>
      <c r="AB99" s="2881"/>
      <c r="AC99" s="2881"/>
      <c r="AD99" s="2881"/>
      <c r="AE99" s="2882"/>
      <c r="AF99" s="2446"/>
      <c r="AG99" s="2297"/>
      <c r="AH99" s="2297"/>
      <c r="AI99" s="2447"/>
      <c r="AJ99" s="2297"/>
      <c r="AK99" s="2297"/>
      <c r="AL99" s="2297"/>
      <c r="AM99" s="2451"/>
      <c r="AN99" s="2297"/>
      <c r="AO99" s="2297"/>
      <c r="AP99" s="2297"/>
      <c r="AQ99" s="2451"/>
      <c r="AR99" s="2422"/>
      <c r="AS99" s="2297"/>
      <c r="AT99" s="2297"/>
      <c r="AU99" s="2451"/>
      <c r="AV99" s="2356"/>
      <c r="AW99" s="2356"/>
      <c r="AX99" s="2356"/>
      <c r="AY99" s="2880"/>
      <c r="AZ99" s="2356"/>
      <c r="BA99" s="2356"/>
      <c r="BB99" s="2356"/>
      <c r="BC99" s="2880"/>
      <c r="BD99" s="2356"/>
      <c r="BE99" s="2356"/>
      <c r="BF99" s="2356"/>
      <c r="BG99" s="2880"/>
      <c r="BH99" s="2356"/>
      <c r="BI99" s="2356"/>
      <c r="BJ99" s="2356"/>
      <c r="BK99" s="2880"/>
      <c r="BL99" s="2885"/>
      <c r="BM99" s="2375"/>
      <c r="BN99" s="2375"/>
      <c r="BO99" s="2375"/>
      <c r="BP99" s="2375"/>
      <c r="BQ99" s="2375"/>
      <c r="BR99" s="2375"/>
      <c r="BS99" s="2376"/>
      <c r="BT99" s="2370"/>
      <c r="BU99" s="2370"/>
      <c r="BV99" s="2370"/>
      <c r="BW99" s="2370"/>
      <c r="BX99" s="2370"/>
      <c r="BY99" s="2370"/>
      <c r="BZ99" s="2370"/>
      <c r="CA99" s="2370"/>
      <c r="CB99" s="2370"/>
      <c r="CC99" s="2370"/>
      <c r="CD99" s="2370"/>
      <c r="CE99" s="2370"/>
      <c r="CF99" s="2370"/>
      <c r="CG99" s="2370"/>
      <c r="CH99" s="2371"/>
      <c r="CI99" s="2886"/>
      <c r="CJ99" s="2886"/>
      <c r="CK99" s="2857"/>
      <c r="CL99" s="2857"/>
      <c r="CM99" s="2857"/>
      <c r="CQ99" s="2742"/>
      <c r="CR99" s="2743"/>
      <c r="CS99" s="2743"/>
      <c r="CT99" s="2744"/>
      <c r="EC99" s="109"/>
      <c r="ED99" s="109"/>
      <c r="EE99" s="109"/>
      <c r="EF99" s="109"/>
      <c r="EG99" s="109"/>
      <c r="EH99" s="109"/>
      <c r="EI99" s="109"/>
      <c r="EJ99" s="109"/>
      <c r="EK99" s="109"/>
      <c r="EL99" s="109"/>
      <c r="EM99" s="109"/>
      <c r="EN99" s="109"/>
      <c r="EO99" s="109"/>
      <c r="EP99" s="109"/>
      <c r="EQ99" s="109"/>
      <c r="ER99" s="109"/>
      <c r="ES99" s="109"/>
      <c r="ET99" s="109"/>
      <c r="EU99" s="109"/>
      <c r="EV99" s="109"/>
    </row>
    <row r="100" spans="1:152" ht="8.85" customHeight="1">
      <c r="A100" s="2518"/>
      <c r="B100" s="2530"/>
      <c r="C100" s="2522"/>
      <c r="D100" s="2522"/>
      <c r="E100" s="2522"/>
      <c r="F100" s="2522"/>
      <c r="G100" s="2527"/>
      <c r="H100" s="2911"/>
      <c r="I100" s="2911"/>
      <c r="J100" s="2911"/>
      <c r="K100" s="2911"/>
      <c r="L100" s="2477"/>
      <c r="M100" s="2478"/>
      <c r="N100" s="2478"/>
      <c r="O100" s="2479"/>
      <c r="P100" s="2913"/>
      <c r="Q100" s="2913"/>
      <c r="R100" s="2913"/>
      <c r="S100" s="2913"/>
      <c r="T100" s="2356"/>
      <c r="U100" s="2356"/>
      <c r="V100" s="2356"/>
      <c r="W100" s="2356"/>
      <c r="X100" s="2422"/>
      <c r="Y100" s="2297"/>
      <c r="Z100" s="2297"/>
      <c r="AA100" s="2297"/>
      <c r="AB100" s="2881"/>
      <c r="AC100" s="2881"/>
      <c r="AD100" s="2881"/>
      <c r="AE100" s="2882"/>
      <c r="AF100" s="2446"/>
      <c r="AG100" s="2297"/>
      <c r="AH100" s="2297"/>
      <c r="AI100" s="2447"/>
      <c r="AJ100" s="2297"/>
      <c r="AK100" s="2297"/>
      <c r="AL100" s="2297"/>
      <c r="AM100" s="2451"/>
      <c r="AN100" s="2297"/>
      <c r="AO100" s="2297"/>
      <c r="AP100" s="2297"/>
      <c r="AQ100" s="2451"/>
      <c r="AR100" s="2422"/>
      <c r="AS100" s="2297"/>
      <c r="AT100" s="2297"/>
      <c r="AU100" s="2451"/>
      <c r="AV100" s="2356"/>
      <c r="AW100" s="2356"/>
      <c r="AX100" s="2356"/>
      <c r="AY100" s="2880"/>
      <c r="AZ100" s="2356"/>
      <c r="BA100" s="2356"/>
      <c r="BB100" s="2356"/>
      <c r="BC100" s="2880"/>
      <c r="BD100" s="2356"/>
      <c r="BE100" s="2356"/>
      <c r="BF100" s="2356"/>
      <c r="BG100" s="2880"/>
      <c r="BH100" s="2356"/>
      <c r="BI100" s="2356"/>
      <c r="BJ100" s="2356"/>
      <c r="BK100" s="2880"/>
      <c r="BL100" s="2885"/>
      <c r="BM100" s="2375"/>
      <c r="BN100" s="2375"/>
      <c r="BO100" s="2375"/>
      <c r="BP100" s="2375"/>
      <c r="BQ100" s="2375"/>
      <c r="BR100" s="2375"/>
      <c r="BS100" s="2376"/>
      <c r="BT100" s="2370"/>
      <c r="BU100" s="2370"/>
      <c r="BV100" s="2370"/>
      <c r="BW100" s="2370"/>
      <c r="BX100" s="2370"/>
      <c r="BY100" s="2370"/>
      <c r="BZ100" s="2370"/>
      <c r="CA100" s="2370"/>
      <c r="CB100" s="2370"/>
      <c r="CC100" s="2370"/>
      <c r="CD100" s="2370"/>
      <c r="CE100" s="2370"/>
      <c r="CF100" s="2370"/>
      <c r="CG100" s="2370"/>
      <c r="CH100" s="2371"/>
      <c r="CI100" s="2886"/>
      <c r="CJ100" s="2886"/>
      <c r="CK100" s="2857"/>
      <c r="CL100" s="2857"/>
      <c r="CM100" s="2857"/>
      <c r="CQ100" s="2742"/>
      <c r="CR100" s="2743"/>
      <c r="CS100" s="2743"/>
      <c r="CT100" s="2744"/>
      <c r="EC100" s="109"/>
      <c r="ED100" s="109"/>
      <c r="EE100" s="109"/>
      <c r="EF100" s="109"/>
      <c r="EG100" s="109"/>
      <c r="EH100" s="109"/>
      <c r="EI100" s="109"/>
      <c r="EJ100" s="109"/>
      <c r="EK100" s="109"/>
      <c r="EL100" s="109"/>
      <c r="EM100" s="109"/>
      <c r="EN100" s="109"/>
      <c r="EO100" s="109"/>
      <c r="EP100" s="109"/>
      <c r="EQ100" s="109"/>
      <c r="ER100" s="109"/>
      <c r="ES100" s="109"/>
      <c r="ET100" s="109"/>
      <c r="EU100" s="109"/>
      <c r="EV100" s="109"/>
    </row>
    <row r="101" spans="1:152" ht="8.85" customHeight="1" thickBot="1">
      <c r="A101" s="2518"/>
      <c r="B101" s="2523"/>
      <c r="C101" s="2524"/>
      <c r="D101" s="2524"/>
      <c r="E101" s="2524"/>
      <c r="F101" s="2524"/>
      <c r="G101" s="2528"/>
      <c r="H101" s="2911"/>
      <c r="I101" s="2911"/>
      <c r="J101" s="2911"/>
      <c r="K101" s="2911"/>
      <c r="L101" s="2480"/>
      <c r="M101" s="2481"/>
      <c r="N101" s="2481"/>
      <c r="O101" s="2482"/>
      <c r="P101" s="2913"/>
      <c r="Q101" s="2913"/>
      <c r="R101" s="2913"/>
      <c r="S101" s="2913"/>
      <c r="T101" s="2361"/>
      <c r="U101" s="2361"/>
      <c r="V101" s="2361"/>
      <c r="W101" s="2361"/>
      <c r="X101" s="2439"/>
      <c r="Y101" s="2298"/>
      <c r="Z101" s="2298"/>
      <c r="AA101" s="2298"/>
      <c r="AB101" s="2881"/>
      <c r="AC101" s="2881"/>
      <c r="AD101" s="2881"/>
      <c r="AE101" s="2882"/>
      <c r="AF101" s="2472"/>
      <c r="AG101" s="2424"/>
      <c r="AH101" s="2424"/>
      <c r="AI101" s="2473"/>
      <c r="AJ101" s="2424"/>
      <c r="AK101" s="2424"/>
      <c r="AL101" s="2424"/>
      <c r="AM101" s="2486"/>
      <c r="AN101" s="2424"/>
      <c r="AO101" s="2424"/>
      <c r="AP101" s="2424"/>
      <c r="AQ101" s="2486"/>
      <c r="AR101" s="2423"/>
      <c r="AS101" s="2424"/>
      <c r="AT101" s="2424"/>
      <c r="AU101" s="2486"/>
      <c r="AV101" s="2361"/>
      <c r="AW101" s="2361"/>
      <c r="AX101" s="2361"/>
      <c r="AY101" s="2917"/>
      <c r="AZ101" s="2361"/>
      <c r="BA101" s="2361"/>
      <c r="BB101" s="2361"/>
      <c r="BC101" s="2917"/>
      <c r="BD101" s="2361"/>
      <c r="BE101" s="2361"/>
      <c r="BF101" s="2361"/>
      <c r="BG101" s="2917"/>
      <c r="BH101" s="2361"/>
      <c r="BI101" s="2361"/>
      <c r="BJ101" s="2361"/>
      <c r="BK101" s="2917"/>
      <c r="BL101" s="2916"/>
      <c r="BM101" s="2407"/>
      <c r="BN101" s="2407"/>
      <c r="BO101" s="2407"/>
      <c r="BP101" s="2407"/>
      <c r="BQ101" s="2407"/>
      <c r="BR101" s="2407"/>
      <c r="BS101" s="2408"/>
      <c r="BT101" s="2914"/>
      <c r="BU101" s="2914"/>
      <c r="BV101" s="2914"/>
      <c r="BW101" s="2914"/>
      <c r="BX101" s="2914"/>
      <c r="BY101" s="2914"/>
      <c r="BZ101" s="2914"/>
      <c r="CA101" s="2914"/>
      <c r="CB101" s="2914"/>
      <c r="CC101" s="2914"/>
      <c r="CD101" s="2914"/>
      <c r="CE101" s="2914"/>
      <c r="CF101" s="2914"/>
      <c r="CG101" s="2914"/>
      <c r="CH101" s="2915"/>
      <c r="CI101" s="2886"/>
      <c r="CJ101" s="2886"/>
      <c r="CK101" s="2857"/>
      <c r="CL101" s="2857"/>
      <c r="CM101" s="2857"/>
      <c r="CQ101" s="2745"/>
      <c r="CR101" s="2746"/>
      <c r="CS101" s="2746"/>
      <c r="CT101" s="2747"/>
      <c r="EC101" s="109"/>
      <c r="ED101" s="109"/>
      <c r="EE101" s="109"/>
      <c r="EF101" s="109"/>
      <c r="EG101" s="109"/>
      <c r="EH101" s="109"/>
      <c r="EI101" s="109"/>
      <c r="EJ101" s="109"/>
      <c r="EK101" s="109"/>
      <c r="EL101" s="109"/>
      <c r="EM101" s="109"/>
      <c r="EN101" s="109"/>
      <c r="EO101" s="109"/>
      <c r="EP101" s="109"/>
      <c r="EQ101" s="109"/>
      <c r="ER101" s="109"/>
      <c r="ES101" s="109"/>
      <c r="ET101" s="109"/>
      <c r="EU101" s="109"/>
      <c r="EV101" s="109"/>
    </row>
    <row r="102" spans="1:152" ht="9.6" customHeight="1">
      <c r="A102" s="1"/>
      <c r="B102" s="2488" t="s">
        <v>206</v>
      </c>
      <c r="C102" s="2489"/>
      <c r="D102" s="2489"/>
      <c r="E102" s="2489"/>
      <c r="F102" s="2489"/>
      <c r="G102" s="2489"/>
      <c r="H102" s="2489"/>
      <c r="I102" s="2489"/>
      <c r="J102" s="2489"/>
      <c r="K102" s="2489"/>
      <c r="L102" s="2489"/>
      <c r="M102" s="2489"/>
      <c r="N102" s="2489"/>
      <c r="O102" s="2489"/>
      <c r="P102" s="2489"/>
      <c r="Q102" s="2489"/>
      <c r="R102" s="2489"/>
      <c r="S102" s="2489"/>
      <c r="T102" s="2644"/>
      <c r="U102" s="2644"/>
      <c r="V102" s="2644"/>
      <c r="W102" s="2644"/>
      <c r="X102" s="2644"/>
      <c r="Y102" s="2644"/>
      <c r="Z102" s="2644"/>
      <c r="AA102" s="2644"/>
      <c r="AB102" s="2644"/>
      <c r="AC102" s="2644"/>
      <c r="AD102" s="2644"/>
      <c r="AE102" s="2975"/>
      <c r="AF102" s="2365" t="str">
        <f>IF(SUM(AF42:AI101)=0,"",IF(Y103="",SUM(AF42:AI101),SUM(AF42:AI101)-Y103))</f>
        <v/>
      </c>
      <c r="AG102" s="2366"/>
      <c r="AH102" s="2366"/>
      <c r="AI102" s="2367"/>
      <c r="AJ102" s="2924" t="str">
        <f>IF(SUM(AJ42:AM101)=0,"",SUM(AJ42:AM101))</f>
        <v/>
      </c>
      <c r="AK102" s="2925"/>
      <c r="AL102" s="2925"/>
      <c r="AM102" s="2926"/>
      <c r="AN102" s="2921" t="str">
        <f>IF(SUM(AN42:AQ101)=0,"",SUM(AN42:AQ101))</f>
        <v/>
      </c>
      <c r="AO102" s="2921"/>
      <c r="AP102" s="2921"/>
      <c r="AQ102" s="2350"/>
      <c r="AR102" s="2350" t="str">
        <f>IF(SUM(AR42:AU101)=0,"",SUM(AR42:AU101))</f>
        <v/>
      </c>
      <c r="AS102" s="2351"/>
      <c r="AT102" s="2351"/>
      <c r="AU102" s="2351"/>
      <c r="AV102" s="2353" t="str">
        <f>IF(SUM(AV42:AY101)=0,"",SUM(AV42:AY101))</f>
        <v/>
      </c>
      <c r="AW102" s="2353"/>
      <c r="AX102" s="2353"/>
      <c r="AY102" s="2353"/>
      <c r="AZ102" s="2377" t="str">
        <f>IF(SUM(AZ42:BC101)=0,"",SUM(AZ42:BC101))</f>
        <v/>
      </c>
      <c r="BA102" s="2921"/>
      <c r="BB102" s="2921"/>
      <c r="BC102" s="2350"/>
      <c r="BD102" s="2352" t="str">
        <f>IF(SUM(BD42:BG101)=0,"",SUM(BD42:BG101))</f>
        <v/>
      </c>
      <c r="BE102" s="2353"/>
      <c r="BF102" s="2353"/>
      <c r="BG102" s="2353"/>
      <c r="BH102" s="2365" t="str">
        <f>IF(SUM(BH42:BK101)=0,"",SUM(BH42:BK101))</f>
        <v/>
      </c>
      <c r="BI102" s="2366"/>
      <c r="BJ102" s="2366"/>
      <c r="BK102" s="2367"/>
      <c r="BL102" s="2365" t="str">
        <f>IF(SUM(BL42:BO101)=0,"",SUM(BL42:BO101))</f>
        <v/>
      </c>
      <c r="BM102" s="2366"/>
      <c r="BN102" s="2366"/>
      <c r="BO102" s="2366"/>
      <c r="BP102" s="2933"/>
      <c r="BQ102" s="2934"/>
      <c r="BR102" s="2934"/>
      <c r="BS102" s="2934"/>
      <c r="BT102" s="2934"/>
      <c r="BU102" s="2934"/>
      <c r="BV102" s="2934"/>
      <c r="BW102" s="2934"/>
      <c r="BX102" s="2934"/>
      <c r="BY102" s="2934"/>
      <c r="BZ102" s="2934"/>
      <c r="CA102" s="2934"/>
      <c r="CB102" s="2934"/>
      <c r="CC102" s="2934"/>
      <c r="CD102" s="2934"/>
      <c r="CE102" s="2934"/>
      <c r="CF102" s="2934"/>
      <c r="CG102" s="2934"/>
      <c r="CH102" s="2935"/>
      <c r="EC102" s="109"/>
      <c r="ED102" s="109"/>
      <c r="EE102" s="109"/>
      <c r="EF102" s="109"/>
      <c r="EG102" s="109"/>
      <c r="EH102" s="109"/>
      <c r="EI102" s="109"/>
      <c r="EJ102" s="109"/>
      <c r="EK102" s="109"/>
      <c r="EL102" s="109"/>
      <c r="EM102" s="109"/>
      <c r="EN102" s="109"/>
      <c r="EO102" s="109"/>
      <c r="EP102" s="109"/>
      <c r="EQ102" s="109"/>
      <c r="ER102" s="109"/>
      <c r="ES102" s="109"/>
      <c r="ET102" s="109"/>
      <c r="EU102" s="109"/>
      <c r="EV102" s="109"/>
    </row>
    <row r="103" spans="1:152" ht="9.6" customHeight="1">
      <c r="A103" s="1"/>
      <c r="B103" s="2490"/>
      <c r="C103" s="2491"/>
      <c r="D103" s="2491"/>
      <c r="E103" s="2491"/>
      <c r="F103" s="2491"/>
      <c r="G103" s="2491"/>
      <c r="H103" s="2491"/>
      <c r="I103" s="2491"/>
      <c r="J103" s="2491"/>
      <c r="K103" s="2491"/>
      <c r="L103" s="2491"/>
      <c r="M103" s="2491"/>
      <c r="N103" s="2491"/>
      <c r="O103" s="2491"/>
      <c r="P103" s="2491"/>
      <c r="Q103" s="2491"/>
      <c r="R103" s="2491"/>
      <c r="S103" s="2491"/>
      <c r="T103" s="2957" t="str">
        <f>IF(SUM(AF42:AI101)=0,"",SUM(AF42:AI101))</f>
        <v/>
      </c>
      <c r="U103" s="2958"/>
      <c r="V103" s="2958"/>
      <c r="W103" s="2959"/>
      <c r="X103" s="2966" t="s">
        <v>196</v>
      </c>
      <c r="Y103" s="2564" t="str">
        <f>IF('Concr. Pg 1'!EW137=0,"",'Concr. Pg 1'!EW137)</f>
        <v/>
      </c>
      <c r="Z103" s="2565"/>
      <c r="AA103" s="2565"/>
      <c r="AB103" s="2566"/>
      <c r="AC103" s="2961" t="s">
        <v>197</v>
      </c>
      <c r="AD103" s="2961"/>
      <c r="AE103" s="2961"/>
      <c r="AF103" s="2365"/>
      <c r="AG103" s="2366"/>
      <c r="AH103" s="2366"/>
      <c r="AI103" s="2367"/>
      <c r="AJ103" s="2927"/>
      <c r="AK103" s="2928"/>
      <c r="AL103" s="2928"/>
      <c r="AM103" s="2929"/>
      <c r="AN103" s="2922"/>
      <c r="AO103" s="2922"/>
      <c r="AP103" s="2922"/>
      <c r="AQ103" s="2352"/>
      <c r="AR103" s="2352"/>
      <c r="AS103" s="2353"/>
      <c r="AT103" s="2353"/>
      <c r="AU103" s="2353"/>
      <c r="AV103" s="2353"/>
      <c r="AW103" s="2353"/>
      <c r="AX103" s="2353"/>
      <c r="AY103" s="2353"/>
      <c r="AZ103" s="2378"/>
      <c r="BA103" s="2922"/>
      <c r="BB103" s="2922"/>
      <c r="BC103" s="2352"/>
      <c r="BD103" s="2352"/>
      <c r="BE103" s="2353"/>
      <c r="BF103" s="2353"/>
      <c r="BG103" s="2353"/>
      <c r="BH103" s="2365"/>
      <c r="BI103" s="2366"/>
      <c r="BJ103" s="2366"/>
      <c r="BK103" s="2367"/>
      <c r="BL103" s="2365"/>
      <c r="BM103" s="2366"/>
      <c r="BN103" s="2366"/>
      <c r="BO103" s="2366"/>
      <c r="BP103" s="2936"/>
      <c r="BQ103" s="2937"/>
      <c r="BR103" s="2937"/>
      <c r="BS103" s="2937"/>
      <c r="BT103" s="2937"/>
      <c r="BU103" s="2937"/>
      <c r="BV103" s="2937"/>
      <c r="BW103" s="2937"/>
      <c r="BX103" s="2937"/>
      <c r="BY103" s="2937"/>
      <c r="BZ103" s="2937"/>
      <c r="CA103" s="2937"/>
      <c r="CB103" s="2937"/>
      <c r="CC103" s="2937"/>
      <c r="CD103" s="2937"/>
      <c r="CE103" s="2937"/>
      <c r="CF103" s="2937"/>
      <c r="CG103" s="2937"/>
      <c r="CH103" s="2938"/>
      <c r="EC103" s="109"/>
      <c r="ED103" s="109"/>
      <c r="EE103" s="109"/>
      <c r="EF103" s="109"/>
      <c r="EG103" s="109"/>
      <c r="EH103" s="109"/>
      <c r="EI103" s="109"/>
      <c r="EJ103" s="109"/>
      <c r="EK103" s="109"/>
      <c r="EL103" s="109"/>
      <c r="EM103" s="109"/>
      <c r="EN103" s="109"/>
      <c r="EO103" s="109"/>
      <c r="EP103" s="109"/>
      <c r="EQ103" s="109"/>
      <c r="ER103" s="109"/>
      <c r="ES103" s="109"/>
      <c r="ET103" s="109"/>
      <c r="EU103" s="109"/>
      <c r="EV103" s="109"/>
    </row>
    <row r="104" spans="1:152" ht="9.6" customHeight="1">
      <c r="A104" s="1"/>
      <c r="B104" s="2490"/>
      <c r="C104" s="2491"/>
      <c r="D104" s="2491"/>
      <c r="E104" s="2491"/>
      <c r="F104" s="2491"/>
      <c r="G104" s="2491"/>
      <c r="H104" s="2491"/>
      <c r="I104" s="2491"/>
      <c r="J104" s="2491"/>
      <c r="K104" s="2491"/>
      <c r="L104" s="2491"/>
      <c r="M104" s="2491"/>
      <c r="N104" s="2491"/>
      <c r="O104" s="2491"/>
      <c r="P104" s="2491"/>
      <c r="Q104" s="2491"/>
      <c r="R104" s="2491"/>
      <c r="S104" s="2491"/>
      <c r="T104" s="2500"/>
      <c r="U104" s="2501"/>
      <c r="V104" s="2501"/>
      <c r="W104" s="2502"/>
      <c r="X104" s="2966"/>
      <c r="Y104" s="2567"/>
      <c r="Z104" s="2568"/>
      <c r="AA104" s="2568"/>
      <c r="AB104" s="2569"/>
      <c r="AC104" s="2961"/>
      <c r="AD104" s="2961"/>
      <c r="AE104" s="2961"/>
      <c r="AF104" s="2947"/>
      <c r="AG104" s="2948"/>
      <c r="AH104" s="2948"/>
      <c r="AI104" s="2949"/>
      <c r="AJ104" s="2930"/>
      <c r="AK104" s="2931"/>
      <c r="AL104" s="2931"/>
      <c r="AM104" s="2932"/>
      <c r="AN104" s="2923"/>
      <c r="AO104" s="2923"/>
      <c r="AP104" s="2923"/>
      <c r="AQ104" s="2354"/>
      <c r="AR104" s="2354"/>
      <c r="AS104" s="2355"/>
      <c r="AT104" s="2355"/>
      <c r="AU104" s="2355"/>
      <c r="AV104" s="2355"/>
      <c r="AW104" s="2355"/>
      <c r="AX104" s="2355"/>
      <c r="AY104" s="2355"/>
      <c r="AZ104" s="2379"/>
      <c r="BA104" s="2923"/>
      <c r="BB104" s="2923"/>
      <c r="BC104" s="2354"/>
      <c r="BD104" s="2354"/>
      <c r="BE104" s="2355"/>
      <c r="BF104" s="2355"/>
      <c r="BG104" s="2355"/>
      <c r="BH104" s="2947"/>
      <c r="BI104" s="2948"/>
      <c r="BJ104" s="2948"/>
      <c r="BK104" s="2949"/>
      <c r="BL104" s="2947"/>
      <c r="BM104" s="2948"/>
      <c r="BN104" s="2948"/>
      <c r="BO104" s="2948"/>
      <c r="BP104" s="2936"/>
      <c r="BQ104" s="2937"/>
      <c r="BR104" s="2937"/>
      <c r="BS104" s="2937"/>
      <c r="BT104" s="2937"/>
      <c r="BU104" s="2937"/>
      <c r="BV104" s="2937"/>
      <c r="BW104" s="2937"/>
      <c r="BX104" s="2937"/>
      <c r="BY104" s="2937"/>
      <c r="BZ104" s="2937"/>
      <c r="CA104" s="2937"/>
      <c r="CB104" s="2937"/>
      <c r="CC104" s="2937"/>
      <c r="CD104" s="2937"/>
      <c r="CE104" s="2937"/>
      <c r="CF104" s="2937"/>
      <c r="CG104" s="2937"/>
      <c r="CH104" s="2938"/>
      <c r="EC104" s="109"/>
      <c r="ED104" s="109"/>
      <c r="EE104" s="109"/>
      <c r="EF104" s="109"/>
      <c r="EG104" s="109"/>
      <c r="EH104" s="109"/>
      <c r="EI104" s="109"/>
      <c r="EJ104" s="109"/>
      <c r="EK104" s="109"/>
      <c r="EL104" s="109"/>
      <c r="EM104" s="109"/>
      <c r="EN104" s="109"/>
      <c r="EO104" s="109"/>
      <c r="EP104" s="109"/>
      <c r="EQ104" s="109"/>
      <c r="ER104" s="109"/>
      <c r="ES104" s="109"/>
      <c r="ET104" s="109"/>
      <c r="EU104" s="109"/>
      <c r="EV104" s="109"/>
    </row>
    <row r="105" spans="1:152" ht="18" customHeight="1">
      <c r="A105" s="1"/>
      <c r="B105" s="2976" t="s">
        <v>216</v>
      </c>
      <c r="C105" s="2977"/>
      <c r="D105" s="2977"/>
      <c r="E105" s="2977"/>
      <c r="F105" s="2977"/>
      <c r="G105" s="2977"/>
      <c r="H105" s="2977"/>
      <c r="I105" s="2977"/>
      <c r="J105" s="2977"/>
      <c r="K105" s="2977"/>
      <c r="L105" s="2977"/>
      <c r="M105" s="2977"/>
      <c r="N105" s="2977"/>
      <c r="O105" s="2977"/>
      <c r="P105" s="2977"/>
      <c r="Q105" s="2977"/>
      <c r="R105" s="2977"/>
      <c r="S105" s="2977"/>
      <c r="T105" s="2878" t="s">
        <v>199</v>
      </c>
      <c r="U105" s="1617"/>
      <c r="V105" s="1617"/>
      <c r="W105" s="1617"/>
      <c r="X105" s="2966"/>
      <c r="Y105" s="2970" t="s">
        <v>201</v>
      </c>
      <c r="Z105" s="2970"/>
      <c r="AA105" s="2970"/>
      <c r="AB105" s="2970"/>
      <c r="AC105" s="2961"/>
      <c r="AD105" s="2961"/>
      <c r="AE105" s="2961"/>
      <c r="AF105" s="2946" t="s">
        <v>323</v>
      </c>
      <c r="AG105" s="2946"/>
      <c r="AH105" s="2946"/>
      <c r="AI105" s="2946"/>
      <c r="AJ105" s="2974" t="s">
        <v>145</v>
      </c>
      <c r="AK105" s="2974"/>
      <c r="AL105" s="2974"/>
      <c r="AM105" s="2974"/>
      <c r="AN105" s="2982" t="s">
        <v>229</v>
      </c>
      <c r="AO105" s="2982"/>
      <c r="AP105" s="2982"/>
      <c r="AQ105" s="2982"/>
      <c r="AR105" s="2982"/>
      <c r="AS105" s="2980" t="s">
        <v>208</v>
      </c>
      <c r="AT105" s="2980"/>
      <c r="AU105" s="2980"/>
      <c r="AV105" s="2980"/>
      <c r="AW105" s="2981"/>
      <c r="AX105" s="2943" t="str">
        <f>IF(SUM(AF42:AI101)=0,"",IF(SUM(AJ42:AM101)="",SUM(AN42:AQ101)-0+SUM(AR102:BG104),SUM(AN42:AQ101)-SUM(AJ42:AM101)+SUM(AR102:BG104)))</f>
        <v/>
      </c>
      <c r="AY105" s="2944"/>
      <c r="AZ105" s="2944"/>
      <c r="BA105" s="2945"/>
      <c r="BB105" s="2950"/>
      <c r="BC105" s="2951"/>
      <c r="BD105" s="2951"/>
      <c r="BE105" s="2951"/>
      <c r="BF105" s="2951"/>
      <c r="BG105" s="2951"/>
      <c r="BH105" s="2946" t="s">
        <v>209</v>
      </c>
      <c r="BI105" s="2946"/>
      <c r="BJ105" s="2946"/>
      <c r="BK105" s="2946"/>
      <c r="BL105" s="2946" t="s">
        <v>210</v>
      </c>
      <c r="BM105" s="2946"/>
      <c r="BN105" s="2946"/>
      <c r="BO105" s="2946"/>
      <c r="BP105" s="2936"/>
      <c r="BQ105" s="2937"/>
      <c r="BR105" s="2937"/>
      <c r="BS105" s="2937"/>
      <c r="BT105" s="2937"/>
      <c r="BU105" s="2937"/>
      <c r="BV105" s="2937"/>
      <c r="BW105" s="2937"/>
      <c r="BX105" s="2937"/>
      <c r="BY105" s="2937"/>
      <c r="BZ105" s="2937"/>
      <c r="CA105" s="2937"/>
      <c r="CB105" s="2937"/>
      <c r="CC105" s="2937"/>
      <c r="CD105" s="2937"/>
      <c r="CE105" s="2937"/>
      <c r="CF105" s="2937"/>
      <c r="CG105" s="2937"/>
      <c r="CH105" s="2938"/>
    </row>
    <row r="106" spans="1:152" ht="15.9" customHeight="1" thickBot="1">
      <c r="B106" s="2978"/>
      <c r="C106" s="2964"/>
      <c r="D106" s="2964"/>
      <c r="E106" s="2964"/>
      <c r="F106" s="2964"/>
      <c r="G106" s="2964"/>
      <c r="H106" s="2964"/>
      <c r="I106" s="2964"/>
      <c r="J106" s="2964"/>
      <c r="K106" s="2964"/>
      <c r="L106" s="2964"/>
      <c r="M106" s="2964"/>
      <c r="N106" s="2964"/>
      <c r="O106" s="2964"/>
      <c r="P106" s="2964"/>
      <c r="Q106" s="2964"/>
      <c r="R106" s="2964"/>
      <c r="S106" s="2964"/>
      <c r="T106" s="2979"/>
      <c r="U106" s="2979"/>
      <c r="V106" s="2979"/>
      <c r="W106" s="2979"/>
      <c r="X106" s="146"/>
      <c r="Y106" s="2971"/>
      <c r="Z106" s="2971"/>
      <c r="AA106" s="2971"/>
      <c r="AB106" s="2971"/>
      <c r="AC106" s="2972"/>
      <c r="AD106" s="2972"/>
      <c r="AE106" s="2973"/>
      <c r="AF106" s="2952" t="s">
        <v>321</v>
      </c>
      <c r="AG106" s="2953"/>
      <c r="AH106" s="2953"/>
      <c r="AI106" s="2953"/>
      <c r="AJ106" s="2953"/>
      <c r="AK106" s="2953"/>
      <c r="AL106" s="2953"/>
      <c r="AM106" s="2953"/>
      <c r="AN106" s="2953"/>
      <c r="AO106" s="2953"/>
      <c r="AP106" s="2953"/>
      <c r="AQ106" s="2953"/>
      <c r="AR106" s="2953"/>
      <c r="AS106" s="2953"/>
      <c r="AT106" s="2953"/>
      <c r="AU106" s="2953"/>
      <c r="AV106" s="2953"/>
      <c r="AW106" s="2953"/>
      <c r="AX106" s="2954"/>
      <c r="AY106" s="2954"/>
      <c r="AZ106" s="2954"/>
      <c r="BA106" s="2954"/>
      <c r="BB106" s="2953"/>
      <c r="BC106" s="2953"/>
      <c r="BD106" s="2953"/>
      <c r="BE106" s="2953"/>
      <c r="BF106" s="2953"/>
      <c r="BG106" s="2953"/>
      <c r="BH106" s="2953"/>
      <c r="BI106" s="2953"/>
      <c r="BJ106" s="2953"/>
      <c r="BK106" s="2953"/>
      <c r="BL106" s="2953"/>
      <c r="BM106" s="2953"/>
      <c r="BN106" s="2953"/>
      <c r="BO106" s="2955"/>
      <c r="BP106" s="2939"/>
      <c r="BQ106" s="2940"/>
      <c r="BR106" s="2940"/>
      <c r="BS106" s="2940"/>
      <c r="BT106" s="2940"/>
      <c r="BU106" s="2940"/>
      <c r="BV106" s="2940"/>
      <c r="BW106" s="2940"/>
      <c r="BX106" s="2940"/>
      <c r="BY106" s="2940"/>
      <c r="BZ106" s="2940"/>
      <c r="CA106" s="2940"/>
      <c r="CB106" s="2940"/>
      <c r="CC106" s="2940"/>
      <c r="CD106" s="2940"/>
      <c r="CE106" s="2940"/>
      <c r="CF106" s="2940"/>
      <c r="CG106" s="2940"/>
      <c r="CH106" s="2941"/>
      <c r="DS106" s="148" t="s">
        <v>219</v>
      </c>
    </row>
    <row r="107" spans="1:152" ht="15" customHeight="1">
      <c r="CM107" s="5"/>
      <c r="CN107" s="6"/>
      <c r="CO107" s="6"/>
      <c r="CP107" s="6"/>
      <c r="CQ107" s="6"/>
      <c r="CR107" s="6"/>
      <c r="CS107" s="6"/>
      <c r="CT107" s="6"/>
      <c r="CU107" s="6"/>
      <c r="CV107" s="6"/>
      <c r="CW107" s="6"/>
      <c r="CX107" s="6"/>
      <c r="CY107" s="6"/>
      <c r="CZ107" s="6"/>
      <c r="DA107" s="6"/>
      <c r="DB107" s="6"/>
      <c r="DC107" s="6"/>
      <c r="DD107" s="6"/>
      <c r="DE107" s="6"/>
      <c r="DF107" s="7"/>
      <c r="DJ107" s="2268" t="s">
        <v>222</v>
      </c>
      <c r="DK107" s="2268"/>
      <c r="DL107" s="2268"/>
      <c r="DM107" s="2268"/>
      <c r="DN107" s="2268"/>
      <c r="DO107" s="2268"/>
      <c r="DP107" s="2268"/>
      <c r="DS107" s="148" t="s">
        <v>220</v>
      </c>
    </row>
    <row r="108" spans="1:152" ht="15" customHeight="1">
      <c r="CM108" s="8"/>
      <c r="DF108" s="9"/>
      <c r="DJ108" s="2274">
        <f>'Concr. Pg 1'!DX120</f>
        <v>0</v>
      </c>
      <c r="DK108" s="2275"/>
      <c r="DL108" s="2275"/>
      <c r="DM108" s="2275"/>
      <c r="DN108" s="2275"/>
      <c r="DO108" s="2275"/>
      <c r="DP108" s="2276"/>
      <c r="DS108" s="113"/>
    </row>
    <row r="109" spans="1:152" ht="15" customHeight="1">
      <c r="CM109" s="8"/>
      <c r="CN109" s="2716" t="s">
        <v>138</v>
      </c>
      <c r="CO109" s="2716"/>
      <c r="CP109" s="2716"/>
      <c r="CQ109" s="2716"/>
      <c r="CR109" s="2716"/>
      <c r="CS109" s="2716"/>
      <c r="CT109" s="2716"/>
      <c r="CU109" s="2716"/>
      <c r="CV109" s="2716"/>
      <c r="CW109" s="2716"/>
      <c r="CX109" s="2716"/>
      <c r="CY109" s="2716"/>
      <c r="CZ109" s="2716"/>
      <c r="DA109" s="2256">
        <f>SUM(AF42:AI101)</f>
        <v>0</v>
      </c>
      <c r="DB109" s="2256"/>
      <c r="DC109" s="2256"/>
      <c r="DD109" s="2256"/>
      <c r="DF109" s="9"/>
      <c r="DJ109" s="2274">
        <f>'Concr. Pg 1'!DX121</f>
        <v>0</v>
      </c>
      <c r="DK109" s="2275"/>
      <c r="DL109" s="2275"/>
      <c r="DM109" s="2275"/>
      <c r="DN109" s="2275"/>
      <c r="DO109" s="2275"/>
      <c r="DP109" s="2276"/>
      <c r="DS109" s="113">
        <v>1</v>
      </c>
    </row>
    <row r="110" spans="1:152" ht="15" customHeight="1">
      <c r="CM110" s="8"/>
      <c r="CN110" s="2716"/>
      <c r="CO110" s="2716"/>
      <c r="CP110" s="2716"/>
      <c r="CQ110" s="2716"/>
      <c r="CR110" s="2716"/>
      <c r="CS110" s="2716"/>
      <c r="CT110" s="2716"/>
      <c r="CU110" s="2716"/>
      <c r="CV110" s="2716"/>
      <c r="CW110" s="2716"/>
      <c r="CX110" s="2716"/>
      <c r="CY110" s="2716"/>
      <c r="CZ110" s="2716"/>
      <c r="DA110" s="2256"/>
      <c r="DB110" s="2256"/>
      <c r="DC110" s="2256"/>
      <c r="DD110" s="2256"/>
      <c r="DF110" s="9"/>
      <c r="DJ110" s="2277">
        <f>'Concr. Pg 1'!DX122</f>
        <v>0</v>
      </c>
      <c r="DK110" s="2278"/>
      <c r="DL110" s="2278"/>
      <c r="DM110" s="2278"/>
      <c r="DN110" s="2278"/>
      <c r="DO110" s="2278"/>
      <c r="DP110" s="2279"/>
      <c r="DS110" s="113">
        <v>2</v>
      </c>
    </row>
    <row r="111" spans="1:152" ht="15" customHeight="1">
      <c r="CM111" s="8"/>
      <c r="DF111" s="9"/>
      <c r="DJ111" s="2274">
        <f>'Concr. Pg 1'!DX123</f>
        <v>0</v>
      </c>
      <c r="DK111" s="2275"/>
      <c r="DL111" s="2275"/>
      <c r="DM111" s="2275"/>
      <c r="DN111" s="2275"/>
      <c r="DO111" s="2275"/>
      <c r="DP111" s="2276"/>
      <c r="DS111" s="113">
        <v>3</v>
      </c>
    </row>
    <row r="112" spans="1:152" ht="15" customHeight="1">
      <c r="CM112" s="8"/>
      <c r="CN112" s="2716" t="s">
        <v>64</v>
      </c>
      <c r="CO112" s="2716"/>
      <c r="CP112" s="2716"/>
      <c r="CQ112" s="2716"/>
      <c r="CR112" s="2716"/>
      <c r="CS112" s="2716"/>
      <c r="CT112" s="2716"/>
      <c r="CU112" s="2716"/>
      <c r="CV112" s="2716"/>
      <c r="CW112" s="2716"/>
      <c r="CX112" s="2716"/>
      <c r="CY112" s="2716"/>
      <c r="CZ112" s="2716"/>
      <c r="DA112" s="2256">
        <f>IF(SUM(AN42:AQ101)="",0,SUM(AN42:AQ101)-SUM(AJ42:AM101)+SUM(AR102:BG104))</f>
        <v>0</v>
      </c>
      <c r="DB112" s="2256"/>
      <c r="DC112" s="2256"/>
      <c r="DD112" s="2256"/>
      <c r="DF112" s="9"/>
      <c r="DJ112" s="2277">
        <f>'Concr. Pg 1'!DX124</f>
        <v>0</v>
      </c>
      <c r="DK112" s="2278"/>
      <c r="DL112" s="2278"/>
      <c r="DM112" s="2278"/>
      <c r="DN112" s="2278"/>
      <c r="DO112" s="2278"/>
      <c r="DP112" s="2279"/>
      <c r="DS112" s="113">
        <v>4</v>
      </c>
    </row>
    <row r="113" spans="91:123" ht="15" customHeight="1">
      <c r="CM113" s="8"/>
      <c r="CN113" s="2716"/>
      <c r="CO113" s="2716"/>
      <c r="CP113" s="2716"/>
      <c r="CQ113" s="2716"/>
      <c r="CR113" s="2716"/>
      <c r="CS113" s="2716"/>
      <c r="CT113" s="2716"/>
      <c r="CU113" s="2716"/>
      <c r="CV113" s="2716"/>
      <c r="CW113" s="2716"/>
      <c r="CX113" s="2716"/>
      <c r="CY113" s="2716"/>
      <c r="CZ113" s="2716"/>
      <c r="DA113" s="2256"/>
      <c r="DB113" s="2256"/>
      <c r="DC113" s="2256"/>
      <c r="DD113" s="2256"/>
      <c r="DF113" s="9"/>
      <c r="DJ113" s="12" t="s">
        <v>148</v>
      </c>
      <c r="DK113" s="13"/>
      <c r="DL113" s="13"/>
      <c r="DM113" s="13"/>
      <c r="DN113" s="13"/>
      <c r="DO113" s="13"/>
      <c r="DP113" s="14"/>
      <c r="DS113" s="113">
        <v>5</v>
      </c>
    </row>
    <row r="114" spans="91:123" ht="15" customHeight="1">
      <c r="CM114" s="8"/>
      <c r="DF114" s="9"/>
      <c r="DJ114" s="12" t="s">
        <v>190</v>
      </c>
      <c r="DK114" s="13"/>
      <c r="DL114" s="13"/>
      <c r="DM114" s="13"/>
      <c r="DN114" s="13"/>
      <c r="DO114" s="13"/>
      <c r="DP114" s="14"/>
      <c r="DS114" s="113">
        <v>6</v>
      </c>
    </row>
    <row r="115" spans="91:123" ht="15" customHeight="1">
      <c r="CM115" s="8"/>
      <c r="CN115" s="2716" t="s">
        <v>65</v>
      </c>
      <c r="CO115" s="2716"/>
      <c r="CP115" s="2716"/>
      <c r="CQ115" s="2716"/>
      <c r="CR115" s="2716"/>
      <c r="CS115" s="2716"/>
      <c r="CT115" s="2716"/>
      <c r="CU115" s="2716"/>
      <c r="CV115" s="2716"/>
      <c r="CW115" s="2716"/>
      <c r="CX115" s="2716"/>
      <c r="CY115" s="2716"/>
      <c r="CZ115" s="2716"/>
      <c r="DA115" s="2256">
        <f>SUM(BL42:BO101)</f>
        <v>0</v>
      </c>
      <c r="DB115" s="2256"/>
      <c r="DC115" s="2256"/>
      <c r="DD115" s="2256"/>
      <c r="DF115" s="9"/>
      <c r="DS115" s="113">
        <v>7</v>
      </c>
    </row>
    <row r="116" spans="91:123" ht="15" customHeight="1">
      <c r="CM116" s="8"/>
      <c r="CN116" s="2716"/>
      <c r="CO116" s="2716"/>
      <c r="CP116" s="2716"/>
      <c r="CQ116" s="2716"/>
      <c r="CR116" s="2716"/>
      <c r="CS116" s="2716"/>
      <c r="CT116" s="2716"/>
      <c r="CU116" s="2716"/>
      <c r="CV116" s="2716"/>
      <c r="CW116" s="2716"/>
      <c r="CX116" s="2716"/>
      <c r="CY116" s="2716"/>
      <c r="CZ116" s="2716"/>
      <c r="DA116" s="2256"/>
      <c r="DB116" s="2256"/>
      <c r="DC116" s="2256"/>
      <c r="DD116" s="2256"/>
      <c r="DF116" s="9"/>
      <c r="DS116" s="113">
        <v>8</v>
      </c>
    </row>
    <row r="117" spans="91:123" ht="15" customHeight="1">
      <c r="CM117" s="8"/>
      <c r="DF117" s="9"/>
      <c r="DS117" s="113">
        <v>9</v>
      </c>
    </row>
    <row r="118" spans="91:123" ht="15" customHeight="1">
      <c r="CM118" s="8"/>
      <c r="CN118" s="2716" t="s">
        <v>67</v>
      </c>
      <c r="CO118" s="2716"/>
      <c r="CP118" s="2716"/>
      <c r="CQ118" s="2716"/>
      <c r="CR118" s="2716"/>
      <c r="CS118" s="2716"/>
      <c r="CT118" s="2716"/>
      <c r="CU118" s="2716"/>
      <c r="CV118" s="2716"/>
      <c r="CW118" s="2716"/>
      <c r="CX118" s="2716"/>
      <c r="CY118" s="2716"/>
      <c r="CZ118" s="2716"/>
      <c r="DA118" s="2256">
        <f>SUM(BH42:BK101)</f>
        <v>0</v>
      </c>
      <c r="DB118" s="2256"/>
      <c r="DC118" s="2256"/>
      <c r="DD118" s="2256"/>
      <c r="DF118" s="9"/>
      <c r="DS118" s="113">
        <v>10</v>
      </c>
    </row>
    <row r="119" spans="91:123" ht="15" customHeight="1">
      <c r="CM119" s="8"/>
      <c r="CN119" s="2716"/>
      <c r="CO119" s="2716"/>
      <c r="CP119" s="2716"/>
      <c r="CQ119" s="2716"/>
      <c r="CR119" s="2716"/>
      <c r="CS119" s="2716"/>
      <c r="CT119" s="2716"/>
      <c r="CU119" s="2716"/>
      <c r="CV119" s="2716"/>
      <c r="CW119" s="2716"/>
      <c r="CX119" s="2716"/>
      <c r="CY119" s="2716"/>
      <c r="CZ119" s="2716"/>
      <c r="DA119" s="2256"/>
      <c r="DB119" s="2256"/>
      <c r="DC119" s="2256"/>
      <c r="DD119" s="2256"/>
      <c r="DF119" s="9"/>
    </row>
    <row r="120" spans="91:123" ht="15" customHeight="1">
      <c r="CM120" s="8"/>
      <c r="DF120" s="9"/>
    </row>
    <row r="121" spans="91:123" ht="15" customHeight="1">
      <c r="CM121" s="8"/>
      <c r="CN121" s="2716" t="s">
        <v>139</v>
      </c>
      <c r="CO121" s="2716"/>
      <c r="CP121" s="2716"/>
      <c r="CQ121" s="2716"/>
      <c r="CR121" s="2716"/>
      <c r="CS121" s="2716"/>
      <c r="CT121" s="2716"/>
      <c r="CU121" s="2716"/>
      <c r="CV121" s="2716"/>
      <c r="CW121" s="2716"/>
      <c r="CX121" s="2716"/>
      <c r="CY121" s="2716"/>
      <c r="CZ121" s="2716"/>
      <c r="DA121" s="2256">
        <f>SUM(AJ42:AM101)</f>
        <v>0</v>
      </c>
      <c r="DB121" s="2256"/>
      <c r="DC121" s="2256"/>
      <c r="DD121" s="2256"/>
      <c r="DF121" s="9"/>
    </row>
    <row r="122" spans="91:123">
      <c r="CM122" s="8"/>
      <c r="CN122" s="2716"/>
      <c r="CO122" s="2716"/>
      <c r="CP122" s="2716"/>
      <c r="CQ122" s="2716"/>
      <c r="CR122" s="2716"/>
      <c r="CS122" s="2716"/>
      <c r="CT122" s="2716"/>
      <c r="CU122" s="2716"/>
      <c r="CV122" s="2716"/>
      <c r="CW122" s="2716"/>
      <c r="CX122" s="2716"/>
      <c r="CY122" s="2716"/>
      <c r="CZ122" s="2716"/>
      <c r="DA122" s="2256"/>
      <c r="DB122" s="2256"/>
      <c r="DC122" s="2256"/>
      <c r="DD122" s="2256"/>
      <c r="DF122" s="9"/>
    </row>
    <row r="123" spans="91:123">
      <c r="CM123" s="8"/>
      <c r="DF123" s="9"/>
    </row>
    <row r="124" spans="91:123" ht="15" customHeight="1">
      <c r="CM124" s="8"/>
      <c r="CN124" s="2716" t="s">
        <v>141</v>
      </c>
      <c r="CO124" s="2716"/>
      <c r="CP124" s="2716"/>
      <c r="CQ124" s="2716"/>
      <c r="CR124" s="2716"/>
      <c r="CS124" s="2716"/>
      <c r="CT124" s="2716"/>
      <c r="CU124" s="2716"/>
      <c r="CV124" s="2716"/>
      <c r="CW124" s="2716"/>
      <c r="CX124" s="2716"/>
      <c r="CY124" s="2716"/>
      <c r="CZ124" s="2716"/>
      <c r="DA124" s="2256">
        <f>SUM(AN42:AQ101)</f>
        <v>0</v>
      </c>
      <c r="DB124" s="2256"/>
      <c r="DC124" s="2256"/>
      <c r="DD124" s="2256"/>
      <c r="DF124" s="9"/>
    </row>
    <row r="125" spans="91:123" ht="15" customHeight="1">
      <c r="CM125" s="8"/>
      <c r="CN125" s="2716"/>
      <c r="CO125" s="2716"/>
      <c r="CP125" s="2716"/>
      <c r="CQ125" s="2716"/>
      <c r="CR125" s="2716"/>
      <c r="CS125" s="2716"/>
      <c r="CT125" s="2716"/>
      <c r="CU125" s="2716"/>
      <c r="CV125" s="2716"/>
      <c r="CW125" s="2716"/>
      <c r="CX125" s="2716"/>
      <c r="CY125" s="2716"/>
      <c r="CZ125" s="2716"/>
      <c r="DA125" s="2256"/>
      <c r="DB125" s="2256"/>
      <c r="DC125" s="2256"/>
      <c r="DD125" s="2256"/>
      <c r="DF125" s="9"/>
    </row>
    <row r="126" spans="91:123" ht="15.75" customHeight="1">
      <c r="CM126" s="8"/>
      <c r="DF126" s="9"/>
    </row>
    <row r="127" spans="91:123">
      <c r="CM127" s="15"/>
      <c r="CN127" s="16"/>
      <c r="CO127" s="16"/>
      <c r="CP127" s="16"/>
      <c r="CQ127" s="16"/>
      <c r="CR127" s="16"/>
      <c r="CS127" s="16"/>
      <c r="CT127" s="16"/>
      <c r="CU127" s="16"/>
      <c r="CV127" s="16"/>
      <c r="CW127" s="16"/>
      <c r="CX127" s="16"/>
      <c r="CY127" s="16"/>
      <c r="CZ127" s="16"/>
      <c r="DA127" s="16"/>
      <c r="DB127" s="16"/>
      <c r="DC127" s="16"/>
      <c r="DD127" s="16"/>
      <c r="DE127" s="16"/>
      <c r="DF127" s="17"/>
    </row>
  </sheetData>
  <sheetProtection algorithmName="SHA-512" hashValue="Cg5zE0Qa3bK2NMhY1QrLJ64qe9JzMu8pCgLSbb7VdJdzkVwAaj6+wZ4bPrsupt+KDrUG9hsA3tlfAxEHQb4LIg==" saltValue="LEFnlEkxhsOcCHcujufz9g==" spinCount="100000" sheet="1" selectLockedCells="1"/>
  <mergeCells count="493">
    <mergeCell ref="CQ98:CT101"/>
    <mergeCell ref="CQ62:CT65"/>
    <mergeCell ref="CQ66:CT69"/>
    <mergeCell ref="CQ70:CT73"/>
    <mergeCell ref="CQ74:CT77"/>
    <mergeCell ref="CQ78:CT81"/>
    <mergeCell ref="CQ82:CT85"/>
    <mergeCell ref="CQ86:CT89"/>
    <mergeCell ref="CQ90:CT93"/>
    <mergeCell ref="CQ94:CT97"/>
    <mergeCell ref="CO33:CV34"/>
    <mergeCell ref="CO35:CV36"/>
    <mergeCell ref="CO37:CV38"/>
    <mergeCell ref="CO39:CV41"/>
    <mergeCell ref="CQ42:CT45"/>
    <mergeCell ref="CQ46:CT49"/>
    <mergeCell ref="CQ50:CT53"/>
    <mergeCell ref="CQ54:CT57"/>
    <mergeCell ref="CQ58:CT61"/>
    <mergeCell ref="L40:O41"/>
    <mergeCell ref="CK74:CM77"/>
    <mergeCell ref="CK78:CM81"/>
    <mergeCell ref="CK82:CM85"/>
    <mergeCell ref="CK86:CM89"/>
    <mergeCell ref="CK90:CM93"/>
    <mergeCell ref="CK94:CM97"/>
    <mergeCell ref="CK98:CM101"/>
    <mergeCell ref="CK38:CM41"/>
    <mergeCell ref="CK42:CM45"/>
    <mergeCell ref="CK46:CM49"/>
    <mergeCell ref="CK50:CM53"/>
    <mergeCell ref="CK54:CM57"/>
    <mergeCell ref="CK58:CM61"/>
    <mergeCell ref="CK62:CM65"/>
    <mergeCell ref="CK66:CM69"/>
    <mergeCell ref="CK70:CM73"/>
    <mergeCell ref="CI86:CJ89"/>
    <mergeCell ref="CI74:CJ77"/>
    <mergeCell ref="CI62:CJ65"/>
    <mergeCell ref="CI50:CJ53"/>
    <mergeCell ref="BT42:CH45"/>
    <mergeCell ref="CI42:CJ45"/>
    <mergeCell ref="AZ86:BC89"/>
    <mergeCell ref="CH25:CH27"/>
    <mergeCell ref="CH22:CH24"/>
    <mergeCell ref="CH28:CH30"/>
    <mergeCell ref="B31:CH31"/>
    <mergeCell ref="T32:W38"/>
    <mergeCell ref="X32:AA38"/>
    <mergeCell ref="B22:B30"/>
    <mergeCell ref="C22:E30"/>
    <mergeCell ref="F22:M24"/>
    <mergeCell ref="N22:R24"/>
    <mergeCell ref="S22:V24"/>
    <mergeCell ref="W22:Z24"/>
    <mergeCell ref="F25:M27"/>
    <mergeCell ref="N25:R27"/>
    <mergeCell ref="S25:V27"/>
    <mergeCell ref="F28:M30"/>
    <mergeCell ref="N28:R30"/>
    <mergeCell ref="S28:V30"/>
    <mergeCell ref="W25:CG27"/>
    <mergeCell ref="W28:CG30"/>
    <mergeCell ref="L36:O37"/>
    <mergeCell ref="L38:O39"/>
    <mergeCell ref="CI78:CJ81"/>
    <mergeCell ref="AZ78:BC81"/>
    <mergeCell ref="BD78:BG81"/>
    <mergeCell ref="BP82:BS85"/>
    <mergeCell ref="BT82:CH85"/>
    <mergeCell ref="CI82:CJ85"/>
    <mergeCell ref="AZ82:BC85"/>
    <mergeCell ref="BD82:BG85"/>
    <mergeCell ref="BH82:BK85"/>
    <mergeCell ref="BL82:BO85"/>
    <mergeCell ref="BH74:BK77"/>
    <mergeCell ref="BH78:BK81"/>
    <mergeCell ref="BP78:BS81"/>
    <mergeCell ref="BT78:CH81"/>
    <mergeCell ref="BL78:BO81"/>
    <mergeCell ref="BL74:BO77"/>
    <mergeCell ref="BD86:BG89"/>
    <mergeCell ref="BH86:BK89"/>
    <mergeCell ref="BL86:BO89"/>
    <mergeCell ref="BP86:BS89"/>
    <mergeCell ref="BT86:CH89"/>
    <mergeCell ref="CI98:CJ101"/>
    <mergeCell ref="AZ98:BC101"/>
    <mergeCell ref="BD98:BG101"/>
    <mergeCell ref="BH98:BK101"/>
    <mergeCell ref="BL98:BO101"/>
    <mergeCell ref="BP98:BS101"/>
    <mergeCell ref="BT98:CH101"/>
    <mergeCell ref="BT90:CH93"/>
    <mergeCell ref="CI90:CJ93"/>
    <mergeCell ref="BT94:CH97"/>
    <mergeCell ref="CI94:CJ97"/>
    <mergeCell ref="DJ111:DP111"/>
    <mergeCell ref="DJ112:DP112"/>
    <mergeCell ref="CN118:CZ119"/>
    <mergeCell ref="DA118:DD119"/>
    <mergeCell ref="BH105:BK105"/>
    <mergeCell ref="BL105:BO105"/>
    <mergeCell ref="B102:S104"/>
    <mergeCell ref="CN121:CZ122"/>
    <mergeCell ref="DA121:DD122"/>
    <mergeCell ref="AC102:AE102"/>
    <mergeCell ref="AV102:AY104"/>
    <mergeCell ref="AZ102:BC104"/>
    <mergeCell ref="BD102:BG104"/>
    <mergeCell ref="B105:S106"/>
    <mergeCell ref="T105:W106"/>
    <mergeCell ref="DJ110:DP110"/>
    <mergeCell ref="X103:X105"/>
    <mergeCell ref="T102:AB102"/>
    <mergeCell ref="AS105:AW105"/>
    <mergeCell ref="AN105:AR105"/>
    <mergeCell ref="BP102:CH106"/>
    <mergeCell ref="DJ107:DP107"/>
    <mergeCell ref="DJ108:DP108"/>
    <mergeCell ref="DJ109:DP109"/>
    <mergeCell ref="CN124:CZ125"/>
    <mergeCell ref="DA124:DD125"/>
    <mergeCell ref="CN109:CZ110"/>
    <mergeCell ref="DA109:DD110"/>
    <mergeCell ref="CN112:CZ113"/>
    <mergeCell ref="DA112:DD113"/>
    <mergeCell ref="CN115:CZ116"/>
    <mergeCell ref="DA115:DD116"/>
    <mergeCell ref="T103:W104"/>
    <mergeCell ref="Y103:AB104"/>
    <mergeCell ref="Y105:AB106"/>
    <mergeCell ref="AC103:AE105"/>
    <mergeCell ref="AC106:AE106"/>
    <mergeCell ref="AF106:BO106"/>
    <mergeCell ref="BH102:BK104"/>
    <mergeCell ref="BL102:BO104"/>
    <mergeCell ref="AF105:AI105"/>
    <mergeCell ref="AJ105:AM105"/>
    <mergeCell ref="AX105:BA105"/>
    <mergeCell ref="BB105:BG105"/>
    <mergeCell ref="AF102:AI104"/>
    <mergeCell ref="AJ102:AM104"/>
    <mergeCell ref="AN102:AQ104"/>
    <mergeCell ref="AR102:AU104"/>
    <mergeCell ref="A98:A101"/>
    <mergeCell ref="B98:G101"/>
    <mergeCell ref="H98:K101"/>
    <mergeCell ref="L98:O101"/>
    <mergeCell ref="P98:S101"/>
    <mergeCell ref="T98:W101"/>
    <mergeCell ref="X98:AA101"/>
    <mergeCell ref="AR94:AU97"/>
    <mergeCell ref="AV94:AY97"/>
    <mergeCell ref="T94:W97"/>
    <mergeCell ref="X94:AA97"/>
    <mergeCell ref="AB94:AE97"/>
    <mergeCell ref="AF94:AI97"/>
    <mergeCell ref="AJ94:AM97"/>
    <mergeCell ref="AN94:AQ97"/>
    <mergeCell ref="AB98:AE101"/>
    <mergeCell ref="AF98:AI101"/>
    <mergeCell ref="AJ98:AM101"/>
    <mergeCell ref="AN98:AQ101"/>
    <mergeCell ref="AR98:AU101"/>
    <mergeCell ref="AV98:AY101"/>
    <mergeCell ref="A94:A97"/>
    <mergeCell ref="B94:G97"/>
    <mergeCell ref="H94:K97"/>
    <mergeCell ref="L94:O97"/>
    <mergeCell ref="P94:S97"/>
    <mergeCell ref="AJ90:AM93"/>
    <mergeCell ref="AN90:AQ93"/>
    <mergeCell ref="AR90:AU93"/>
    <mergeCell ref="AV90:AY93"/>
    <mergeCell ref="AZ90:BC93"/>
    <mergeCell ref="BD90:BG93"/>
    <mergeCell ref="BP94:BS97"/>
    <mergeCell ref="AZ94:BC97"/>
    <mergeCell ref="BD94:BG97"/>
    <mergeCell ref="BH94:BK97"/>
    <mergeCell ref="BL94:BO97"/>
    <mergeCell ref="BP90:BS93"/>
    <mergeCell ref="BH90:BK93"/>
    <mergeCell ref="BL90:BO93"/>
    <mergeCell ref="A90:A93"/>
    <mergeCell ref="B90:G93"/>
    <mergeCell ref="H90:K93"/>
    <mergeCell ref="L90:O93"/>
    <mergeCell ref="P90:S93"/>
    <mergeCell ref="T90:W93"/>
    <mergeCell ref="X90:AA93"/>
    <mergeCell ref="AB90:AE93"/>
    <mergeCell ref="AF90:AI93"/>
    <mergeCell ref="AB86:AE89"/>
    <mergeCell ref="AF86:AI89"/>
    <mergeCell ref="AJ86:AM89"/>
    <mergeCell ref="AN86:AQ89"/>
    <mergeCell ref="AR86:AU89"/>
    <mergeCell ref="AV86:AY89"/>
    <mergeCell ref="A86:A89"/>
    <mergeCell ref="B86:G89"/>
    <mergeCell ref="H86:K89"/>
    <mergeCell ref="L86:O89"/>
    <mergeCell ref="P86:S89"/>
    <mergeCell ref="T86:W89"/>
    <mergeCell ref="X86:AA89"/>
    <mergeCell ref="A78:A81"/>
    <mergeCell ref="B78:G81"/>
    <mergeCell ref="H78:K81"/>
    <mergeCell ref="AR82:AU85"/>
    <mergeCell ref="AV82:AY85"/>
    <mergeCell ref="T82:W85"/>
    <mergeCell ref="X82:AA85"/>
    <mergeCell ref="AB82:AE85"/>
    <mergeCell ref="AF82:AI85"/>
    <mergeCell ref="AJ82:AM85"/>
    <mergeCell ref="AN82:AQ85"/>
    <mergeCell ref="X78:AA81"/>
    <mergeCell ref="AB78:AE81"/>
    <mergeCell ref="AF78:AI81"/>
    <mergeCell ref="A82:A85"/>
    <mergeCell ref="B82:G85"/>
    <mergeCell ref="H82:K85"/>
    <mergeCell ref="L82:O85"/>
    <mergeCell ref="P82:S85"/>
    <mergeCell ref="AJ78:AM81"/>
    <mergeCell ref="A74:A77"/>
    <mergeCell ref="B74:G77"/>
    <mergeCell ref="H74:K77"/>
    <mergeCell ref="L74:O77"/>
    <mergeCell ref="P74:S77"/>
    <mergeCell ref="T74:W77"/>
    <mergeCell ref="X74:AA77"/>
    <mergeCell ref="AB74:AE77"/>
    <mergeCell ref="AF74:AI77"/>
    <mergeCell ref="AJ74:AM77"/>
    <mergeCell ref="AN74:AQ77"/>
    <mergeCell ref="AR74:AU77"/>
    <mergeCell ref="AV74:AY77"/>
    <mergeCell ref="L78:O81"/>
    <mergeCell ref="P78:S81"/>
    <mergeCell ref="T78:W81"/>
    <mergeCell ref="CI66:CJ69"/>
    <mergeCell ref="AZ66:BC69"/>
    <mergeCell ref="BD66:BG69"/>
    <mergeCell ref="BP70:BS73"/>
    <mergeCell ref="BT70:CH73"/>
    <mergeCell ref="CI70:CJ73"/>
    <mergeCell ref="AZ70:BC73"/>
    <mergeCell ref="BD70:BG73"/>
    <mergeCell ref="BH70:BK73"/>
    <mergeCell ref="BL70:BO73"/>
    <mergeCell ref="AN78:AQ81"/>
    <mergeCell ref="AR78:AU81"/>
    <mergeCell ref="AV78:AY81"/>
    <mergeCell ref="BP74:BS77"/>
    <mergeCell ref="BT74:CH77"/>
    <mergeCell ref="AZ74:BC77"/>
    <mergeCell ref="BD74:BG77"/>
    <mergeCell ref="A70:A73"/>
    <mergeCell ref="B70:G73"/>
    <mergeCell ref="H70:K73"/>
    <mergeCell ref="L70:O73"/>
    <mergeCell ref="P70:S73"/>
    <mergeCell ref="AJ66:AM69"/>
    <mergeCell ref="AN66:AQ69"/>
    <mergeCell ref="AR66:AU69"/>
    <mergeCell ref="AV66:AY69"/>
    <mergeCell ref="A66:A69"/>
    <mergeCell ref="B66:G69"/>
    <mergeCell ref="H66:K69"/>
    <mergeCell ref="AR70:AU73"/>
    <mergeCell ref="AV70:AY73"/>
    <mergeCell ref="T70:W73"/>
    <mergeCell ref="X70:AA73"/>
    <mergeCell ref="AB70:AE73"/>
    <mergeCell ref="AF70:AI73"/>
    <mergeCell ref="AJ70:AM73"/>
    <mergeCell ref="AN70:AQ73"/>
    <mergeCell ref="BP62:BS65"/>
    <mergeCell ref="BT62:CH65"/>
    <mergeCell ref="AB62:AE65"/>
    <mergeCell ref="AF62:AI65"/>
    <mergeCell ref="AJ62:AM65"/>
    <mergeCell ref="AN62:AQ65"/>
    <mergeCell ref="AR62:AU65"/>
    <mergeCell ref="AV62:AY65"/>
    <mergeCell ref="L66:O69"/>
    <mergeCell ref="P66:S69"/>
    <mergeCell ref="T66:W69"/>
    <mergeCell ref="X66:AA69"/>
    <mergeCell ref="AB66:AE69"/>
    <mergeCell ref="AF66:AI69"/>
    <mergeCell ref="AZ62:BC65"/>
    <mergeCell ref="BD62:BG65"/>
    <mergeCell ref="BH62:BK65"/>
    <mergeCell ref="BH66:BK69"/>
    <mergeCell ref="BP66:BS69"/>
    <mergeCell ref="BT66:CH69"/>
    <mergeCell ref="BL66:BO69"/>
    <mergeCell ref="BL62:BO65"/>
    <mergeCell ref="A62:A65"/>
    <mergeCell ref="B62:G65"/>
    <mergeCell ref="H62:K65"/>
    <mergeCell ref="L62:O65"/>
    <mergeCell ref="P62:S65"/>
    <mergeCell ref="T62:W65"/>
    <mergeCell ref="X62:AA65"/>
    <mergeCell ref="AR58:AU61"/>
    <mergeCell ref="AV58:AY61"/>
    <mergeCell ref="T58:W61"/>
    <mergeCell ref="X58:AA61"/>
    <mergeCell ref="AB58:AE61"/>
    <mergeCell ref="AF58:AI61"/>
    <mergeCell ref="AJ58:AM61"/>
    <mergeCell ref="AN58:AQ61"/>
    <mergeCell ref="CI54:CJ57"/>
    <mergeCell ref="A58:A61"/>
    <mergeCell ref="B58:G61"/>
    <mergeCell ref="H58:K61"/>
    <mergeCell ref="L58:O61"/>
    <mergeCell ref="P58:S61"/>
    <mergeCell ref="AJ54:AM57"/>
    <mergeCell ref="AN54:AQ57"/>
    <mergeCell ref="AR54:AU57"/>
    <mergeCell ref="AV54:AY57"/>
    <mergeCell ref="AZ54:BC57"/>
    <mergeCell ref="BD54:BG57"/>
    <mergeCell ref="BP58:BS61"/>
    <mergeCell ref="BT58:CH61"/>
    <mergeCell ref="CI58:CJ61"/>
    <mergeCell ref="AZ58:BC61"/>
    <mergeCell ref="BD58:BG61"/>
    <mergeCell ref="BH58:BK61"/>
    <mergeCell ref="BL58:BO61"/>
    <mergeCell ref="A54:A57"/>
    <mergeCell ref="B54:G57"/>
    <mergeCell ref="H54:K57"/>
    <mergeCell ref="BP50:BS53"/>
    <mergeCell ref="BT50:CH53"/>
    <mergeCell ref="AB50:AE53"/>
    <mergeCell ref="AF50:AI53"/>
    <mergeCell ref="AJ50:AM53"/>
    <mergeCell ref="AN50:AQ53"/>
    <mergeCell ref="AR50:AU53"/>
    <mergeCell ref="AV50:AY53"/>
    <mergeCell ref="L54:O57"/>
    <mergeCell ref="P54:S57"/>
    <mergeCell ref="T54:W57"/>
    <mergeCell ref="X54:AA57"/>
    <mergeCell ref="AB54:AE57"/>
    <mergeCell ref="AF54:AI57"/>
    <mergeCell ref="AZ50:BC53"/>
    <mergeCell ref="BD50:BG53"/>
    <mergeCell ref="BH50:BK53"/>
    <mergeCell ref="BH54:BK57"/>
    <mergeCell ref="BP54:BS57"/>
    <mergeCell ref="BT54:CH57"/>
    <mergeCell ref="BL54:BO57"/>
    <mergeCell ref="BL50:BO53"/>
    <mergeCell ref="A50:A53"/>
    <mergeCell ref="B50:G53"/>
    <mergeCell ref="H50:K53"/>
    <mergeCell ref="L50:O53"/>
    <mergeCell ref="P50:S53"/>
    <mergeCell ref="T50:W53"/>
    <mergeCell ref="X50:AA53"/>
    <mergeCell ref="AR46:AU49"/>
    <mergeCell ref="AV46:AY49"/>
    <mergeCell ref="T46:W49"/>
    <mergeCell ref="X46:AA49"/>
    <mergeCell ref="AB46:AE49"/>
    <mergeCell ref="AF46:AI49"/>
    <mergeCell ref="AJ46:AM49"/>
    <mergeCell ref="AN46:AQ49"/>
    <mergeCell ref="A46:A49"/>
    <mergeCell ref="B46:G49"/>
    <mergeCell ref="H46:K49"/>
    <mergeCell ref="L46:O49"/>
    <mergeCell ref="P46:S49"/>
    <mergeCell ref="AN42:AQ45"/>
    <mergeCell ref="AR42:AU45"/>
    <mergeCell ref="AV42:AY45"/>
    <mergeCell ref="AZ42:BC45"/>
    <mergeCell ref="BD42:BG45"/>
    <mergeCell ref="BP46:BS49"/>
    <mergeCell ref="BT46:CH49"/>
    <mergeCell ref="CI46:CJ49"/>
    <mergeCell ref="AZ46:BC49"/>
    <mergeCell ref="BD46:BG49"/>
    <mergeCell ref="BH46:BK49"/>
    <mergeCell ref="BL46:BO49"/>
    <mergeCell ref="A42:A45"/>
    <mergeCell ref="BP39:BS41"/>
    <mergeCell ref="AJ40:AQ41"/>
    <mergeCell ref="B42:G45"/>
    <mergeCell ref="H42:K45"/>
    <mergeCell ref="L42:O45"/>
    <mergeCell ref="P42:S45"/>
    <mergeCell ref="T42:W45"/>
    <mergeCell ref="X42:AA45"/>
    <mergeCell ref="AB42:AE45"/>
    <mergeCell ref="AF42:AI45"/>
    <mergeCell ref="AV34:AY41"/>
    <mergeCell ref="L32:O35"/>
    <mergeCell ref="BH42:BK45"/>
    <mergeCell ref="BL42:BO45"/>
    <mergeCell ref="BP42:BS45"/>
    <mergeCell ref="AN32:AQ33"/>
    <mergeCell ref="AR32:BG33"/>
    <mergeCell ref="AZ34:BC41"/>
    <mergeCell ref="BD34:BG41"/>
    <mergeCell ref="B32:G41"/>
    <mergeCell ref="H32:K41"/>
    <mergeCell ref="P32:S41"/>
    <mergeCell ref="AJ42:AM45"/>
    <mergeCell ref="AS8:AT10"/>
    <mergeCell ref="AS11:AT13"/>
    <mergeCell ref="B20:CH20"/>
    <mergeCell ref="B14:I16"/>
    <mergeCell ref="J14:X16"/>
    <mergeCell ref="Y14:AB16"/>
    <mergeCell ref="AC14:AM16"/>
    <mergeCell ref="AN14:AQ16"/>
    <mergeCell ref="AR14:AY16"/>
    <mergeCell ref="AZ14:BG16"/>
    <mergeCell ref="B17:I19"/>
    <mergeCell ref="J17:AC19"/>
    <mergeCell ref="AD17:AG19"/>
    <mergeCell ref="AH17:CG19"/>
    <mergeCell ref="CH17:CH19"/>
    <mergeCell ref="BH14:BU16"/>
    <mergeCell ref="BV14:BY16"/>
    <mergeCell ref="BZ14:CG16"/>
    <mergeCell ref="CH14:CH16"/>
    <mergeCell ref="B7:CH7"/>
    <mergeCell ref="B8:I10"/>
    <mergeCell ref="J8:AC10"/>
    <mergeCell ref="AD8:AE10"/>
    <mergeCell ref="AF8:AJ10"/>
    <mergeCell ref="AU11:AZ13"/>
    <mergeCell ref="T39:W41"/>
    <mergeCell ref="BP8:BS10"/>
    <mergeCell ref="BV11:CG13"/>
    <mergeCell ref="BT8:BW10"/>
    <mergeCell ref="BX8:BZ10"/>
    <mergeCell ref="CA8:CC10"/>
    <mergeCell ref="CD8:CF10"/>
    <mergeCell ref="CG8:CH10"/>
    <mergeCell ref="B11:I13"/>
    <mergeCell ref="J11:AC13"/>
    <mergeCell ref="AD11:AE13"/>
    <mergeCell ref="AF11:AJ13"/>
    <mergeCell ref="BP11:BU13"/>
    <mergeCell ref="AU8:BD10"/>
    <mergeCell ref="BE8:BO10"/>
    <mergeCell ref="BA11:BO13"/>
    <mergeCell ref="AK8:AR10"/>
    <mergeCell ref="AK11:AR13"/>
    <mergeCell ref="B1:H2"/>
    <mergeCell ref="I1:CA2"/>
    <mergeCell ref="CB1:CH2"/>
    <mergeCell ref="B3:H5"/>
    <mergeCell ref="I3:CA5"/>
    <mergeCell ref="CB3:CH4"/>
    <mergeCell ref="CB5:CH6"/>
    <mergeCell ref="B6:H6"/>
    <mergeCell ref="I6:CA6"/>
    <mergeCell ref="CQ14:EU16"/>
    <mergeCell ref="X39:AA41"/>
    <mergeCell ref="AB39:AE41"/>
    <mergeCell ref="AF39:AI41"/>
    <mergeCell ref="BH39:BK41"/>
    <mergeCell ref="BL39:BO41"/>
    <mergeCell ref="AB32:AE38"/>
    <mergeCell ref="AF32:AI38"/>
    <mergeCell ref="AJ32:AM33"/>
    <mergeCell ref="BH32:BK38"/>
    <mergeCell ref="BL32:BO38"/>
    <mergeCell ref="BT32:CH35"/>
    <mergeCell ref="AJ34:AQ37"/>
    <mergeCell ref="AR34:AU41"/>
    <mergeCell ref="BT36:CH41"/>
    <mergeCell ref="AJ38:AM39"/>
    <mergeCell ref="AN38:AQ39"/>
    <mergeCell ref="CS18:DM23"/>
    <mergeCell ref="CQ19:CR22"/>
    <mergeCell ref="BP32:BS38"/>
    <mergeCell ref="CS25:DM31"/>
    <mergeCell ref="CQ26:CR29"/>
    <mergeCell ref="B21:CH21"/>
    <mergeCell ref="AA22:CG24"/>
  </mergeCells>
  <conditionalFormatting sqref="H42 H46 H50 H54 H58 H62">
    <cfRule type="expression" dxfId="51" priority="4">
      <formula>NOT(FA100="")</formula>
    </cfRule>
  </conditionalFormatting>
  <conditionalFormatting sqref="H66">
    <cfRule type="expression" dxfId="50" priority="7">
      <formula>NOT(FA124="")</formula>
    </cfRule>
  </conditionalFormatting>
  <conditionalFormatting sqref="H70">
    <cfRule type="expression" dxfId="49" priority="10">
      <formula>NOT(FA128="")</formula>
    </cfRule>
  </conditionalFormatting>
  <conditionalFormatting sqref="J14:X16">
    <cfRule type="expression" dxfId="48" priority="28">
      <formula>J14=DJ108</formula>
    </cfRule>
  </conditionalFormatting>
  <conditionalFormatting sqref="L42:O101">
    <cfRule type="expression" dxfId="47" priority="2">
      <formula>OR($L42="REJECTED",$L42="Not Placed")</formula>
    </cfRule>
  </conditionalFormatting>
  <conditionalFormatting sqref="P42 P46 P50 P54 P58 P62">
    <cfRule type="expression" dxfId="46" priority="3">
      <formula>NOT(FI100="")</formula>
    </cfRule>
  </conditionalFormatting>
  <conditionalFormatting sqref="P66">
    <cfRule type="expression" dxfId="45" priority="6">
      <formula>NOT(FI124="")</formula>
    </cfRule>
  </conditionalFormatting>
  <conditionalFormatting sqref="P70">
    <cfRule type="expression" dxfId="44" priority="9">
      <formula>NOT(FI128="")</formula>
    </cfRule>
  </conditionalFormatting>
  <conditionalFormatting sqref="P42:S101">
    <cfRule type="expression" dxfId="43" priority="1">
      <formula>$CQ42&gt;105</formula>
    </cfRule>
  </conditionalFormatting>
  <conditionalFormatting sqref="AC14:AM16">
    <cfRule type="expression" dxfId="42" priority="27">
      <formula>AC14=DJ109</formula>
    </cfRule>
  </conditionalFormatting>
  <conditionalFormatting sqref="AF42:AI101">
    <cfRule type="expression" dxfId="41" priority="106">
      <formula>OR($L42="REJECTED",$L42="Not Placed")</formula>
    </cfRule>
  </conditionalFormatting>
  <conditionalFormatting sqref="AR14:AY16">
    <cfRule type="expression" dxfId="40" priority="26">
      <formula>AR14=DJ110</formula>
    </cfRule>
  </conditionalFormatting>
  <conditionalFormatting sqref="BH14:BU16">
    <cfRule type="expression" dxfId="39" priority="25">
      <formula>BH14=DJ111</formula>
    </cfRule>
  </conditionalFormatting>
  <conditionalFormatting sqref="BZ14:CG16">
    <cfRule type="expression" dxfId="38" priority="24">
      <formula>BZ14=DJ112</formula>
    </cfRule>
  </conditionalFormatting>
  <conditionalFormatting sqref="CQ42:CT101">
    <cfRule type="expression" dxfId="37" priority="19">
      <formula>$CQ42&gt;105</formula>
    </cfRule>
  </conditionalFormatting>
  <conditionalFormatting sqref="CQ14:EU16">
    <cfRule type="expression" dxfId="36" priority="23">
      <formula>AND(J14=DJ108,AC14=DJ109,AR14=DJ110,BH14=DJ111,BZ14=DJ112)</formula>
    </cfRule>
  </conditionalFormatting>
  <dataValidations count="8">
    <dataValidation type="list" allowBlank="1" showInputMessage="1" sqref="BZ14:CG16" xr:uid="{00000000-0002-0000-0B00-000000000000}">
      <formula1>$DJ$112</formula1>
    </dataValidation>
    <dataValidation type="list" allowBlank="1" showInputMessage="1" sqref="BH14:BU16" xr:uid="{00000000-0002-0000-0B00-000001000000}">
      <formula1>$DJ$111</formula1>
    </dataValidation>
    <dataValidation type="list" allowBlank="1" showInputMessage="1" sqref="AR14:AY16" xr:uid="{00000000-0002-0000-0B00-000002000000}">
      <formula1>$DJ$110</formula1>
    </dataValidation>
    <dataValidation type="list" allowBlank="1" showInputMessage="1" sqref="L74:O101" xr:uid="{179706A5-0ECD-4C8C-BFB1-31E7A4555B77}">
      <formula1>$DJ$113:$DJ$114</formula1>
    </dataValidation>
    <dataValidation type="decimal" errorStyle="information" operator="greaterThan" allowBlank="1" showInputMessage="1" showErrorMessage="1" errorTitle="VD inputs should be &gt; 0.00 cy" error="If a truck load is REJECTED or Not Placed, click on &quot;Start Time or Load REJECTED or Not Placed&quot; (cell Lxx) for this truck, and use drop-down list to select &amp; apply &quot;REJECTED&quot; or &quot;Not Placed&quot;, &amp; input VD (cy) (cell AFxx)." sqref="AF42:AI101" xr:uid="{00000000-0002-0000-0B00-000004000000}">
      <formula1>0</formula1>
    </dataValidation>
    <dataValidation type="time" allowBlank="1" showInputMessage="1" showErrorMessage="1" errorTitle="Time Format Incorrect" error="This time is used in an equation.  Input format must produce a correct displayed time format.  For example &quot;4:00 pm&quot;, or &quot;4:00 PM&quot; or &quot;4 p&quot; would be OK.  Remember the blank space between &quot;pm&quot;  or &quot;am&quot;." sqref="H74:K101" xr:uid="{E74E37F4-A6C7-4651-8FC3-79B564783B84}">
      <formula1>0</formula1>
      <formula2>0.999988425925926</formula2>
    </dataValidation>
    <dataValidation type="time" allowBlank="1" showInputMessage="1" showErrorMessage="1" errorTitle=" Time Format  Incorrect" error="This time is used in an equation.  Input format must produce a correct displayed time format.  For example &quot;4:00 pm&quot;, or &quot;4:00 PM&quot; or &quot;4 p&quot; would be OK.  Remember the blank space between &quot;pm&quot;  or &quot;am&quot;." sqref="P42:S73 H42:K73" xr:uid="{B18207F5-836F-4BE0-ACDA-84A65C241015}">
      <formula1>0</formula1>
      <formula2>0.999988425925926</formula2>
    </dataValidation>
    <dataValidation type="list" allowBlank="1" showInputMessage="1" errorTitle=" Time Format  Incorrect" error="This time is used in an equation.  Input format must produce a correct displayed time format.  For example &quot;4:00 pm&quot;, or &quot;4:00 PM&quot; or &quot;4 p&quot; would be OK.  Remember the blank space between &quot;pm&quot;  or &quot;am&quot;." sqref="L42:O73" xr:uid="{10949F17-C791-4842-9E1C-E820A4EE0DB5}">
      <formula1>$DX$125:$DX$126</formula1>
    </dataValidation>
  </dataValidations>
  <printOptions horizontalCentered="1" verticalCentered="1"/>
  <pageMargins left="0" right="0" top="0" bottom="0" header="0" footer="0"/>
  <pageSetup scale="61" orientation="landscape" r:id="rId1"/>
  <ignoredErrors>
    <ignoredError sqref="CQ42:CT101" unlockedFormula="1"/>
  </ignoredErrors>
  <extLst>
    <ext xmlns:x14="http://schemas.microsoft.com/office/spreadsheetml/2009/9/main" uri="{CCE6A557-97BC-4b89-ADB6-D9C93CAAB3DF}">
      <x14:dataValidations xmlns:xm="http://schemas.microsoft.com/office/excel/2006/main" count="4">
        <x14:dataValidation type="list" showInputMessage="1" xr:uid="{00000000-0002-0000-0B00-000008000000}">
          <x14:formula1>
            <xm:f>List!$I$2:$I$4</xm:f>
          </x14:formula1>
          <xm:sqref>AC14:AM16</xm:sqref>
        </x14:dataValidation>
        <x14:dataValidation type="list" showInputMessage="1" xr:uid="{00000000-0002-0000-0B00-000009000000}">
          <x14:formula1>
            <xm:f>List!$H$2:$H$4</xm:f>
          </x14:formula1>
          <xm:sqref>J14:X16</xm:sqref>
        </x14:dataValidation>
        <x14:dataValidation type="list" allowBlank="1" showInputMessage="1" xr:uid="{00000000-0002-0000-0B00-00000A000000}">
          <x14:formula1>
            <xm:f>List!$F$25:$F$32</xm:f>
          </x14:formula1>
          <xm:sqref>BX8:BZ10</xm:sqref>
        </x14:dataValidation>
        <x14:dataValidation type="list" showInputMessage="1" xr:uid="{00000000-0002-0000-0B00-00000B000000}">
          <x14:formula1>
            <xm:f>List!$F$36:$F$43</xm:f>
          </x14:formula1>
          <xm:sqref>CD8:CF10</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0">
    <tabColor rgb="FF9AD35B"/>
    <pageSetUpPr fitToPage="1"/>
  </sheetPr>
  <dimension ref="B1:DM134"/>
  <sheetViews>
    <sheetView topLeftCell="A2" zoomScale="85" zoomScaleNormal="85" workbookViewId="0">
      <selection activeCell="AB7" sqref="AB7:AF7"/>
    </sheetView>
  </sheetViews>
  <sheetFormatPr defaultColWidth="9.109375" defaultRowHeight="13.2"/>
  <cols>
    <col min="1" max="1" width="1.6640625" style="160" customWidth="1"/>
    <col min="2" max="62" width="2.6640625" style="160" customWidth="1"/>
    <col min="63" max="63" width="9.109375" style="160"/>
    <col min="64" max="64" width="7.5546875" style="160" bestFit="1" customWidth="1"/>
    <col min="65" max="69" width="9.109375" style="160"/>
    <col min="70" max="70" width="2.6640625" style="163" customWidth="1"/>
    <col min="71" max="81" width="9.109375" style="160"/>
    <col min="82" max="144" width="9" style="160" customWidth="1"/>
    <col min="145" max="16384" width="9.109375" style="160"/>
  </cols>
  <sheetData>
    <row r="1" spans="2:96" ht="15.9" customHeight="1">
      <c r="B1" s="3111"/>
      <c r="C1" s="3111"/>
      <c r="D1" s="3111"/>
      <c r="E1" s="3111"/>
      <c r="F1" s="3111"/>
      <c r="G1" s="3111"/>
      <c r="H1" s="3111"/>
      <c r="I1" s="3111"/>
      <c r="J1" s="3111"/>
      <c r="K1" s="3111"/>
      <c r="L1" s="3111"/>
      <c r="M1" s="3111"/>
      <c r="N1" s="3111"/>
      <c r="O1" s="3112" t="s">
        <v>98</v>
      </c>
      <c r="P1" s="3112"/>
      <c r="Q1" s="3112"/>
      <c r="R1" s="3112"/>
      <c r="S1" s="3112"/>
      <c r="T1" s="3112"/>
      <c r="U1" s="3112"/>
      <c r="V1" s="3112"/>
      <c r="W1" s="3112"/>
      <c r="X1" s="3112"/>
      <c r="Y1" s="3112"/>
      <c r="Z1" s="3112"/>
      <c r="AA1" s="3112"/>
      <c r="AB1" s="3112"/>
      <c r="AC1" s="3112"/>
      <c r="AD1" s="3112"/>
      <c r="AE1" s="3112"/>
      <c r="AF1" s="3112"/>
      <c r="AG1" s="3112"/>
      <c r="AH1" s="3112"/>
      <c r="AI1" s="3112"/>
      <c r="AJ1" s="3112"/>
      <c r="AK1" s="3112"/>
      <c r="AL1" s="3112"/>
      <c r="AM1" s="3112"/>
      <c r="AN1" s="3112"/>
      <c r="AO1" s="3112"/>
      <c r="AP1" s="3112"/>
      <c r="AQ1" s="3112"/>
      <c r="AR1" s="3112"/>
      <c r="AS1" s="3112"/>
      <c r="AT1" s="3112"/>
      <c r="AU1" s="3112"/>
      <c r="AV1" s="3112"/>
      <c r="AW1" s="3113" t="str">
        <f>'Concr. Pg 1'!CB1</f>
        <v>700-010-84</v>
      </c>
      <c r="AX1" s="3113"/>
      <c r="AY1" s="3113"/>
      <c r="AZ1" s="3113"/>
      <c r="BA1" s="3113"/>
      <c r="BB1" s="3113"/>
      <c r="BC1" s="3113"/>
      <c r="BD1" s="3113"/>
      <c r="BE1" s="3113"/>
      <c r="BF1" s="3113"/>
      <c r="BG1" s="3113"/>
      <c r="BH1" s="3113"/>
      <c r="BI1" s="3113"/>
      <c r="BL1" s="263" t="s">
        <v>393</v>
      </c>
    </row>
    <row r="2" spans="2:96" ht="20.100000000000001" customHeight="1">
      <c r="B2" s="3056"/>
      <c r="C2" s="3056"/>
      <c r="D2" s="3056"/>
      <c r="E2" s="3056"/>
      <c r="F2" s="3056"/>
      <c r="G2" s="3056"/>
      <c r="H2" s="3056"/>
      <c r="I2" s="3056"/>
      <c r="J2" s="3056"/>
      <c r="K2" s="3056"/>
      <c r="L2" s="3056"/>
      <c r="M2" s="3056"/>
      <c r="N2" s="3056"/>
      <c r="O2" s="3114" t="s">
        <v>93</v>
      </c>
      <c r="P2" s="3114"/>
      <c r="Q2" s="3114"/>
      <c r="R2" s="3114"/>
      <c r="S2" s="3114"/>
      <c r="T2" s="3114"/>
      <c r="U2" s="3114"/>
      <c r="V2" s="3114"/>
      <c r="W2" s="3114"/>
      <c r="X2" s="3114"/>
      <c r="Y2" s="3114"/>
      <c r="Z2" s="3114"/>
      <c r="AA2" s="3114"/>
      <c r="AB2" s="3114"/>
      <c r="AC2" s="3114"/>
      <c r="AD2" s="3114"/>
      <c r="AE2" s="3114"/>
      <c r="AF2" s="3114"/>
      <c r="AG2" s="3114"/>
      <c r="AH2" s="3114"/>
      <c r="AI2" s="3114"/>
      <c r="AJ2" s="3114"/>
      <c r="AK2" s="3114"/>
      <c r="AL2" s="3114"/>
      <c r="AM2" s="3114"/>
      <c r="AN2" s="3114"/>
      <c r="AO2" s="3114"/>
      <c r="AP2" s="3114"/>
      <c r="AQ2" s="3114"/>
      <c r="AR2" s="3114"/>
      <c r="AS2" s="3114"/>
      <c r="AT2" s="3114"/>
      <c r="AU2" s="3114"/>
      <c r="AV2" s="3114"/>
      <c r="AW2" s="3113" t="s">
        <v>8</v>
      </c>
      <c r="AX2" s="3113"/>
      <c r="AY2" s="3113"/>
      <c r="AZ2" s="3113"/>
      <c r="BA2" s="3113"/>
      <c r="BB2" s="3113"/>
      <c r="BC2" s="3113"/>
      <c r="BD2" s="3113"/>
      <c r="BE2" s="3113"/>
      <c r="BF2" s="3113"/>
      <c r="BG2" s="3113"/>
      <c r="BH2" s="3113"/>
      <c r="BI2" s="3113"/>
      <c r="CJ2" s="172"/>
    </row>
    <row r="3" spans="2:96" ht="15.9" customHeight="1">
      <c r="B3" s="3115"/>
      <c r="C3" s="3115"/>
      <c r="D3" s="3115"/>
      <c r="E3" s="3115"/>
      <c r="F3" s="3115"/>
      <c r="G3" s="3115"/>
      <c r="H3" s="3115"/>
      <c r="I3" s="3115"/>
      <c r="J3" s="3115"/>
      <c r="K3" s="3115"/>
      <c r="L3" s="3115"/>
      <c r="M3" s="3115"/>
      <c r="N3" s="3115"/>
      <c r="O3" s="3116" t="s">
        <v>268</v>
      </c>
      <c r="P3" s="3116"/>
      <c r="Q3" s="3116"/>
      <c r="R3" s="3116"/>
      <c r="S3" s="3116"/>
      <c r="T3" s="3116"/>
      <c r="U3" s="3116"/>
      <c r="V3" s="3116"/>
      <c r="W3" s="3116"/>
      <c r="X3" s="3116"/>
      <c r="Y3" s="3116"/>
      <c r="Z3" s="3116"/>
      <c r="AA3" s="3116"/>
      <c r="AB3" s="3116"/>
      <c r="AC3" s="3116"/>
      <c r="AD3" s="3116"/>
      <c r="AE3" s="3116"/>
      <c r="AF3" s="3116"/>
      <c r="AG3" s="3116"/>
      <c r="AH3" s="3116"/>
      <c r="AI3" s="3116"/>
      <c r="AJ3" s="3116"/>
      <c r="AK3" s="3116"/>
      <c r="AL3" s="3116"/>
      <c r="AM3" s="3116"/>
      <c r="AN3" s="3116"/>
      <c r="AO3" s="3116"/>
      <c r="AP3" s="3116"/>
      <c r="AQ3" s="3116"/>
      <c r="AR3" s="3116"/>
      <c r="AS3" s="3116"/>
      <c r="AT3" s="3116"/>
      <c r="AU3" s="3116"/>
      <c r="AV3" s="3116"/>
      <c r="AW3" s="3117">
        <f>'Concr. Pg 1'!CB5</f>
        <v>45222</v>
      </c>
      <c r="AX3" s="3117"/>
      <c r="AY3" s="3117"/>
      <c r="AZ3" s="3117"/>
      <c r="BA3" s="3117"/>
      <c r="BB3" s="3117"/>
      <c r="BC3" s="3117"/>
      <c r="BD3" s="3117"/>
      <c r="BE3" s="3117"/>
      <c r="BF3" s="3117"/>
      <c r="BG3" s="3117"/>
      <c r="BH3" s="3117"/>
      <c r="BI3" s="3117"/>
      <c r="BL3" s="3080" t="s">
        <v>406</v>
      </c>
      <c r="BM3" s="3080"/>
      <c r="BN3" s="3080"/>
      <c r="BO3" s="3080"/>
      <c r="BP3" s="3080"/>
      <c r="BQ3" s="3080"/>
    </row>
    <row r="4" spans="2:96" ht="9.9" customHeight="1">
      <c r="B4" s="3118"/>
      <c r="C4" s="3119"/>
      <c r="D4" s="3119"/>
      <c r="E4" s="3119"/>
      <c r="F4" s="3119"/>
      <c r="G4" s="3119"/>
      <c r="H4" s="3119"/>
      <c r="I4" s="3119"/>
      <c r="J4" s="3119"/>
      <c r="K4" s="3119"/>
      <c r="L4" s="3119"/>
      <c r="M4" s="3119"/>
      <c r="N4" s="3119"/>
      <c r="O4" s="3119"/>
      <c r="P4" s="3119"/>
      <c r="Q4" s="3119"/>
      <c r="R4" s="3119"/>
      <c r="S4" s="3119"/>
      <c r="T4" s="3119"/>
      <c r="U4" s="3119"/>
      <c r="V4" s="3119"/>
      <c r="W4" s="3119"/>
      <c r="X4" s="3119"/>
      <c r="Y4" s="3119"/>
      <c r="Z4" s="3119"/>
      <c r="AA4" s="3119"/>
      <c r="AB4" s="3119"/>
      <c r="AC4" s="3119"/>
      <c r="AD4" s="3119"/>
      <c r="AE4" s="3119"/>
      <c r="AF4" s="3119"/>
      <c r="AG4" s="3119"/>
      <c r="AH4" s="3119"/>
      <c r="AI4" s="3119"/>
      <c r="AJ4" s="3119"/>
      <c r="AK4" s="3119"/>
      <c r="AL4" s="3119"/>
      <c r="AM4" s="3119"/>
      <c r="AN4" s="3119"/>
      <c r="AO4" s="3119"/>
      <c r="AP4" s="3119"/>
      <c r="AQ4" s="3119"/>
      <c r="AR4" s="3119"/>
      <c r="AS4" s="3119"/>
      <c r="AT4" s="3119"/>
      <c r="AU4" s="3119"/>
      <c r="AV4" s="3119"/>
      <c r="AW4" s="3119"/>
      <c r="AX4" s="3119"/>
      <c r="AY4" s="3119"/>
      <c r="AZ4" s="3119"/>
      <c r="BA4" s="3119"/>
      <c r="BB4" s="3119"/>
      <c r="BC4" s="3119"/>
      <c r="BD4" s="3119"/>
      <c r="BE4" s="3119"/>
      <c r="BF4" s="3119"/>
      <c r="BG4" s="3119"/>
      <c r="BH4" s="3119"/>
      <c r="BI4" s="3120"/>
      <c r="BL4" s="3080"/>
      <c r="BM4" s="3080"/>
      <c r="BN4" s="3080"/>
      <c r="BO4" s="3080"/>
      <c r="BP4" s="3080"/>
      <c r="BQ4" s="3080"/>
    </row>
    <row r="5" spans="2:96" ht="20.100000000000001" customHeight="1">
      <c r="B5" s="760"/>
      <c r="C5" s="3027" t="s">
        <v>78</v>
      </c>
      <c r="D5" s="3027"/>
      <c r="E5" s="3027"/>
      <c r="F5" s="3027"/>
      <c r="G5" s="3027"/>
      <c r="H5" s="3027"/>
      <c r="I5" s="3048" t="str">
        <f>IF('Concr. Pg 1'!J8="","",'Concr. Pg 1'!J8)</f>
        <v/>
      </c>
      <c r="J5" s="3048"/>
      <c r="K5" s="3048"/>
      <c r="L5" s="3048"/>
      <c r="M5" s="3048"/>
      <c r="N5" s="3048"/>
      <c r="O5" s="3048"/>
      <c r="P5" s="3048"/>
      <c r="Q5" s="3048"/>
      <c r="R5" s="3048"/>
      <c r="S5" s="3048"/>
      <c r="T5" s="3048"/>
      <c r="U5" s="3048"/>
      <c r="V5" s="3048"/>
      <c r="W5" s="3027" t="s">
        <v>155</v>
      </c>
      <c r="X5" s="3027"/>
      <c r="Y5" s="3027"/>
      <c r="Z5" s="3027"/>
      <c r="AA5" s="3027"/>
      <c r="AB5" s="3028" t="str">
        <f>IF('Concr. Pg 1'!AK8="","",'Concr. Pg 1'!AK8)</f>
        <v/>
      </c>
      <c r="AC5" s="3028"/>
      <c r="AD5" s="3028"/>
      <c r="AE5" s="3028"/>
      <c r="AF5" s="3028"/>
      <c r="AG5" s="3029" t="s">
        <v>157</v>
      </c>
      <c r="AH5" s="3029"/>
      <c r="AI5" s="3029"/>
      <c r="AJ5" s="3029"/>
      <c r="AK5" s="3029"/>
      <c r="AL5" s="3029"/>
      <c r="AM5" s="3029"/>
      <c r="AN5" s="3029"/>
      <c r="AO5" s="3028" t="str">
        <f>IF('Concr. Pg 1'!BE8="","",'Concr. Pg 1'!BE8)</f>
        <v/>
      </c>
      <c r="AP5" s="3028"/>
      <c r="AQ5" s="3028"/>
      <c r="AR5" s="3028"/>
      <c r="AS5" s="3028"/>
      <c r="AT5" s="3028"/>
      <c r="AU5" s="3028"/>
      <c r="AV5" s="3028"/>
      <c r="AW5" s="3027" t="s">
        <v>159</v>
      </c>
      <c r="AX5" s="3027"/>
      <c r="AY5" s="3027"/>
      <c r="AZ5" s="3027"/>
      <c r="BA5" s="3081"/>
      <c r="BB5" s="3081"/>
      <c r="BC5" s="3081"/>
      <c r="BD5" s="3049" t="s">
        <v>981</v>
      </c>
      <c r="BE5" s="3049"/>
      <c r="BF5" s="3050"/>
      <c r="BG5" s="3051"/>
      <c r="BH5" s="3051"/>
      <c r="BI5" s="761"/>
      <c r="BL5" s="3080"/>
      <c r="BM5" s="3080"/>
      <c r="BN5" s="3080"/>
      <c r="BO5" s="3080"/>
      <c r="BP5" s="3080"/>
      <c r="BQ5" s="3080"/>
    </row>
    <row r="6" spans="2:96" ht="20.100000000000001" customHeight="1" thickBot="1">
      <c r="B6" s="760"/>
      <c r="C6" s="3027" t="s">
        <v>79</v>
      </c>
      <c r="D6" s="3027"/>
      <c r="E6" s="3027"/>
      <c r="F6" s="3027"/>
      <c r="G6" s="3027"/>
      <c r="H6" s="3027"/>
      <c r="I6" s="3048" t="str">
        <f>IF('Concr. Pg 1'!J11="","",'Concr. Pg 1'!J11)</f>
        <v/>
      </c>
      <c r="J6" s="3048"/>
      <c r="K6" s="3048"/>
      <c r="L6" s="3048"/>
      <c r="M6" s="3048"/>
      <c r="N6" s="3048"/>
      <c r="O6" s="3048"/>
      <c r="P6" s="3048"/>
      <c r="Q6" s="3048"/>
      <c r="R6" s="3048"/>
      <c r="S6" s="3048"/>
      <c r="T6" s="3048"/>
      <c r="U6" s="3048"/>
      <c r="V6" s="3048"/>
      <c r="W6" s="3027" t="s">
        <v>156</v>
      </c>
      <c r="X6" s="3027"/>
      <c r="Y6" s="3027"/>
      <c r="Z6" s="3027"/>
      <c r="AA6" s="3027"/>
      <c r="AB6" s="3028" t="str">
        <f>IF('Concr. Pg 1'!AK11="","",'Concr. Pg 1'!AK11)</f>
        <v/>
      </c>
      <c r="AC6" s="3028"/>
      <c r="AD6" s="3028"/>
      <c r="AE6" s="3028"/>
      <c r="AF6" s="3028"/>
      <c r="AG6" s="3027" t="s">
        <v>158</v>
      </c>
      <c r="AH6" s="3027"/>
      <c r="AI6" s="3027"/>
      <c r="AJ6" s="3027"/>
      <c r="AK6" s="3027"/>
      <c r="AL6" s="3027"/>
      <c r="AM6" s="3028" t="str">
        <f>IF('Concr. Pg 1'!BA11="","",'Concr. Pg 1'!BA11)</f>
        <v/>
      </c>
      <c r="AN6" s="3028"/>
      <c r="AO6" s="3028"/>
      <c r="AP6" s="3028"/>
      <c r="AQ6" s="3028"/>
      <c r="AR6" s="3028"/>
      <c r="AS6" s="3028"/>
      <c r="AT6" s="3028"/>
      <c r="AU6" s="3027" t="s">
        <v>154</v>
      </c>
      <c r="AV6" s="3027"/>
      <c r="AW6" s="3027"/>
      <c r="AX6" s="3027"/>
      <c r="AY6" s="3028" t="str">
        <f>IF('Concr. Pg 1'!BV11="","",'Concr. Pg 1'!BV11)</f>
        <v/>
      </c>
      <c r="AZ6" s="3028"/>
      <c r="BA6" s="3028"/>
      <c r="BB6" s="3028"/>
      <c r="BC6" s="3028"/>
      <c r="BD6" s="3028"/>
      <c r="BE6" s="3028"/>
      <c r="BF6" s="3028"/>
      <c r="BG6" s="3028"/>
      <c r="BH6" s="3028"/>
      <c r="BI6" s="761"/>
      <c r="BL6" s="3080"/>
      <c r="BM6" s="3080"/>
      <c r="BN6" s="3080"/>
      <c r="BO6" s="3080"/>
      <c r="BP6" s="3080"/>
      <c r="BQ6" s="3080"/>
    </row>
    <row r="7" spans="2:96" ht="20.100000000000001" customHeight="1" thickBot="1">
      <c r="B7" s="98"/>
      <c r="C7" s="3088" t="s">
        <v>82</v>
      </c>
      <c r="D7" s="3088"/>
      <c r="E7" s="3088"/>
      <c r="F7" s="3088"/>
      <c r="G7" s="3088"/>
      <c r="H7" s="3088"/>
      <c r="I7" s="3082" t="str">
        <f>IF('Concr. Pg 1'!J17="","",'Concr. Pg 1'!J17)</f>
        <v/>
      </c>
      <c r="J7" s="3082"/>
      <c r="K7" s="3082"/>
      <c r="L7" s="3082"/>
      <c r="M7" s="3082"/>
      <c r="N7" s="3082"/>
      <c r="O7" s="3082"/>
      <c r="P7" s="3082"/>
      <c r="Q7" s="3082"/>
      <c r="R7" s="3082"/>
      <c r="S7" s="3082"/>
      <c r="T7" s="3082"/>
      <c r="U7" s="3082"/>
      <c r="V7" s="3082"/>
      <c r="W7" s="3073" t="s">
        <v>290</v>
      </c>
      <c r="X7" s="3073"/>
      <c r="Y7" s="3073"/>
      <c r="Z7" s="3073"/>
      <c r="AA7" s="3073"/>
      <c r="AB7" s="3083" t="s">
        <v>33</v>
      </c>
      <c r="AC7" s="3083"/>
      <c r="AD7" s="3083"/>
      <c r="AE7" s="3083"/>
      <c r="AF7" s="3083"/>
      <c r="AG7" s="3073" t="s">
        <v>277</v>
      </c>
      <c r="AH7" s="3073"/>
      <c r="AI7" s="3073"/>
      <c r="AJ7" s="3073"/>
      <c r="AK7" s="3073"/>
      <c r="AL7" s="3073"/>
      <c r="AM7" s="3073"/>
      <c r="AN7" s="3073"/>
      <c r="AO7" s="3078"/>
      <c r="AP7" s="3078"/>
      <c r="AQ7" s="3078"/>
      <c r="AR7" s="3078"/>
      <c r="AS7" s="3078"/>
      <c r="AT7" s="3078"/>
      <c r="AU7" s="3070" t="s">
        <v>95</v>
      </c>
      <c r="AV7" s="3070"/>
      <c r="AW7" s="3071" t="s">
        <v>94</v>
      </c>
      <c r="AX7" s="3071"/>
      <c r="AY7" s="3071"/>
      <c r="AZ7" s="3071"/>
      <c r="BA7" s="3071"/>
      <c r="BB7" s="3055" t="str">
        <f>IF('Concr. Pg 1'!L28="","",'Concr. Pg 1'!L28)</f>
        <v/>
      </c>
      <c r="BC7" s="3055"/>
      <c r="BD7" s="3055"/>
      <c r="BE7" s="3055"/>
      <c r="BF7" s="3055"/>
      <c r="BG7" s="3072" t="s">
        <v>56</v>
      </c>
      <c r="BH7" s="3072"/>
      <c r="BI7" s="104"/>
      <c r="BL7" s="264" t="s">
        <v>314</v>
      </c>
      <c r="BM7" s="263"/>
      <c r="BN7" s="263"/>
      <c r="BO7" s="263"/>
    </row>
    <row r="8" spans="2:96" ht="20.100000000000001" customHeight="1">
      <c r="B8" s="98"/>
      <c r="C8" s="3088" t="s">
        <v>83</v>
      </c>
      <c r="D8" s="3088"/>
      <c r="E8" s="3088"/>
      <c r="F8" s="3088"/>
      <c r="G8" s="3088"/>
      <c r="H8" s="3088"/>
      <c r="I8" s="3076"/>
      <c r="J8" s="3076"/>
      <c r="K8" s="3076"/>
      <c r="L8" s="3076"/>
      <c r="M8" s="3076"/>
      <c r="N8" s="3076"/>
      <c r="O8" s="3076"/>
      <c r="P8" s="3076"/>
      <c r="Q8" s="3076"/>
      <c r="R8" s="3076"/>
      <c r="S8" s="3076"/>
      <c r="T8" s="3076"/>
      <c r="U8" s="3076"/>
      <c r="V8" s="3076"/>
      <c r="W8" s="3077" t="s">
        <v>54</v>
      </c>
      <c r="X8" s="3077"/>
      <c r="Y8" s="3077"/>
      <c r="Z8" s="3091"/>
      <c r="AA8" s="3091"/>
      <c r="AB8" s="3091"/>
      <c r="AC8" s="3091"/>
      <c r="AD8" s="3091"/>
      <c r="AE8" s="3091"/>
      <c r="AF8" s="3091"/>
      <c r="AG8" s="3091"/>
      <c r="AH8" s="3091"/>
      <c r="AI8" s="3091"/>
      <c r="AJ8" s="3077" t="s">
        <v>99</v>
      </c>
      <c r="AK8" s="3077"/>
      <c r="AL8" s="3077"/>
      <c r="AM8" s="3077"/>
      <c r="AN8" s="3079"/>
      <c r="AO8" s="3079"/>
      <c r="AP8" s="3079"/>
      <c r="AQ8" s="3079"/>
      <c r="AR8" s="3079"/>
      <c r="AS8" s="3079"/>
      <c r="AT8" s="277"/>
      <c r="AU8" s="3070"/>
      <c r="AV8" s="3070"/>
      <c r="AW8" s="3071" t="s">
        <v>96</v>
      </c>
      <c r="AX8" s="3071"/>
      <c r="AY8" s="3071"/>
      <c r="AZ8" s="3071"/>
      <c r="BA8" s="3071"/>
      <c r="BB8" s="3055" t="str">
        <f>IF('Concr. Pg 1'!L31="","",'Concr. Pg 1'!L31)</f>
        <v/>
      </c>
      <c r="BC8" s="3055"/>
      <c r="BD8" s="3055"/>
      <c r="BE8" s="3055"/>
      <c r="BF8" s="3055"/>
      <c r="BG8" s="3072" t="s">
        <v>56</v>
      </c>
      <c r="BH8" s="3072"/>
      <c r="BI8" s="104"/>
      <c r="BK8" s="3106" t="str">
        <f>IF(AND(I8=BT98,Z8=BT99,AN8=BT100,I9=BT101,AN9=BT102),"","Note:  Fyi - 1 or more inputs (green font) to left, on rows 8 &amp; 9, do not match the corresponding cell drop-down inputs (which are based upon the Pg. 1 tab sheet input data).")</f>
        <v/>
      </c>
      <c r="BL8" s="3106"/>
      <c r="BM8" s="3106"/>
      <c r="BN8" s="3106"/>
      <c r="BO8" s="3106"/>
      <c r="BP8" s="3106"/>
      <c r="BQ8" s="3106"/>
      <c r="BR8" s="3106"/>
      <c r="BS8" s="3106"/>
      <c r="BT8" s="3106"/>
      <c r="BU8" s="3106"/>
      <c r="BV8" s="3106"/>
      <c r="BW8" s="3106"/>
      <c r="BX8" s="3106"/>
      <c r="BY8" s="3106"/>
      <c r="BZ8" s="3106"/>
      <c r="CA8" s="3106"/>
      <c r="CB8" s="3106"/>
    </row>
    <row r="9" spans="2:96" ht="20.100000000000001" customHeight="1">
      <c r="B9" s="98"/>
      <c r="C9" s="3088" t="s">
        <v>84</v>
      </c>
      <c r="D9" s="3088"/>
      <c r="E9" s="3088"/>
      <c r="F9" s="3088"/>
      <c r="G9" s="3088"/>
      <c r="H9" s="3088"/>
      <c r="I9" s="3076"/>
      <c r="J9" s="3076"/>
      <c r="K9" s="3076"/>
      <c r="L9" s="3076"/>
      <c r="M9" s="3076"/>
      <c r="N9" s="3076"/>
      <c r="O9" s="3076"/>
      <c r="P9" s="3076"/>
      <c r="Q9" s="3076"/>
      <c r="R9" s="3076"/>
      <c r="S9" s="3076"/>
      <c r="T9" s="3076"/>
      <c r="U9" s="3076"/>
      <c r="V9" s="3076"/>
      <c r="W9" s="3092"/>
      <c r="X9" s="3092"/>
      <c r="Y9" s="3092"/>
      <c r="Z9" s="3092"/>
      <c r="AA9" s="3092"/>
      <c r="AB9" s="3092"/>
      <c r="AC9" s="3092"/>
      <c r="AD9" s="3092"/>
      <c r="AE9" s="3092"/>
      <c r="AF9" s="3092"/>
      <c r="AG9" s="3092"/>
      <c r="AH9" s="3092"/>
      <c r="AI9" s="3092"/>
      <c r="AJ9" s="3077" t="s">
        <v>99</v>
      </c>
      <c r="AK9" s="3077"/>
      <c r="AL9" s="3077"/>
      <c r="AM9" s="3077"/>
      <c r="AN9" s="3089"/>
      <c r="AO9" s="3089"/>
      <c r="AP9" s="3089"/>
      <c r="AQ9" s="3089"/>
      <c r="AR9" s="3089"/>
      <c r="AS9" s="3089"/>
      <c r="AT9" s="42"/>
      <c r="AU9" s="3070"/>
      <c r="AV9" s="3070"/>
      <c r="AW9" s="3090" t="s">
        <v>97</v>
      </c>
      <c r="AX9" s="3090"/>
      <c r="AY9" s="3090"/>
      <c r="AZ9" s="3090"/>
      <c r="BA9" s="3090"/>
      <c r="BB9" s="3055" t="str">
        <f>IF('Concr. Pg 1'!L34="","",'Concr. Pg 1'!L34)</f>
        <v/>
      </c>
      <c r="BC9" s="3055"/>
      <c r="BD9" s="3055"/>
      <c r="BE9" s="3055"/>
      <c r="BF9" s="3055"/>
      <c r="BG9" s="3072" t="s">
        <v>56</v>
      </c>
      <c r="BH9" s="3072"/>
      <c r="BI9" s="104"/>
      <c r="BP9" s="3068" t="s">
        <v>187</v>
      </c>
      <c r="BQ9" s="3069"/>
      <c r="BS9" s="262"/>
    </row>
    <row r="10" spans="2:96" ht="9.9" customHeight="1">
      <c r="B10" s="3061"/>
      <c r="C10" s="3056"/>
      <c r="D10" s="3056"/>
      <c r="E10" s="3056"/>
      <c r="F10" s="3056"/>
      <c r="G10" s="3056"/>
      <c r="H10" s="3056"/>
      <c r="I10" s="3056"/>
      <c r="J10" s="3056"/>
      <c r="K10" s="3056"/>
      <c r="L10" s="3056"/>
      <c r="M10" s="3056"/>
      <c r="N10" s="3056"/>
      <c r="O10" s="3056"/>
      <c r="P10" s="3056"/>
      <c r="Q10" s="3056"/>
      <c r="R10" s="3056"/>
      <c r="S10" s="3056"/>
      <c r="T10" s="3056"/>
      <c r="U10" s="3056"/>
      <c r="V10" s="3056"/>
      <c r="W10" s="3056"/>
      <c r="X10" s="3056"/>
      <c r="Y10" s="3056"/>
      <c r="Z10" s="3056"/>
      <c r="AA10" s="3056"/>
      <c r="AB10" s="3056"/>
      <c r="AC10" s="3056"/>
      <c r="AD10" s="3056"/>
      <c r="AE10" s="3056"/>
      <c r="AF10" s="3056"/>
      <c r="AG10" s="3056"/>
      <c r="AH10" s="3056"/>
      <c r="AI10" s="3056"/>
      <c r="AJ10" s="3056"/>
      <c r="AK10" s="3056"/>
      <c r="AL10" s="3056"/>
      <c r="AM10" s="3056"/>
      <c r="AN10" s="3056"/>
      <c r="AO10" s="3056"/>
      <c r="AP10" s="3056"/>
      <c r="AQ10" s="3056"/>
      <c r="AR10" s="3056"/>
      <c r="AS10" s="3056"/>
      <c r="AT10" s="3056"/>
      <c r="AU10" s="3070"/>
      <c r="AV10" s="3070"/>
      <c r="AW10" s="3056"/>
      <c r="AX10" s="3056"/>
      <c r="AY10" s="3056"/>
      <c r="AZ10" s="3056"/>
      <c r="BA10" s="3056"/>
      <c r="BB10" s="3056"/>
      <c r="BC10" s="3056"/>
      <c r="BD10" s="3056"/>
      <c r="BE10" s="3056"/>
      <c r="BF10" s="3056"/>
      <c r="BG10" s="3056"/>
      <c r="BH10" s="3056"/>
      <c r="BI10" s="3057"/>
      <c r="BO10" s="3095" t="s">
        <v>404</v>
      </c>
      <c r="BP10" s="3096"/>
      <c r="BQ10" s="3097"/>
      <c r="BS10" s="3039" t="s">
        <v>283</v>
      </c>
      <c r="BT10" s="3040"/>
      <c r="BU10" s="3041"/>
      <c r="BV10" s="3030" t="s">
        <v>282</v>
      </c>
      <c r="BW10" s="3031"/>
      <c r="BX10" s="3032"/>
    </row>
    <row r="11" spans="2:96" ht="18" customHeight="1">
      <c r="B11" s="3058"/>
      <c r="C11" s="3059"/>
      <c r="D11" s="3059"/>
      <c r="E11" s="3059"/>
      <c r="F11" s="3059"/>
      <c r="G11" s="3059"/>
      <c r="H11" s="3059"/>
      <c r="I11" s="3059"/>
      <c r="J11" s="3059"/>
      <c r="K11" s="3059"/>
      <c r="L11" s="3059"/>
      <c r="M11" s="3059"/>
      <c r="N11" s="3059"/>
      <c r="O11" s="3059"/>
      <c r="P11" s="3059"/>
      <c r="Q11" s="3059"/>
      <c r="R11" s="3059"/>
      <c r="S11" s="3059"/>
      <c r="T11" s="3059"/>
      <c r="U11" s="3059"/>
      <c r="V11" s="3059"/>
      <c r="W11" s="3059"/>
      <c r="X11" s="3059"/>
      <c r="Y11" s="3059"/>
      <c r="Z11" s="3059"/>
      <c r="AA11" s="3059"/>
      <c r="AB11" s="3059"/>
      <c r="AC11" s="3059"/>
      <c r="AD11" s="3059"/>
      <c r="AE11" s="3059"/>
      <c r="AF11" s="3059"/>
      <c r="AG11" s="3059"/>
      <c r="AH11" s="3059"/>
      <c r="AI11" s="3059"/>
      <c r="AJ11" s="3059"/>
      <c r="AK11" s="3059"/>
      <c r="AL11" s="3059"/>
      <c r="AM11" s="3059"/>
      <c r="AN11" s="3059"/>
      <c r="AO11" s="3059"/>
      <c r="AP11" s="3059"/>
      <c r="AQ11" s="3059"/>
      <c r="AR11" s="3059"/>
      <c r="AS11" s="3059"/>
      <c r="AT11" s="3059"/>
      <c r="AU11" s="3059"/>
      <c r="AV11" s="3059"/>
      <c r="AW11" s="3059"/>
      <c r="AX11" s="3059"/>
      <c r="AY11" s="3059"/>
      <c r="AZ11" s="3059"/>
      <c r="BA11" s="3059"/>
      <c r="BB11" s="3059"/>
      <c r="BC11" s="3059"/>
      <c r="BD11" s="3059"/>
      <c r="BE11" s="3059"/>
      <c r="BF11" s="3059"/>
      <c r="BG11" s="3059"/>
      <c r="BH11" s="3059"/>
      <c r="BI11" s="3060"/>
      <c r="BL11" s="3045" t="s">
        <v>318</v>
      </c>
      <c r="BM11" s="3045" t="s">
        <v>431</v>
      </c>
      <c r="BO11" s="3098"/>
      <c r="BP11" s="3099"/>
      <c r="BQ11" s="3100"/>
      <c r="BR11" s="221"/>
      <c r="BS11" s="3042"/>
      <c r="BT11" s="3043"/>
      <c r="BU11" s="3044"/>
      <c r="BV11" s="3033"/>
      <c r="BW11" s="3034"/>
      <c r="BX11" s="3035"/>
      <c r="CA11" s="245">
        <f>'Concr. Pg 1'!L34</f>
        <v>0</v>
      </c>
      <c r="CB11" s="246" t="s">
        <v>88</v>
      </c>
    </row>
    <row r="12" spans="2:96" ht="12.9" customHeight="1">
      <c r="B12" s="3061"/>
      <c r="C12" s="3056"/>
      <c r="D12" s="3056"/>
      <c r="E12" s="3056"/>
      <c r="F12" s="3056"/>
      <c r="G12" s="3056"/>
      <c r="H12" s="3056"/>
      <c r="I12" s="3056"/>
      <c r="J12" s="3056"/>
      <c r="K12" s="3056"/>
      <c r="L12" s="3056"/>
      <c r="M12" s="3056"/>
      <c r="N12" s="3056"/>
      <c r="O12" s="3056"/>
      <c r="P12" s="3056"/>
      <c r="Q12" s="3056"/>
      <c r="R12" s="3056"/>
      <c r="S12" s="3056"/>
      <c r="T12" s="3056"/>
      <c r="U12" s="3056"/>
      <c r="V12" s="3056"/>
      <c r="W12" s="3056"/>
      <c r="X12" s="3056"/>
      <c r="Y12" s="3056"/>
      <c r="Z12" s="3056"/>
      <c r="AA12" s="3056"/>
      <c r="AB12" s="3056"/>
      <c r="AC12" s="3056"/>
      <c r="AD12" s="3056"/>
      <c r="AE12" s="3056"/>
      <c r="AF12" s="3056"/>
      <c r="AG12" s="3056"/>
      <c r="AH12" s="3056"/>
      <c r="AI12" s="3056"/>
      <c r="AJ12" s="3056"/>
      <c r="AK12" s="3056"/>
      <c r="AL12" s="3056"/>
      <c r="AM12" s="3056"/>
      <c r="AN12" s="3056"/>
      <c r="AO12" s="3056"/>
      <c r="AP12" s="3056"/>
      <c r="AQ12" s="3056"/>
      <c r="AR12" s="3056"/>
      <c r="AS12" s="3056"/>
      <c r="AT12" s="3056"/>
      <c r="AU12" s="3056"/>
      <c r="AV12" s="3056"/>
      <c r="AW12" s="3056"/>
      <c r="AX12" s="3056"/>
      <c r="AY12" s="3056"/>
      <c r="AZ12" s="3056"/>
      <c r="BA12" s="3056"/>
      <c r="BB12" s="3056"/>
      <c r="BC12" s="3056"/>
      <c r="BD12" s="3056"/>
      <c r="BE12" s="3056"/>
      <c r="BF12" s="3056"/>
      <c r="BG12" s="3056"/>
      <c r="BH12" s="3056"/>
      <c r="BI12" s="3057"/>
      <c r="BL12" s="3046"/>
      <c r="BM12" s="3046" t="s">
        <v>310</v>
      </c>
      <c r="BO12" s="3098"/>
      <c r="BP12" s="3099"/>
      <c r="BQ12" s="3100"/>
      <c r="BS12" s="3042"/>
      <c r="BT12" s="3043"/>
      <c r="BU12" s="3044"/>
      <c r="BV12" s="3033"/>
      <c r="BW12" s="3034"/>
      <c r="BX12" s="3035"/>
      <c r="BZ12" s="3105" t="s">
        <v>187</v>
      </c>
      <c r="CA12" s="3105"/>
      <c r="CC12" s="199" t="s">
        <v>299</v>
      </c>
      <c r="CE12" s="248"/>
    </row>
    <row r="13" spans="2:96" ht="12.9" customHeight="1">
      <c r="B13" s="3061"/>
      <c r="C13" s="3056"/>
      <c r="D13" s="3056"/>
      <c r="E13" s="3056"/>
      <c r="F13" s="3056"/>
      <c r="G13" s="3056"/>
      <c r="H13" s="3056"/>
      <c r="I13" s="3056"/>
      <c r="J13" s="3056"/>
      <c r="K13" s="3056"/>
      <c r="L13" s="3056"/>
      <c r="M13" s="3056"/>
      <c r="N13" s="3056"/>
      <c r="O13" s="3056"/>
      <c r="P13" s="3056"/>
      <c r="Q13" s="3056"/>
      <c r="R13" s="3056"/>
      <c r="S13" s="3056"/>
      <c r="T13" s="3056"/>
      <c r="U13" s="3056"/>
      <c r="V13" s="3056"/>
      <c r="W13" s="3056"/>
      <c r="X13" s="3056"/>
      <c r="Y13" s="3056"/>
      <c r="Z13" s="3056"/>
      <c r="AA13" s="3056"/>
      <c r="AB13" s="3056"/>
      <c r="AC13" s="3056"/>
      <c r="AD13" s="3056"/>
      <c r="AE13" s="3056"/>
      <c r="AF13" s="3056"/>
      <c r="AG13" s="3056"/>
      <c r="AH13" s="3056"/>
      <c r="AI13" s="3056"/>
      <c r="AJ13" s="3056"/>
      <c r="AK13" s="3056"/>
      <c r="AL13" s="3056"/>
      <c r="AM13" s="3056"/>
      <c r="AN13" s="3056"/>
      <c r="AO13" s="3056"/>
      <c r="AP13" s="3056"/>
      <c r="AQ13" s="3056"/>
      <c r="AR13" s="3056"/>
      <c r="AS13" s="3056"/>
      <c r="AT13" s="3056"/>
      <c r="AU13" s="3056"/>
      <c r="AV13" s="3056"/>
      <c r="AW13" s="3056"/>
      <c r="AX13" s="3056"/>
      <c r="AY13" s="3056"/>
      <c r="AZ13" s="3056"/>
      <c r="BA13" s="3056"/>
      <c r="BB13" s="3056"/>
      <c r="BC13" s="3056"/>
      <c r="BD13" s="3056"/>
      <c r="BE13" s="3056"/>
      <c r="BF13" s="3056"/>
      <c r="BG13" s="3056"/>
      <c r="BH13" s="3056"/>
      <c r="BI13" s="3057"/>
      <c r="BL13" s="3046"/>
      <c r="BM13" s="3046" t="s">
        <v>317</v>
      </c>
      <c r="BO13" s="3098"/>
      <c r="BP13" s="3099"/>
      <c r="BQ13" s="3100"/>
      <c r="BR13" s="214"/>
      <c r="BS13" s="3042"/>
      <c r="BT13" s="3043"/>
      <c r="BU13" s="3044"/>
      <c r="BV13" s="3036"/>
      <c r="BW13" s="3037"/>
      <c r="BX13" s="3038"/>
      <c r="BZ13" s="3104" t="s">
        <v>319</v>
      </c>
      <c r="CA13" s="3104"/>
      <c r="CC13" s="199" t="s">
        <v>298</v>
      </c>
    </row>
    <row r="14" spans="2:96" ht="12.9" customHeight="1">
      <c r="B14" s="3061"/>
      <c r="C14" s="3056"/>
      <c r="D14" s="3056"/>
      <c r="E14" s="3056"/>
      <c r="F14" s="3056"/>
      <c r="G14" s="3056"/>
      <c r="H14" s="3056"/>
      <c r="I14" s="3056"/>
      <c r="J14" s="3056"/>
      <c r="K14" s="3056"/>
      <c r="L14" s="3056"/>
      <c r="M14" s="3056"/>
      <c r="N14" s="3056"/>
      <c r="O14" s="3056"/>
      <c r="P14" s="3056"/>
      <c r="Q14" s="3056"/>
      <c r="R14" s="3056"/>
      <c r="S14" s="3056"/>
      <c r="T14" s="3056"/>
      <c r="U14" s="3056"/>
      <c r="V14" s="3056"/>
      <c r="W14" s="3056"/>
      <c r="X14" s="3056"/>
      <c r="Y14" s="3056"/>
      <c r="Z14" s="3056"/>
      <c r="AA14" s="3056"/>
      <c r="AB14" s="3056"/>
      <c r="AC14" s="3056"/>
      <c r="AD14" s="3056"/>
      <c r="AE14" s="3056"/>
      <c r="AF14" s="3056"/>
      <c r="AG14" s="3056"/>
      <c r="AH14" s="3056"/>
      <c r="AI14" s="3056"/>
      <c r="AJ14" s="3056"/>
      <c r="AK14" s="3056"/>
      <c r="AL14" s="3056"/>
      <c r="AM14" s="3056"/>
      <c r="AN14" s="3056"/>
      <c r="AO14" s="3056"/>
      <c r="AP14" s="3056"/>
      <c r="AQ14" s="3056"/>
      <c r="AR14" s="3056"/>
      <c r="AS14" s="3056"/>
      <c r="AT14" s="3056"/>
      <c r="AU14" s="3056"/>
      <c r="AV14" s="3056"/>
      <c r="AW14" s="3056"/>
      <c r="AX14" s="3056"/>
      <c r="AY14" s="3056"/>
      <c r="AZ14" s="3056"/>
      <c r="BA14" s="3056"/>
      <c r="BB14" s="3056"/>
      <c r="BC14" s="3056"/>
      <c r="BD14" s="3056"/>
      <c r="BE14" s="3056"/>
      <c r="BF14" s="3056"/>
      <c r="BG14" s="3056"/>
      <c r="BH14" s="3056"/>
      <c r="BI14" s="3057"/>
      <c r="BL14" s="3046"/>
      <c r="BM14" s="3046" t="s">
        <v>311</v>
      </c>
      <c r="BO14" s="3101"/>
      <c r="BP14" s="3102"/>
      <c r="BQ14" s="3103"/>
      <c r="BR14" s="222"/>
      <c r="BS14" s="3042"/>
      <c r="BT14" s="3043"/>
      <c r="BU14" s="3044"/>
      <c r="BV14" s="229" t="s">
        <v>281</v>
      </c>
      <c r="BW14" s="230"/>
      <c r="BX14" s="228"/>
      <c r="CA14" s="361" t="s">
        <v>31</v>
      </c>
      <c r="CC14" s="265" t="s">
        <v>316</v>
      </c>
      <c r="CQ14" s="3013" t="s">
        <v>361</v>
      </c>
      <c r="CR14" s="3013"/>
    </row>
    <row r="15" spans="2:96" ht="12.9" customHeight="1" thickBot="1">
      <c r="B15" s="3061"/>
      <c r="C15" s="3056"/>
      <c r="D15" s="3056"/>
      <c r="E15" s="3056"/>
      <c r="F15" s="3056"/>
      <c r="G15" s="3056"/>
      <c r="H15" s="3056"/>
      <c r="I15" s="3056"/>
      <c r="J15" s="3056"/>
      <c r="K15" s="3056"/>
      <c r="L15" s="3056"/>
      <c r="M15" s="3056"/>
      <c r="N15" s="3056"/>
      <c r="O15" s="3056"/>
      <c r="P15" s="3056"/>
      <c r="Q15" s="3056"/>
      <c r="R15" s="3056"/>
      <c r="S15" s="3056"/>
      <c r="T15" s="3056"/>
      <c r="U15" s="3056"/>
      <c r="V15" s="3056"/>
      <c r="W15" s="3056"/>
      <c r="X15" s="3056"/>
      <c r="Y15" s="3056"/>
      <c r="Z15" s="3056"/>
      <c r="AA15" s="3056"/>
      <c r="AB15" s="3056"/>
      <c r="AC15" s="3056"/>
      <c r="AD15" s="3056"/>
      <c r="AE15" s="3056"/>
      <c r="AF15" s="3056"/>
      <c r="AG15" s="3056"/>
      <c r="AH15" s="3056"/>
      <c r="AI15" s="3056"/>
      <c r="AJ15" s="3056"/>
      <c r="AK15" s="3056"/>
      <c r="AL15" s="3056"/>
      <c r="AM15" s="3056"/>
      <c r="AN15" s="3056"/>
      <c r="AO15" s="3056"/>
      <c r="AP15" s="3056"/>
      <c r="AQ15" s="3056"/>
      <c r="AR15" s="3056"/>
      <c r="AS15" s="3056"/>
      <c r="AT15" s="3056"/>
      <c r="AU15" s="3056"/>
      <c r="AV15" s="3056"/>
      <c r="AW15" s="3056"/>
      <c r="AX15" s="3056"/>
      <c r="AY15" s="3056"/>
      <c r="AZ15" s="3056"/>
      <c r="BA15" s="3056"/>
      <c r="BB15" s="3056"/>
      <c r="BC15" s="3056"/>
      <c r="BD15" s="3056"/>
      <c r="BE15" s="3056"/>
      <c r="BF15" s="3056"/>
      <c r="BG15" s="3056"/>
      <c r="BH15" s="3056"/>
      <c r="BI15" s="3057"/>
      <c r="BL15" s="3047"/>
      <c r="BM15" s="3047" t="s">
        <v>13</v>
      </c>
      <c r="BN15" s="3093" t="s">
        <v>405</v>
      </c>
      <c r="BO15" s="3094"/>
      <c r="BP15" s="367" t="s">
        <v>30</v>
      </c>
      <c r="BQ15" s="368" t="s">
        <v>31</v>
      </c>
      <c r="BR15" s="254"/>
      <c r="BS15" s="3042"/>
      <c r="BT15" s="3043"/>
      <c r="BU15" s="3044"/>
      <c r="BV15" s="227" t="s">
        <v>246</v>
      </c>
      <c r="BW15" s="227" t="s">
        <v>280</v>
      </c>
      <c r="BX15" s="261" t="s">
        <v>31</v>
      </c>
      <c r="BZ15" s="247" t="s">
        <v>288</v>
      </c>
      <c r="CA15" s="362" t="str">
        <f>IF(AB7="Length","Length (ft)","Elevation (ft)")</f>
        <v>Elevation (ft)</v>
      </c>
      <c r="CC15" s="222" t="s">
        <v>13</v>
      </c>
      <c r="CP15" s="191" t="s">
        <v>362</v>
      </c>
      <c r="CQ15" s="321" t="e">
        <f>1/0</f>
        <v>#DIV/0!</v>
      </c>
      <c r="CR15" s="295" t="s">
        <v>363</v>
      </c>
    </row>
    <row r="16" spans="2:96" ht="12.9" customHeight="1">
      <c r="B16" s="3061"/>
      <c r="C16" s="3056"/>
      <c r="D16" s="3056"/>
      <c r="E16" s="3056"/>
      <c r="F16" s="3056"/>
      <c r="G16" s="3056"/>
      <c r="H16" s="3056"/>
      <c r="I16" s="3056"/>
      <c r="J16" s="3056"/>
      <c r="K16" s="3056"/>
      <c r="L16" s="3056"/>
      <c r="M16" s="3056"/>
      <c r="N16" s="3056"/>
      <c r="O16" s="3056"/>
      <c r="P16" s="3056"/>
      <c r="Q16" s="3056"/>
      <c r="R16" s="3056"/>
      <c r="S16" s="3056"/>
      <c r="T16" s="3056"/>
      <c r="U16" s="3056"/>
      <c r="V16" s="3056"/>
      <c r="W16" s="3056"/>
      <c r="X16" s="3056"/>
      <c r="Y16" s="3056"/>
      <c r="Z16" s="3056"/>
      <c r="AA16" s="3056"/>
      <c r="AB16" s="3056"/>
      <c r="AC16" s="3056"/>
      <c r="AD16" s="3056"/>
      <c r="AE16" s="3056"/>
      <c r="AF16" s="3056"/>
      <c r="AG16" s="3056"/>
      <c r="AH16" s="3056"/>
      <c r="AI16" s="3056"/>
      <c r="AJ16" s="3056"/>
      <c r="AK16" s="3056"/>
      <c r="AL16" s="3056"/>
      <c r="AM16" s="3056"/>
      <c r="AN16" s="3056"/>
      <c r="AO16" s="3056"/>
      <c r="AP16" s="3056"/>
      <c r="AQ16" s="3056"/>
      <c r="AR16" s="3056"/>
      <c r="AS16" s="3056"/>
      <c r="AT16" s="3056"/>
      <c r="AU16" s="3056"/>
      <c r="AV16" s="3056"/>
      <c r="AW16" s="3056"/>
      <c r="AX16" s="3056"/>
      <c r="AY16" s="3056"/>
      <c r="AZ16" s="3056"/>
      <c r="BA16" s="3056"/>
      <c r="BB16" s="3056"/>
      <c r="BC16" s="3056"/>
      <c r="BD16" s="3056"/>
      <c r="BE16" s="3056"/>
      <c r="BF16" s="3056"/>
      <c r="BG16" s="3056"/>
      <c r="BH16" s="3056"/>
      <c r="BI16" s="3057"/>
      <c r="BL16" s="271" t="e">
        <f>IF(BR16=0,"",SUM(BR16:BR$55))</f>
        <v>#DIV/0!</v>
      </c>
      <c r="BM16" s="268" t="e">
        <f t="shared" ref="BM16:BM54" si="0">IF(BW16-BW17=0,"",SQRT(((BW16-BW17)*108)/(PI()*(BX16-BX17))))</f>
        <v>#DIV/0!</v>
      </c>
      <c r="BO16" s="205" t="s">
        <v>301</v>
      </c>
      <c r="BP16" s="231">
        <f>IF('Concr. Pg 1'!DE211="",BP17,'Concr. Pg 1'!DE211)</f>
        <v>0</v>
      </c>
      <c r="BQ16" s="232">
        <f>IF('Concr. Pg 1'!DI211="",BQ17,'Concr. Pg 1'!DI211)</f>
        <v>0</v>
      </c>
      <c r="BR16" s="223" t="e">
        <f t="shared" ref="BR16:BR55" si="1">IF(BM16="",0,1)</f>
        <v>#DIV/0!</v>
      </c>
      <c r="BS16" s="2983" t="e">
        <f t="shared" ref="BS16:BS55" si="2">IF(BL$7="Remove","",IF(BV16&lt;CC16,CONCATENATE("     Lift  ",BL16,":   Dia. = ",ROUND(BV16,2)," ft"),""))</f>
        <v>#DIV/0!</v>
      </c>
      <c r="BT16" s="2984"/>
      <c r="BU16" s="2985"/>
      <c r="BV16" s="250" t="e">
        <f t="shared" ref="BV16:BV56" si="3">IF(BW16-BW17=0,"",SQRT(((BW16-BW17)*108)/(PI()*(BX16-BX17))))</f>
        <v>#DIV/0!</v>
      </c>
      <c r="BW16" s="225" t="e">
        <f t="shared" ref="BW16:BW55" si="4">BP16+(BX16*CH$26)</f>
        <v>#DIV/0!</v>
      </c>
      <c r="BX16" s="224">
        <f t="shared" ref="BX16:BX56" si="5">BQ16</f>
        <v>0</v>
      </c>
      <c r="BZ16" s="162">
        <f t="shared" ref="BZ16:BZ56" si="6">BQ16</f>
        <v>0</v>
      </c>
      <c r="CA16" s="224">
        <f>IF(AB$7="Elev.",CA$11+BZ16,BZ16)</f>
        <v>0</v>
      </c>
      <c r="CC16" s="259" t="e">
        <f t="shared" ref="CC16:CC55" si="7">IF(BR16=0,"",IF(SUM(BV$90:BY$90)=0,CJ$38,IF(AND(BV$89&gt;0,BY$89=0),IF(AND(BQ16&gt;CJ$33,OR(BQ16=CJ$32,BQ16&lt;CJ$32)),CJ$34,CJ$38),IF(BV$90*BY$90&gt;0,IF(BQ16&lt;CJ$33,CJ$38,IF(AND(BQ16&gt;CJ$33,OR(BQ16&lt;CJ$36,BQ16=CJ$36)),CJ$34,IF(AND(BQ16&gt;CJ$36,OR(BQ16=CJ$35,BQ16&lt;CJ$35)),CJ$37,CJ$38)))))))</f>
        <v>#DIV/0!</v>
      </c>
      <c r="CD16" s="3020" t="s">
        <v>300</v>
      </c>
      <c r="CE16" s="3021"/>
    </row>
    <row r="17" spans="2:117" ht="12.9" customHeight="1">
      <c r="B17" s="3061"/>
      <c r="C17" s="3056"/>
      <c r="D17" s="3056"/>
      <c r="E17" s="3056"/>
      <c r="F17" s="3056"/>
      <c r="G17" s="3056"/>
      <c r="H17" s="3056"/>
      <c r="I17" s="3056"/>
      <c r="J17" s="3056"/>
      <c r="K17" s="3056"/>
      <c r="L17" s="3056"/>
      <c r="M17" s="3056"/>
      <c r="N17" s="3056"/>
      <c r="O17" s="3056"/>
      <c r="P17" s="3056"/>
      <c r="Q17" s="3056"/>
      <c r="R17" s="3056"/>
      <c r="S17" s="3056"/>
      <c r="T17" s="3056"/>
      <c r="U17" s="3056"/>
      <c r="V17" s="3056"/>
      <c r="W17" s="3056"/>
      <c r="X17" s="3056"/>
      <c r="Y17" s="3056"/>
      <c r="Z17" s="3056"/>
      <c r="AA17" s="3056"/>
      <c r="AB17" s="3056"/>
      <c r="AC17" s="3056"/>
      <c r="AD17" s="3056"/>
      <c r="AE17" s="3056"/>
      <c r="AF17" s="3056"/>
      <c r="AG17" s="3056"/>
      <c r="AH17" s="3056"/>
      <c r="AI17" s="3056"/>
      <c r="AJ17" s="3056"/>
      <c r="AK17" s="3056"/>
      <c r="AL17" s="3056"/>
      <c r="AM17" s="3056"/>
      <c r="AN17" s="3056"/>
      <c r="AO17" s="3056"/>
      <c r="AP17" s="3056"/>
      <c r="AQ17" s="3056"/>
      <c r="AR17" s="3056"/>
      <c r="AS17" s="3056"/>
      <c r="AT17" s="3056"/>
      <c r="AU17" s="3056"/>
      <c r="AV17" s="3056"/>
      <c r="AW17" s="3056"/>
      <c r="AX17" s="3056"/>
      <c r="AY17" s="3056"/>
      <c r="AZ17" s="3056"/>
      <c r="BA17" s="3056"/>
      <c r="BB17" s="3056"/>
      <c r="BC17" s="3056"/>
      <c r="BD17" s="3056"/>
      <c r="BE17" s="3056"/>
      <c r="BF17" s="3056"/>
      <c r="BG17" s="3056"/>
      <c r="BH17" s="3056"/>
      <c r="BI17" s="3057"/>
      <c r="BL17" s="272" t="e">
        <f>IF(BR17=0,"",SUM(BR17:BR$55))</f>
        <v>#DIV/0!</v>
      </c>
      <c r="BM17" s="269" t="e">
        <f t="shared" si="0"/>
        <v>#DIV/0!</v>
      </c>
      <c r="BO17" s="160">
        <v>39</v>
      </c>
      <c r="BP17" s="233">
        <f>IF('Concr. Pg 1'!DE207="",BP18,'Concr. Pg 1'!DE207)</f>
        <v>0</v>
      </c>
      <c r="BQ17" s="234">
        <f>IF('Concr. Pg 1'!DI207="",BQ18,'Concr. Pg 1'!DI207)</f>
        <v>0</v>
      </c>
      <c r="BR17" s="223" t="e">
        <f t="shared" si="1"/>
        <v>#DIV/0!</v>
      </c>
      <c r="BS17" s="2983" t="e">
        <f t="shared" si="2"/>
        <v>#DIV/0!</v>
      </c>
      <c r="BT17" s="2984"/>
      <c r="BU17" s="2985"/>
      <c r="BV17" s="251" t="e">
        <f t="shared" si="3"/>
        <v>#DIV/0!</v>
      </c>
      <c r="BW17" s="225" t="e">
        <f t="shared" si="4"/>
        <v>#DIV/0!</v>
      </c>
      <c r="BX17" s="224">
        <f t="shared" si="5"/>
        <v>0</v>
      </c>
      <c r="BZ17" s="162">
        <f t="shared" si="6"/>
        <v>0</v>
      </c>
      <c r="CA17" s="162">
        <f t="shared" ref="CA17:CA56" si="8">IF(AB$7="Elev.",CA$11+BZ17,BZ17)</f>
        <v>0</v>
      </c>
      <c r="CC17" s="259" t="e">
        <f t="shared" si="7"/>
        <v>#DIV/0!</v>
      </c>
      <c r="CD17" s="3022"/>
      <c r="CE17" s="3023"/>
      <c r="CQ17" s="3011">
        <v>1</v>
      </c>
      <c r="CR17" s="3012"/>
      <c r="CV17" s="3011">
        <v>2</v>
      </c>
      <c r="CW17" s="3012"/>
      <c r="DA17" s="3011">
        <v>3</v>
      </c>
      <c r="DB17" s="3012"/>
      <c r="DF17" s="3011">
        <v>4</v>
      </c>
      <c r="DG17" s="3012"/>
      <c r="DK17" s="3011">
        <v>5</v>
      </c>
      <c r="DL17" s="3012"/>
    </row>
    <row r="18" spans="2:117" ht="12.9" customHeight="1">
      <c r="B18" s="3061"/>
      <c r="C18" s="3056"/>
      <c r="D18" s="3056"/>
      <c r="E18" s="3056"/>
      <c r="F18" s="3056"/>
      <c r="G18" s="3056"/>
      <c r="H18" s="3056"/>
      <c r="I18" s="3056"/>
      <c r="J18" s="3056"/>
      <c r="K18" s="3056"/>
      <c r="L18" s="3056"/>
      <c r="M18" s="3056"/>
      <c r="N18" s="3056"/>
      <c r="O18" s="3056"/>
      <c r="P18" s="3056"/>
      <c r="Q18" s="3056"/>
      <c r="R18" s="3056"/>
      <c r="S18" s="3056"/>
      <c r="T18" s="3056"/>
      <c r="U18" s="3056"/>
      <c r="V18" s="3056"/>
      <c r="W18" s="3056"/>
      <c r="X18" s="3056"/>
      <c r="Y18" s="3056"/>
      <c r="Z18" s="3056"/>
      <c r="AA18" s="3056"/>
      <c r="AB18" s="3056"/>
      <c r="AC18" s="3056"/>
      <c r="AD18" s="3056"/>
      <c r="AE18" s="3056"/>
      <c r="AF18" s="3056"/>
      <c r="AG18" s="3056"/>
      <c r="AH18" s="3056"/>
      <c r="AI18" s="3056"/>
      <c r="AJ18" s="3056"/>
      <c r="AK18" s="3056"/>
      <c r="AL18" s="3056"/>
      <c r="AM18" s="3056"/>
      <c r="AN18" s="3056"/>
      <c r="AO18" s="3056"/>
      <c r="AP18" s="3056"/>
      <c r="AQ18" s="3056"/>
      <c r="AR18" s="3056"/>
      <c r="AS18" s="3056"/>
      <c r="AT18" s="3056"/>
      <c r="AU18" s="3056"/>
      <c r="AV18" s="3056"/>
      <c r="AW18" s="3056"/>
      <c r="AX18" s="3056"/>
      <c r="AY18" s="3056"/>
      <c r="AZ18" s="3056"/>
      <c r="BA18" s="3056"/>
      <c r="BB18" s="3056"/>
      <c r="BC18" s="3056"/>
      <c r="BD18" s="3056"/>
      <c r="BE18" s="3056"/>
      <c r="BF18" s="3056"/>
      <c r="BG18" s="3056"/>
      <c r="BH18" s="3056"/>
      <c r="BI18" s="3057"/>
      <c r="BL18" s="272" t="e">
        <f>IF(BR18=0,"",SUM(BR18:BR$55))</f>
        <v>#DIV/0!</v>
      </c>
      <c r="BM18" s="269" t="e">
        <f t="shared" si="0"/>
        <v>#DIV/0!</v>
      </c>
      <c r="BO18" s="160">
        <v>38</v>
      </c>
      <c r="BP18" s="233">
        <f>IF('Concr. Pg 1'!DE203="",BP19,'Concr. Pg 1'!DE203)</f>
        <v>0</v>
      </c>
      <c r="BQ18" s="234">
        <f>IF('Concr. Pg 1'!DI203="",BQ19,'Concr. Pg 1'!DI203)</f>
        <v>0</v>
      </c>
      <c r="BR18" s="223" t="e">
        <f t="shared" si="1"/>
        <v>#DIV/0!</v>
      </c>
      <c r="BS18" s="2983" t="e">
        <f t="shared" si="2"/>
        <v>#DIV/0!</v>
      </c>
      <c r="BT18" s="2984"/>
      <c r="BU18" s="2985"/>
      <c r="BV18" s="251" t="e">
        <f t="shared" si="3"/>
        <v>#DIV/0!</v>
      </c>
      <c r="BW18" s="225" t="e">
        <f t="shared" si="4"/>
        <v>#DIV/0!</v>
      </c>
      <c r="BX18" s="224">
        <f t="shared" si="5"/>
        <v>0</v>
      </c>
      <c r="BZ18" s="162">
        <f t="shared" si="6"/>
        <v>0</v>
      </c>
      <c r="CA18" s="162">
        <f t="shared" si="8"/>
        <v>0</v>
      </c>
      <c r="CC18" s="259" t="e">
        <f t="shared" si="7"/>
        <v>#DIV/0!</v>
      </c>
      <c r="CD18" s="3022"/>
      <c r="CE18" s="3023"/>
    </row>
    <row r="19" spans="2:117" ht="12.9" customHeight="1">
      <c r="B19" s="3061"/>
      <c r="C19" s="3056"/>
      <c r="D19" s="3056"/>
      <c r="E19" s="3056"/>
      <c r="F19" s="3056"/>
      <c r="G19" s="3056"/>
      <c r="H19" s="3056"/>
      <c r="I19" s="3056"/>
      <c r="J19" s="3056"/>
      <c r="K19" s="3056"/>
      <c r="L19" s="3056"/>
      <c r="M19" s="3056"/>
      <c r="N19" s="3056"/>
      <c r="O19" s="3056"/>
      <c r="P19" s="3056"/>
      <c r="Q19" s="3056"/>
      <c r="R19" s="3056"/>
      <c r="S19" s="3056"/>
      <c r="T19" s="3056"/>
      <c r="U19" s="3056"/>
      <c r="V19" s="3056"/>
      <c r="W19" s="3056"/>
      <c r="X19" s="3056"/>
      <c r="Y19" s="3056"/>
      <c r="Z19" s="3056"/>
      <c r="AA19" s="3056"/>
      <c r="AB19" s="3056"/>
      <c r="AC19" s="3056"/>
      <c r="AD19" s="3056"/>
      <c r="AE19" s="3056"/>
      <c r="AF19" s="3056"/>
      <c r="AG19" s="3056"/>
      <c r="AH19" s="3056"/>
      <c r="AI19" s="3056"/>
      <c r="AJ19" s="3056"/>
      <c r="AK19" s="3056"/>
      <c r="AL19" s="3056"/>
      <c r="AM19" s="3056"/>
      <c r="AN19" s="3056"/>
      <c r="AO19" s="3056"/>
      <c r="AP19" s="3056"/>
      <c r="AQ19" s="3056"/>
      <c r="AR19" s="3056"/>
      <c r="AS19" s="3056"/>
      <c r="AT19" s="3056"/>
      <c r="AU19" s="3056"/>
      <c r="AV19" s="3056"/>
      <c r="AW19" s="3056"/>
      <c r="AX19" s="3056"/>
      <c r="AY19" s="3056"/>
      <c r="AZ19" s="3056"/>
      <c r="BA19" s="3056"/>
      <c r="BB19" s="3056"/>
      <c r="BC19" s="3056"/>
      <c r="BD19" s="3056"/>
      <c r="BE19" s="3056"/>
      <c r="BF19" s="3056"/>
      <c r="BG19" s="3056"/>
      <c r="BH19" s="3056"/>
      <c r="BI19" s="3057"/>
      <c r="BL19" s="272" t="e">
        <f>IF(BR19=0,"",SUM(BR19:BR$55))</f>
        <v>#DIV/0!</v>
      </c>
      <c r="BM19" s="269" t="e">
        <f t="shared" si="0"/>
        <v>#DIV/0!</v>
      </c>
      <c r="BO19" s="160">
        <v>37</v>
      </c>
      <c r="BP19" s="233">
        <f>IF('Concr. Pg 1'!DE199="",BP20,'Concr. Pg 1'!DE199)</f>
        <v>0</v>
      </c>
      <c r="BQ19" s="234">
        <f>IF('Concr. Pg 1'!DI199="",BQ20,'Concr. Pg 1'!DI199)</f>
        <v>0</v>
      </c>
      <c r="BR19" s="223" t="e">
        <f t="shared" si="1"/>
        <v>#DIV/0!</v>
      </c>
      <c r="BS19" s="2983" t="e">
        <f t="shared" si="2"/>
        <v>#DIV/0!</v>
      </c>
      <c r="BT19" s="2984"/>
      <c r="BU19" s="2985"/>
      <c r="BV19" s="251" t="e">
        <f t="shared" si="3"/>
        <v>#DIV/0!</v>
      </c>
      <c r="BW19" s="225" t="e">
        <f t="shared" si="4"/>
        <v>#DIV/0!</v>
      </c>
      <c r="BX19" s="224">
        <f t="shared" si="5"/>
        <v>0</v>
      </c>
      <c r="BZ19" s="162">
        <f t="shared" si="6"/>
        <v>0</v>
      </c>
      <c r="CA19" s="162">
        <f t="shared" si="8"/>
        <v>0</v>
      </c>
      <c r="CC19" s="259" t="e">
        <f t="shared" si="7"/>
        <v>#DIV/0!</v>
      </c>
      <c r="CD19" s="3022"/>
      <c r="CE19" s="3023"/>
      <c r="CQ19" s="2991" t="s">
        <v>340</v>
      </c>
      <c r="CR19" s="2992"/>
      <c r="CV19" s="2991" t="s">
        <v>339</v>
      </c>
      <c r="CW19" s="2992"/>
      <c r="DA19" s="2991" t="s">
        <v>337</v>
      </c>
      <c r="DB19" s="2992"/>
      <c r="DF19" s="2991" t="s">
        <v>336</v>
      </c>
      <c r="DG19" s="2992"/>
      <c r="DK19" s="2991" t="s">
        <v>183</v>
      </c>
      <c r="DL19" s="2992"/>
    </row>
    <row r="20" spans="2:117" ht="12.9" customHeight="1">
      <c r="B20" s="3061"/>
      <c r="C20" s="3056"/>
      <c r="D20" s="3056"/>
      <c r="E20" s="3056"/>
      <c r="F20" s="3056"/>
      <c r="G20" s="3056"/>
      <c r="H20" s="3056"/>
      <c r="I20" s="3056"/>
      <c r="J20" s="3056"/>
      <c r="K20" s="3056"/>
      <c r="L20" s="3056"/>
      <c r="M20" s="3056"/>
      <c r="N20" s="3056"/>
      <c r="O20" s="3056"/>
      <c r="P20" s="3056"/>
      <c r="Q20" s="3056"/>
      <c r="R20" s="3056"/>
      <c r="S20" s="3056"/>
      <c r="T20" s="3056"/>
      <c r="U20" s="3056"/>
      <c r="V20" s="3056"/>
      <c r="W20" s="3056"/>
      <c r="X20" s="3056"/>
      <c r="Y20" s="3056"/>
      <c r="Z20" s="3056"/>
      <c r="AA20" s="3056"/>
      <c r="AB20" s="3056"/>
      <c r="AC20" s="3056"/>
      <c r="AD20" s="3056"/>
      <c r="AE20" s="3056"/>
      <c r="AF20" s="3056"/>
      <c r="AG20" s="3056"/>
      <c r="AH20" s="3056"/>
      <c r="AI20" s="3056"/>
      <c r="AJ20" s="3056"/>
      <c r="AK20" s="3056"/>
      <c r="AL20" s="3056"/>
      <c r="AM20" s="3056"/>
      <c r="AN20" s="3056"/>
      <c r="AO20" s="3056"/>
      <c r="AP20" s="3056"/>
      <c r="AQ20" s="3056"/>
      <c r="AR20" s="3056"/>
      <c r="AS20" s="3056"/>
      <c r="AT20" s="3056"/>
      <c r="AU20" s="3056"/>
      <c r="AV20" s="3056"/>
      <c r="AW20" s="3056"/>
      <c r="AX20" s="3056"/>
      <c r="AY20" s="3056"/>
      <c r="AZ20" s="3056"/>
      <c r="BA20" s="3056"/>
      <c r="BB20" s="3056"/>
      <c r="BC20" s="3056"/>
      <c r="BD20" s="3056"/>
      <c r="BE20" s="3056"/>
      <c r="BF20" s="3056"/>
      <c r="BG20" s="3056"/>
      <c r="BH20" s="3056"/>
      <c r="BI20" s="3057"/>
      <c r="BL20" s="272" t="e">
        <f>IF(BR20=0,"",SUM(BR20:BR$55))</f>
        <v>#DIV/0!</v>
      </c>
      <c r="BM20" s="269" t="e">
        <f t="shared" si="0"/>
        <v>#DIV/0!</v>
      </c>
      <c r="BO20" s="160">
        <v>36</v>
      </c>
      <c r="BP20" s="233">
        <f>IF('Concr. Pg 1'!DE195="",BP21,'Concr. Pg 1'!DE195)</f>
        <v>0</v>
      </c>
      <c r="BQ20" s="234">
        <f>IF('Concr. Pg 1'!DI195="",BQ21,'Concr. Pg 1'!DI195)</f>
        <v>0</v>
      </c>
      <c r="BR20" s="223" t="e">
        <f t="shared" si="1"/>
        <v>#DIV/0!</v>
      </c>
      <c r="BS20" s="2983" t="e">
        <f t="shared" si="2"/>
        <v>#DIV/0!</v>
      </c>
      <c r="BT20" s="2984"/>
      <c r="BU20" s="2985"/>
      <c r="BV20" s="251" t="e">
        <f t="shared" si="3"/>
        <v>#DIV/0!</v>
      </c>
      <c r="BW20" s="225" t="e">
        <f t="shared" si="4"/>
        <v>#DIV/0!</v>
      </c>
      <c r="BX20" s="224">
        <f t="shared" si="5"/>
        <v>0</v>
      </c>
      <c r="BZ20" s="162">
        <f t="shared" si="6"/>
        <v>0</v>
      </c>
      <c r="CA20" s="162">
        <f t="shared" si="8"/>
        <v>0</v>
      </c>
      <c r="CC20" s="259" t="e">
        <f t="shared" si="7"/>
        <v>#DIV/0!</v>
      </c>
      <c r="CD20" s="3022"/>
      <c r="CE20" s="3023"/>
      <c r="CP20" s="2989" t="s">
        <v>338</v>
      </c>
      <c r="CQ20" s="2990"/>
      <c r="CR20" s="2990"/>
      <c r="CS20" s="2990"/>
      <c r="CU20" s="2989" t="s">
        <v>338</v>
      </c>
      <c r="CV20" s="2990"/>
      <c r="CW20" s="2990"/>
      <c r="CX20" s="2990"/>
      <c r="CZ20" s="2989" t="s">
        <v>175</v>
      </c>
      <c r="DA20" s="2990"/>
      <c r="DB20" s="2990"/>
      <c r="DC20" s="2990"/>
      <c r="DE20" s="2989" t="s">
        <v>175</v>
      </c>
      <c r="DF20" s="2990"/>
      <c r="DG20" s="2990"/>
      <c r="DH20" s="2990"/>
      <c r="DJ20" s="2989"/>
      <c r="DK20" s="2990"/>
      <c r="DL20" s="2990"/>
      <c r="DM20" s="2990"/>
    </row>
    <row r="21" spans="2:117" ht="12.9" customHeight="1">
      <c r="B21" s="3061"/>
      <c r="C21" s="3056"/>
      <c r="D21" s="3056"/>
      <c r="E21" s="3056"/>
      <c r="F21" s="3056"/>
      <c r="G21" s="3056"/>
      <c r="H21" s="3056"/>
      <c r="I21" s="3056"/>
      <c r="J21" s="3056"/>
      <c r="K21" s="3056"/>
      <c r="L21" s="3056"/>
      <c r="M21" s="3056"/>
      <c r="N21" s="3056"/>
      <c r="O21" s="3056"/>
      <c r="P21" s="3056"/>
      <c r="Q21" s="3056"/>
      <c r="R21" s="3056"/>
      <c r="S21" s="3056"/>
      <c r="T21" s="3056"/>
      <c r="U21" s="3056"/>
      <c r="V21" s="3056"/>
      <c r="W21" s="3056"/>
      <c r="X21" s="3056"/>
      <c r="Y21" s="3056"/>
      <c r="Z21" s="3056"/>
      <c r="AA21" s="3056"/>
      <c r="AB21" s="3056"/>
      <c r="AC21" s="3056"/>
      <c r="AD21" s="3056"/>
      <c r="AE21" s="3056"/>
      <c r="AF21" s="3056"/>
      <c r="AG21" s="3056"/>
      <c r="AH21" s="3056"/>
      <c r="AI21" s="3056"/>
      <c r="AJ21" s="3056"/>
      <c r="AK21" s="3056"/>
      <c r="AL21" s="3056"/>
      <c r="AM21" s="3056"/>
      <c r="AN21" s="3056"/>
      <c r="AO21" s="3056"/>
      <c r="AP21" s="3056"/>
      <c r="AQ21" s="3056"/>
      <c r="AR21" s="3056"/>
      <c r="AS21" s="3056"/>
      <c r="AT21" s="3056"/>
      <c r="AU21" s="3056"/>
      <c r="AV21" s="3056"/>
      <c r="AW21" s="3056"/>
      <c r="AX21" s="3056"/>
      <c r="AY21" s="3056"/>
      <c r="AZ21" s="3056"/>
      <c r="BA21" s="3056"/>
      <c r="BB21" s="3056"/>
      <c r="BC21" s="3056"/>
      <c r="BD21" s="3056"/>
      <c r="BE21" s="3056"/>
      <c r="BF21" s="3056"/>
      <c r="BG21" s="3056"/>
      <c r="BH21" s="3056"/>
      <c r="BI21" s="3057"/>
      <c r="BL21" s="272" t="e">
        <f>IF(BR21=0,"",SUM(BR21:BR$55))</f>
        <v>#DIV/0!</v>
      </c>
      <c r="BM21" s="269" t="e">
        <f t="shared" si="0"/>
        <v>#DIV/0!</v>
      </c>
      <c r="BO21" s="160">
        <v>35</v>
      </c>
      <c r="BP21" s="233">
        <f>IF('Concr. Pg 1'!DE191="",BP22,'Concr. Pg 1'!DE191)</f>
        <v>0</v>
      </c>
      <c r="BQ21" s="234">
        <f>IF('Concr. Pg 1'!DI191="",BQ22,'Concr. Pg 1'!DI191)</f>
        <v>0</v>
      </c>
      <c r="BR21" s="223" t="e">
        <f t="shared" si="1"/>
        <v>#DIV/0!</v>
      </c>
      <c r="BS21" s="2983" t="e">
        <f t="shared" si="2"/>
        <v>#DIV/0!</v>
      </c>
      <c r="BT21" s="2984"/>
      <c r="BU21" s="2985"/>
      <c r="BV21" s="251" t="e">
        <f t="shared" si="3"/>
        <v>#DIV/0!</v>
      </c>
      <c r="BW21" s="225" t="e">
        <f t="shared" si="4"/>
        <v>#DIV/0!</v>
      </c>
      <c r="BX21" s="224">
        <f t="shared" si="5"/>
        <v>0</v>
      </c>
      <c r="BZ21" s="162">
        <f t="shared" si="6"/>
        <v>0</v>
      </c>
      <c r="CA21" s="162">
        <f t="shared" si="8"/>
        <v>0</v>
      </c>
      <c r="CC21" s="259" t="e">
        <f t="shared" si="7"/>
        <v>#DIV/0!</v>
      </c>
      <c r="CD21" s="3022"/>
      <c r="CE21" s="3023"/>
      <c r="CP21" s="166"/>
      <c r="CQ21" s="280" t="s">
        <v>30</v>
      </c>
      <c r="CR21" s="280" t="s">
        <v>31</v>
      </c>
      <c r="CS21" s="167"/>
      <c r="CU21" s="166"/>
      <c r="CV21" s="280" t="s">
        <v>30</v>
      </c>
      <c r="CW21" s="280" t="s">
        <v>31</v>
      </c>
      <c r="CX21" s="167"/>
      <c r="CZ21" s="341"/>
      <c r="DA21" s="280" t="s">
        <v>30</v>
      </c>
      <c r="DB21" s="280" t="s">
        <v>31</v>
      </c>
      <c r="DC21" s="167"/>
      <c r="DE21" s="166"/>
      <c r="DF21" s="280" t="s">
        <v>30</v>
      </c>
      <c r="DG21" s="280" t="s">
        <v>31</v>
      </c>
      <c r="DH21" s="167"/>
      <c r="DJ21" s="166"/>
      <c r="DK21" s="280" t="s">
        <v>30</v>
      </c>
      <c r="DL21" s="280" t="s">
        <v>31</v>
      </c>
      <c r="DM21" s="167"/>
    </row>
    <row r="22" spans="2:117" ht="12.9" customHeight="1">
      <c r="B22" s="3061"/>
      <c r="C22" s="3056"/>
      <c r="D22" s="3056"/>
      <c r="E22" s="3056"/>
      <c r="F22" s="3056"/>
      <c r="G22" s="3056"/>
      <c r="H22" s="3056"/>
      <c r="I22" s="3056"/>
      <c r="J22" s="3056"/>
      <c r="K22" s="3056"/>
      <c r="L22" s="3056"/>
      <c r="M22" s="3056"/>
      <c r="N22" s="3056"/>
      <c r="O22" s="3056"/>
      <c r="P22" s="3056"/>
      <c r="Q22" s="3056"/>
      <c r="R22" s="3056"/>
      <c r="S22" s="3056"/>
      <c r="T22" s="3056"/>
      <c r="U22" s="3056"/>
      <c r="V22" s="3056"/>
      <c r="W22" s="3056"/>
      <c r="X22" s="3056"/>
      <c r="Y22" s="3056"/>
      <c r="Z22" s="3056"/>
      <c r="AA22" s="3056"/>
      <c r="AB22" s="3056"/>
      <c r="AC22" s="3056"/>
      <c r="AD22" s="3056"/>
      <c r="AE22" s="3056"/>
      <c r="AF22" s="3056"/>
      <c r="AG22" s="3056"/>
      <c r="AH22" s="3056"/>
      <c r="AI22" s="3056"/>
      <c r="AJ22" s="3056"/>
      <c r="AK22" s="3056"/>
      <c r="AL22" s="3056"/>
      <c r="AM22" s="3056"/>
      <c r="AN22" s="3056"/>
      <c r="AO22" s="3056"/>
      <c r="AP22" s="3056"/>
      <c r="AQ22" s="3056"/>
      <c r="AR22" s="3056"/>
      <c r="AS22" s="3056"/>
      <c r="AT22" s="3056"/>
      <c r="AU22" s="3056"/>
      <c r="AV22" s="3056"/>
      <c r="AW22" s="3056"/>
      <c r="AX22" s="3056"/>
      <c r="AY22" s="3056"/>
      <c r="AZ22" s="3056"/>
      <c r="BA22" s="3056"/>
      <c r="BB22" s="3056"/>
      <c r="BC22" s="3056"/>
      <c r="BD22" s="3056"/>
      <c r="BE22" s="3056"/>
      <c r="BF22" s="3056"/>
      <c r="BG22" s="3056"/>
      <c r="BH22" s="3056"/>
      <c r="BI22" s="3057"/>
      <c r="BL22" s="272" t="e">
        <f>IF(BR22=0,"",SUM(BR22:BR$55))</f>
        <v>#DIV/0!</v>
      </c>
      <c r="BM22" s="269" t="e">
        <f t="shared" si="0"/>
        <v>#DIV/0!</v>
      </c>
      <c r="BO22" s="205" t="s">
        <v>303</v>
      </c>
      <c r="BP22" s="233">
        <f>IF('Concr. Pg 1'!DE187="",BP23,'Concr. Pg 1'!DE187)</f>
        <v>0</v>
      </c>
      <c r="BQ22" s="234">
        <f>IF('Concr. Pg 1'!DI187="",BQ23,'Concr. Pg 1'!DI187)</f>
        <v>0</v>
      </c>
      <c r="BR22" s="223" t="e">
        <f t="shared" si="1"/>
        <v>#DIV/0!</v>
      </c>
      <c r="BS22" s="2983" t="e">
        <f t="shared" si="2"/>
        <v>#DIV/0!</v>
      </c>
      <c r="BT22" s="2984"/>
      <c r="BU22" s="2985"/>
      <c r="BV22" s="251" t="e">
        <f t="shared" si="3"/>
        <v>#DIV/0!</v>
      </c>
      <c r="BW22" s="225" t="e">
        <f t="shared" si="4"/>
        <v>#DIV/0!</v>
      </c>
      <c r="BX22" s="224">
        <f t="shared" si="5"/>
        <v>0</v>
      </c>
      <c r="BZ22" s="162">
        <f t="shared" si="6"/>
        <v>0</v>
      </c>
      <c r="CA22" s="162">
        <f t="shared" si="8"/>
        <v>0</v>
      </c>
      <c r="CC22" s="259" t="e">
        <f t="shared" si="7"/>
        <v>#DIV/0!</v>
      </c>
      <c r="CD22" s="3022"/>
      <c r="CE22" s="3023"/>
      <c r="CH22" s="2999" t="s">
        <v>278</v>
      </c>
      <c r="CI22" s="3000"/>
      <c r="CJ22" s="3000"/>
      <c r="CK22" s="3001"/>
      <c r="CP22" s="169"/>
      <c r="CQ22" s="163"/>
      <c r="CR22" s="163"/>
      <c r="CS22" s="308" t="s">
        <v>370</v>
      </c>
      <c r="CU22" s="169"/>
      <c r="CV22" s="163"/>
      <c r="CW22" s="163"/>
      <c r="CX22" s="308" t="s">
        <v>370</v>
      </c>
      <c r="CZ22" s="342"/>
      <c r="DA22" s="163"/>
      <c r="DB22" s="163"/>
      <c r="DC22" s="308" t="s">
        <v>370</v>
      </c>
      <c r="DE22" s="169"/>
      <c r="DF22" s="163"/>
      <c r="DG22" s="163"/>
      <c r="DH22" s="308" t="s">
        <v>370</v>
      </c>
      <c r="DJ22" s="169"/>
      <c r="DK22" s="163"/>
      <c r="DL22" s="163"/>
      <c r="DM22" s="308" t="s">
        <v>370</v>
      </c>
    </row>
    <row r="23" spans="2:117" ht="12.9" customHeight="1" thickBot="1">
      <c r="B23" s="3061"/>
      <c r="C23" s="3056"/>
      <c r="D23" s="3056"/>
      <c r="E23" s="3056"/>
      <c r="F23" s="3056"/>
      <c r="G23" s="3056"/>
      <c r="H23" s="3056"/>
      <c r="I23" s="3056"/>
      <c r="J23" s="3056"/>
      <c r="K23" s="3056"/>
      <c r="L23" s="3056"/>
      <c r="M23" s="3056"/>
      <c r="N23" s="3056"/>
      <c r="O23" s="3056"/>
      <c r="P23" s="3056"/>
      <c r="Q23" s="3056"/>
      <c r="R23" s="3056"/>
      <c r="S23" s="3056"/>
      <c r="T23" s="3056"/>
      <c r="U23" s="3056"/>
      <c r="V23" s="3056"/>
      <c r="W23" s="3056"/>
      <c r="X23" s="3056"/>
      <c r="Y23" s="3056"/>
      <c r="Z23" s="3056"/>
      <c r="AA23" s="3056"/>
      <c r="AB23" s="3056"/>
      <c r="AC23" s="3056"/>
      <c r="AD23" s="3056"/>
      <c r="AE23" s="3056"/>
      <c r="AF23" s="3056"/>
      <c r="AG23" s="3056"/>
      <c r="AH23" s="3056"/>
      <c r="AI23" s="3056"/>
      <c r="AJ23" s="3056"/>
      <c r="AK23" s="3056"/>
      <c r="AL23" s="3056"/>
      <c r="AM23" s="3056"/>
      <c r="AN23" s="3056"/>
      <c r="AO23" s="3056"/>
      <c r="AP23" s="3056"/>
      <c r="AQ23" s="3056"/>
      <c r="AR23" s="3056"/>
      <c r="AS23" s="3056"/>
      <c r="AT23" s="3056"/>
      <c r="AU23" s="3056"/>
      <c r="AV23" s="3056"/>
      <c r="AW23" s="3056"/>
      <c r="AX23" s="3056"/>
      <c r="AY23" s="3056"/>
      <c r="AZ23" s="3056"/>
      <c r="BA23" s="3056"/>
      <c r="BB23" s="3056"/>
      <c r="BC23" s="3056"/>
      <c r="BD23" s="3056"/>
      <c r="BE23" s="3056"/>
      <c r="BF23" s="3056"/>
      <c r="BG23" s="3056"/>
      <c r="BH23" s="3056"/>
      <c r="BI23" s="3057"/>
      <c r="BL23" s="272" t="e">
        <f>IF(BR23=0,"",SUM(BR23:BR$55))</f>
        <v>#DIV/0!</v>
      </c>
      <c r="BM23" s="269" t="e">
        <f t="shared" si="0"/>
        <v>#DIV/0!</v>
      </c>
      <c r="BO23" s="205" t="s">
        <v>302</v>
      </c>
      <c r="BP23" s="233">
        <f>IF('Concr. Pg 1'!DE183="",BP24,'Concr. Pg 1'!DE183)</f>
        <v>0</v>
      </c>
      <c r="BQ23" s="234">
        <f>IF('Concr. Pg 1'!DI183="",BQ24,'Concr. Pg 1'!DI183)</f>
        <v>0</v>
      </c>
      <c r="BR23" s="223" t="e">
        <f t="shared" si="1"/>
        <v>#DIV/0!</v>
      </c>
      <c r="BS23" s="2983" t="e">
        <f t="shared" si="2"/>
        <v>#DIV/0!</v>
      </c>
      <c r="BT23" s="2984"/>
      <c r="BU23" s="2985"/>
      <c r="BV23" s="251" t="e">
        <f t="shared" si="3"/>
        <v>#DIV/0!</v>
      </c>
      <c r="BW23" s="225" t="e">
        <f t="shared" si="4"/>
        <v>#DIV/0!</v>
      </c>
      <c r="BX23" s="224">
        <f t="shared" si="5"/>
        <v>0</v>
      </c>
      <c r="BZ23" s="162">
        <f t="shared" si="6"/>
        <v>0</v>
      </c>
      <c r="CA23" s="162">
        <f t="shared" si="8"/>
        <v>0</v>
      </c>
      <c r="CC23" s="259" t="e">
        <f t="shared" si="7"/>
        <v>#DIV/0!</v>
      </c>
      <c r="CD23" s="3022"/>
      <c r="CE23" s="3023"/>
      <c r="CH23" s="3002"/>
      <c r="CI23" s="3003"/>
      <c r="CJ23" s="3003"/>
      <c r="CK23" s="3004"/>
      <c r="CP23" s="169"/>
      <c r="CQ23" s="3014" t="s">
        <v>335</v>
      </c>
      <c r="CR23" s="3014"/>
      <c r="CS23" s="170"/>
      <c r="CU23" s="2993" t="s">
        <v>343</v>
      </c>
      <c r="CV23" s="2994"/>
      <c r="CW23" s="2994"/>
      <c r="CX23" s="2995"/>
      <c r="CZ23" s="169"/>
      <c r="DA23" s="3014" t="s">
        <v>341</v>
      </c>
      <c r="DB23" s="3014"/>
      <c r="DC23" s="170"/>
      <c r="DE23" s="2993" t="s">
        <v>344</v>
      </c>
      <c r="DF23" s="2994"/>
      <c r="DG23" s="2994"/>
      <c r="DH23" s="2995"/>
      <c r="DJ23" s="2993" t="s">
        <v>344</v>
      </c>
      <c r="DK23" s="2994"/>
      <c r="DL23" s="2994"/>
      <c r="DM23" s="2995"/>
    </row>
    <row r="24" spans="2:117" ht="12.9" customHeight="1" thickBot="1">
      <c r="B24" s="3061"/>
      <c r="C24" s="3056"/>
      <c r="D24" s="3056"/>
      <c r="E24" s="3056"/>
      <c r="F24" s="3056"/>
      <c r="G24" s="3056"/>
      <c r="H24" s="3056"/>
      <c r="I24" s="3056"/>
      <c r="J24" s="3056"/>
      <c r="K24" s="3056"/>
      <c r="L24" s="3056"/>
      <c r="M24" s="3056"/>
      <c r="N24" s="3056"/>
      <c r="O24" s="3056"/>
      <c r="P24" s="3056"/>
      <c r="Q24" s="3056"/>
      <c r="R24" s="3056"/>
      <c r="S24" s="3056"/>
      <c r="T24" s="3056"/>
      <c r="U24" s="3056"/>
      <c r="V24" s="3056"/>
      <c r="W24" s="3056"/>
      <c r="X24" s="3056"/>
      <c r="Y24" s="3056"/>
      <c r="Z24" s="3056"/>
      <c r="AA24" s="3056"/>
      <c r="AB24" s="3056"/>
      <c r="AC24" s="3056"/>
      <c r="AD24" s="3056"/>
      <c r="AE24" s="3056"/>
      <c r="AF24" s="3056"/>
      <c r="AG24" s="3056"/>
      <c r="AH24" s="3056"/>
      <c r="AI24" s="3056"/>
      <c r="AJ24" s="3056"/>
      <c r="AK24" s="3056"/>
      <c r="AL24" s="3056"/>
      <c r="AM24" s="3056"/>
      <c r="AN24" s="3056"/>
      <c r="AO24" s="3056"/>
      <c r="AP24" s="3056"/>
      <c r="AQ24" s="3056"/>
      <c r="AR24" s="3056"/>
      <c r="AS24" s="3056"/>
      <c r="AT24" s="3056"/>
      <c r="AU24" s="3056"/>
      <c r="AV24" s="3056"/>
      <c r="AW24" s="3056"/>
      <c r="AX24" s="3056"/>
      <c r="AY24" s="3056"/>
      <c r="AZ24" s="3056"/>
      <c r="BA24" s="3056"/>
      <c r="BB24" s="3056"/>
      <c r="BC24" s="3056"/>
      <c r="BD24" s="3056"/>
      <c r="BE24" s="3056"/>
      <c r="BF24" s="3056"/>
      <c r="BG24" s="3056"/>
      <c r="BH24" s="3056"/>
      <c r="BI24" s="3057"/>
      <c r="BL24" s="272" t="e">
        <f>IF(BR24=0,"",SUM(BR24:BR$55))</f>
        <v>#DIV/0!</v>
      </c>
      <c r="BM24" s="269" t="e">
        <f t="shared" si="0"/>
        <v>#DIV/0!</v>
      </c>
      <c r="BO24" s="199" t="s">
        <v>304</v>
      </c>
      <c r="BP24" s="233">
        <f>IF('Concr. Pg 1'!DE179="",BP25,'Concr. Pg 1'!DE179)</f>
        <v>0</v>
      </c>
      <c r="BQ24" s="234">
        <f>IF('Concr. Pg 1'!DI179="",BQ25,'Concr. Pg 1'!DI179)</f>
        <v>0</v>
      </c>
      <c r="BR24" s="223" t="e">
        <f t="shared" si="1"/>
        <v>#DIV/0!</v>
      </c>
      <c r="BS24" s="2983" t="e">
        <f t="shared" si="2"/>
        <v>#DIV/0!</v>
      </c>
      <c r="BT24" s="2984"/>
      <c r="BU24" s="2985"/>
      <c r="BV24" s="251" t="e">
        <f t="shared" si="3"/>
        <v>#DIV/0!</v>
      </c>
      <c r="BW24" s="225" t="e">
        <f t="shared" si="4"/>
        <v>#DIV/0!</v>
      </c>
      <c r="BX24" s="224">
        <f t="shared" si="5"/>
        <v>0</v>
      </c>
      <c r="BZ24" s="162">
        <f t="shared" si="6"/>
        <v>0</v>
      </c>
      <c r="CA24" s="162">
        <f t="shared" si="8"/>
        <v>0</v>
      </c>
      <c r="CC24" s="259" t="e">
        <f t="shared" si="7"/>
        <v>#DIV/0!</v>
      </c>
      <c r="CD24" s="3022"/>
      <c r="CE24" s="3023"/>
      <c r="CH24" s="322">
        <f>AO7</f>
        <v>0</v>
      </c>
      <c r="CI24" s="3005" t="s">
        <v>279</v>
      </c>
      <c r="CJ24" s="3006"/>
      <c r="CK24" s="3006"/>
      <c r="CL24" s="3006"/>
      <c r="CM24" s="3006"/>
      <c r="CN24" s="3006"/>
      <c r="CO24" s="3006"/>
      <c r="CP24" s="292"/>
      <c r="CQ24" s="162" t="e">
        <f>PI()*CR62*CR62*(CR63-CR68)/(4*27)+CQ25-(CH26*(CS24-CS25))</f>
        <v>#DIV/0!</v>
      </c>
      <c r="CR24" s="162">
        <f>IF(AB$7="Elev.",CI31,CJ31)</f>
        <v>0</v>
      </c>
      <c r="CS24" s="307">
        <f>CJ31</f>
        <v>0</v>
      </c>
      <c r="CU24" s="292"/>
      <c r="CV24" s="162" t="e">
        <f>CQ15</f>
        <v>#DIV/0!</v>
      </c>
      <c r="CW24" s="162" t="e">
        <f>CQ15</f>
        <v>#DIV/0!</v>
      </c>
      <c r="CX24" s="301"/>
      <c r="CY24" s="282"/>
      <c r="CZ24" s="292"/>
      <c r="DA24" s="294" t="e">
        <f>PI()*CR62*CR62*(CR63-CR73)/(4*27)+DA25-(CH26*(DC24-DC25))</f>
        <v>#DIV/0!</v>
      </c>
      <c r="DB24" s="294">
        <f>IF(AB$7="Elev.",CI31,CJ31)</f>
        <v>0</v>
      </c>
      <c r="DC24" s="307">
        <f>CJ31</f>
        <v>0</v>
      </c>
      <c r="DE24" s="292"/>
      <c r="DF24" s="162" t="e">
        <f>CQ15</f>
        <v>#DIV/0!</v>
      </c>
      <c r="DG24" s="162" t="e">
        <f>CQ15</f>
        <v>#DIV/0!</v>
      </c>
      <c r="DH24" s="301"/>
      <c r="DJ24" s="292"/>
      <c r="DK24" s="162" t="e">
        <f>CQ15</f>
        <v>#DIV/0!</v>
      </c>
      <c r="DL24" s="162" t="e">
        <f>CQ15</f>
        <v>#DIV/0!</v>
      </c>
      <c r="DM24" s="301"/>
    </row>
    <row r="25" spans="2:117" ht="12.9" customHeight="1">
      <c r="B25" s="3061"/>
      <c r="C25" s="3056"/>
      <c r="D25" s="3056"/>
      <c r="E25" s="3056"/>
      <c r="F25" s="3056"/>
      <c r="G25" s="3056"/>
      <c r="H25" s="3056"/>
      <c r="I25" s="3056"/>
      <c r="J25" s="3056"/>
      <c r="K25" s="3056"/>
      <c r="L25" s="3056"/>
      <c r="M25" s="3056"/>
      <c r="N25" s="3056"/>
      <c r="O25" s="3056"/>
      <c r="P25" s="3056"/>
      <c r="Q25" s="3056"/>
      <c r="R25" s="3056"/>
      <c r="S25" s="3056"/>
      <c r="T25" s="3056"/>
      <c r="U25" s="3056"/>
      <c r="V25" s="3056"/>
      <c r="W25" s="3056"/>
      <c r="X25" s="3056"/>
      <c r="Y25" s="3056"/>
      <c r="Z25" s="3056"/>
      <c r="AA25" s="3056"/>
      <c r="AB25" s="3056"/>
      <c r="AC25" s="3056"/>
      <c r="AD25" s="3056"/>
      <c r="AE25" s="3056"/>
      <c r="AF25" s="3056"/>
      <c r="AG25" s="3056"/>
      <c r="AH25" s="3056"/>
      <c r="AI25" s="3056"/>
      <c r="AJ25" s="3056"/>
      <c r="AK25" s="3056"/>
      <c r="AL25" s="3056"/>
      <c r="AM25" s="3056"/>
      <c r="AN25" s="3056"/>
      <c r="AO25" s="3056"/>
      <c r="AP25" s="3056"/>
      <c r="AQ25" s="3056"/>
      <c r="AR25" s="3056"/>
      <c r="AS25" s="3056"/>
      <c r="AT25" s="3056"/>
      <c r="AU25" s="3056"/>
      <c r="AV25" s="3056"/>
      <c r="AW25" s="3056"/>
      <c r="AX25" s="3056"/>
      <c r="AY25" s="3056"/>
      <c r="AZ25" s="3056"/>
      <c r="BA25" s="3056"/>
      <c r="BB25" s="3056"/>
      <c r="BC25" s="3056"/>
      <c r="BD25" s="3056"/>
      <c r="BE25" s="3056"/>
      <c r="BF25" s="3056"/>
      <c r="BG25" s="3056"/>
      <c r="BH25" s="3056"/>
      <c r="BI25" s="3057"/>
      <c r="BL25" s="272" t="e">
        <f>IF(BR25=0,"",SUM(BR25:BR$55))</f>
        <v>#DIV/0!</v>
      </c>
      <c r="BM25" s="269" t="e">
        <f t="shared" si="0"/>
        <v>#DIV/0!</v>
      </c>
      <c r="BO25" s="160">
        <v>31</v>
      </c>
      <c r="BP25" s="233">
        <f>IF('Concr. Pg 1'!DE175="",BP26,'Concr. Pg 1'!DE175)</f>
        <v>0</v>
      </c>
      <c r="BQ25" s="234">
        <f>IF('Concr. Pg 1'!DI175="",BQ26,'Concr. Pg 1'!DI175)</f>
        <v>0</v>
      </c>
      <c r="BR25" s="223" t="e">
        <f t="shared" si="1"/>
        <v>#DIV/0!</v>
      </c>
      <c r="BS25" s="2983" t="e">
        <f t="shared" si="2"/>
        <v>#DIV/0!</v>
      </c>
      <c r="BT25" s="2984"/>
      <c r="BU25" s="2985"/>
      <c r="BV25" s="251" t="e">
        <f t="shared" si="3"/>
        <v>#DIV/0!</v>
      </c>
      <c r="BW25" s="225" t="e">
        <f t="shared" si="4"/>
        <v>#DIV/0!</v>
      </c>
      <c r="BX25" s="224">
        <f t="shared" si="5"/>
        <v>0</v>
      </c>
      <c r="BZ25" s="162">
        <f t="shared" si="6"/>
        <v>0</v>
      </c>
      <c r="CA25" s="162">
        <f t="shared" si="8"/>
        <v>0</v>
      </c>
      <c r="CC25" s="259" t="e">
        <f t="shared" si="7"/>
        <v>#DIV/0!</v>
      </c>
      <c r="CD25" s="3022"/>
      <c r="CE25" s="3023"/>
      <c r="CH25" s="323">
        <f>BU81-BU82</f>
        <v>0</v>
      </c>
      <c r="CI25" s="199" t="s">
        <v>276</v>
      </c>
      <c r="CO25" s="282"/>
      <c r="CP25" s="292"/>
      <c r="CQ25" s="162" t="e">
        <f>CQ28</f>
        <v>#DIV/0!</v>
      </c>
      <c r="CR25" s="162">
        <f>CR28</f>
        <v>0</v>
      </c>
      <c r="CS25" s="307">
        <f>CJ35</f>
        <v>0</v>
      </c>
      <c r="CT25" s="282"/>
      <c r="CU25" s="292"/>
      <c r="CV25" s="162" t="e">
        <f>CQ15</f>
        <v>#DIV/0!</v>
      </c>
      <c r="CW25" s="162" t="e">
        <f>CQ15</f>
        <v>#DIV/0!</v>
      </c>
      <c r="CX25" s="301"/>
      <c r="CY25" s="282"/>
      <c r="CZ25" s="292"/>
      <c r="DA25" s="294" t="e">
        <f>DA32</f>
        <v>#DIV/0!</v>
      </c>
      <c r="DB25" s="294">
        <f>DB32</f>
        <v>0</v>
      </c>
      <c r="DC25" s="307">
        <f>CJ32</f>
        <v>0</v>
      </c>
      <c r="DD25" s="282"/>
      <c r="DE25" s="292"/>
      <c r="DF25" s="162" t="e">
        <f>CQ15</f>
        <v>#DIV/0!</v>
      </c>
      <c r="DG25" s="162" t="e">
        <f>CQ15</f>
        <v>#DIV/0!</v>
      </c>
      <c r="DH25" s="301"/>
      <c r="DI25" s="282"/>
      <c r="DJ25" s="292"/>
      <c r="DK25" s="162" t="e">
        <f>CQ15</f>
        <v>#DIV/0!</v>
      </c>
      <c r="DL25" s="162" t="e">
        <f>CQ15</f>
        <v>#DIV/0!</v>
      </c>
      <c r="DM25" s="301"/>
    </row>
    <row r="26" spans="2:117" ht="12.9" customHeight="1">
      <c r="B26" s="3061"/>
      <c r="C26" s="3056"/>
      <c r="D26" s="3056"/>
      <c r="E26" s="3056"/>
      <c r="F26" s="3056"/>
      <c r="G26" s="3056"/>
      <c r="H26" s="3056"/>
      <c r="I26" s="3056"/>
      <c r="J26" s="3056"/>
      <c r="K26" s="3056"/>
      <c r="L26" s="3056"/>
      <c r="M26" s="3056"/>
      <c r="N26" s="3056"/>
      <c r="O26" s="3056"/>
      <c r="P26" s="3056"/>
      <c r="Q26" s="3056"/>
      <c r="R26" s="3056"/>
      <c r="S26" s="3056"/>
      <c r="T26" s="3056"/>
      <c r="U26" s="3056"/>
      <c r="V26" s="3056"/>
      <c r="W26" s="3056"/>
      <c r="X26" s="3056"/>
      <c r="Y26" s="3056"/>
      <c r="Z26" s="3056"/>
      <c r="AA26" s="3056"/>
      <c r="AB26" s="3056"/>
      <c r="AC26" s="3056"/>
      <c r="AD26" s="3056"/>
      <c r="AE26" s="3056"/>
      <c r="AF26" s="3056"/>
      <c r="AG26" s="3056"/>
      <c r="AH26" s="3056"/>
      <c r="AI26" s="3056"/>
      <c r="AJ26" s="3056"/>
      <c r="AK26" s="3056"/>
      <c r="AL26" s="3056"/>
      <c r="AM26" s="3056"/>
      <c r="AN26" s="3056"/>
      <c r="AO26" s="3056"/>
      <c r="AP26" s="3056"/>
      <c r="AQ26" s="3056"/>
      <c r="AR26" s="3056"/>
      <c r="AS26" s="3056"/>
      <c r="AT26" s="3056"/>
      <c r="AU26" s="3056"/>
      <c r="AV26" s="3056"/>
      <c r="AW26" s="3056"/>
      <c r="AX26" s="3056"/>
      <c r="AY26" s="3056"/>
      <c r="AZ26" s="3056"/>
      <c r="BA26" s="3056"/>
      <c r="BB26" s="3056"/>
      <c r="BC26" s="3056"/>
      <c r="BD26" s="3056"/>
      <c r="BE26" s="3056"/>
      <c r="BF26" s="3056"/>
      <c r="BG26" s="3056"/>
      <c r="BH26" s="3056"/>
      <c r="BI26" s="3057"/>
      <c r="BL26" s="272" t="e">
        <f>IF(BR26=0,"",SUM(BR26:BR$55))</f>
        <v>#DIV/0!</v>
      </c>
      <c r="BM26" s="269" t="e">
        <f t="shared" si="0"/>
        <v>#DIV/0!</v>
      </c>
      <c r="BO26" s="160">
        <v>30</v>
      </c>
      <c r="BP26" s="233">
        <f>IF('Concr. Pg 1'!DE171="",BP27,'Concr. Pg 1'!DE171)</f>
        <v>0</v>
      </c>
      <c r="BQ26" s="234">
        <f>IF('Concr. Pg 1'!DI171="",BQ27,'Concr. Pg 1'!DI171)</f>
        <v>0</v>
      </c>
      <c r="BR26" s="223" t="e">
        <f t="shared" si="1"/>
        <v>#DIV/0!</v>
      </c>
      <c r="BS26" s="2983" t="e">
        <f t="shared" si="2"/>
        <v>#DIV/0!</v>
      </c>
      <c r="BT26" s="2984"/>
      <c r="BU26" s="2985"/>
      <c r="BV26" s="251" t="e">
        <f t="shared" si="3"/>
        <v>#DIV/0!</v>
      </c>
      <c r="BW26" s="225" t="e">
        <f t="shared" si="4"/>
        <v>#DIV/0!</v>
      </c>
      <c r="BX26" s="224">
        <f t="shared" si="5"/>
        <v>0</v>
      </c>
      <c r="BZ26" s="162">
        <f t="shared" si="6"/>
        <v>0</v>
      </c>
      <c r="CA26" s="162">
        <f t="shared" si="8"/>
        <v>0</v>
      </c>
      <c r="CC26" s="259" t="e">
        <f t="shared" si="7"/>
        <v>#DIV/0!</v>
      </c>
      <c r="CD26" s="3022"/>
      <c r="CE26" s="3023"/>
      <c r="CH26" s="324" t="e">
        <f>CH24/CH25</f>
        <v>#DIV/0!</v>
      </c>
      <c r="CI26" s="344" t="s">
        <v>385</v>
      </c>
      <c r="CO26" s="282"/>
      <c r="CP26" s="292"/>
      <c r="CQ26" s="164"/>
      <c r="CR26" s="164"/>
      <c r="CS26" s="308"/>
      <c r="CT26" s="282"/>
      <c r="CU26" s="292"/>
      <c r="CV26" s="164"/>
      <c r="CW26" s="164"/>
      <c r="CX26" s="306"/>
      <c r="CY26" s="282"/>
      <c r="CZ26" s="292"/>
      <c r="DA26" s="164"/>
      <c r="DB26" s="164"/>
      <c r="DC26" s="308"/>
      <c r="DD26" s="282"/>
      <c r="DE26" s="292"/>
      <c r="DF26" s="164"/>
      <c r="DG26" s="164"/>
      <c r="DH26" s="306"/>
      <c r="DI26" s="282"/>
      <c r="DJ26" s="292"/>
      <c r="DK26" s="164"/>
      <c r="DL26" s="164"/>
      <c r="DM26" s="306"/>
    </row>
    <row r="27" spans="2:117" ht="12.9" customHeight="1">
      <c r="B27" s="3061"/>
      <c r="C27" s="3056"/>
      <c r="D27" s="3056"/>
      <c r="E27" s="3056"/>
      <c r="F27" s="3056"/>
      <c r="G27" s="3056"/>
      <c r="H27" s="3056"/>
      <c r="I27" s="3056"/>
      <c r="J27" s="3056"/>
      <c r="K27" s="3056"/>
      <c r="L27" s="3056"/>
      <c r="M27" s="3056"/>
      <c r="N27" s="3056"/>
      <c r="O27" s="3056"/>
      <c r="P27" s="3056"/>
      <c r="Q27" s="3056"/>
      <c r="R27" s="3056"/>
      <c r="S27" s="3056"/>
      <c r="T27" s="3056"/>
      <c r="U27" s="3056"/>
      <c r="V27" s="3056"/>
      <c r="W27" s="3056"/>
      <c r="X27" s="3056"/>
      <c r="Y27" s="3056"/>
      <c r="Z27" s="3056"/>
      <c r="AA27" s="3056"/>
      <c r="AB27" s="3056"/>
      <c r="AC27" s="3056"/>
      <c r="AD27" s="3056"/>
      <c r="AE27" s="3056"/>
      <c r="AF27" s="3056"/>
      <c r="AG27" s="3056"/>
      <c r="AH27" s="3056"/>
      <c r="AI27" s="3056"/>
      <c r="AJ27" s="3056"/>
      <c r="AK27" s="3056"/>
      <c r="AL27" s="3056"/>
      <c r="AM27" s="3056"/>
      <c r="AN27" s="3056"/>
      <c r="AO27" s="3056"/>
      <c r="AP27" s="3056"/>
      <c r="AQ27" s="3056"/>
      <c r="AR27" s="3056"/>
      <c r="AS27" s="3056"/>
      <c r="AT27" s="3056"/>
      <c r="AU27" s="3056"/>
      <c r="AV27" s="3056"/>
      <c r="AW27" s="3056"/>
      <c r="AX27" s="3056"/>
      <c r="AY27" s="3056"/>
      <c r="AZ27" s="3056"/>
      <c r="BA27" s="3056"/>
      <c r="BB27" s="3056"/>
      <c r="BC27" s="3056"/>
      <c r="BD27" s="3056"/>
      <c r="BE27" s="3056"/>
      <c r="BF27" s="3056"/>
      <c r="BG27" s="3056"/>
      <c r="BH27" s="3056"/>
      <c r="BI27" s="3057"/>
      <c r="BL27" s="272" t="e">
        <f>IF(BR27=0,"",SUM(BR27:BR$55))</f>
        <v>#DIV/0!</v>
      </c>
      <c r="BM27" s="269" t="e">
        <f t="shared" si="0"/>
        <v>#DIV/0!</v>
      </c>
      <c r="BO27" s="160">
        <v>29</v>
      </c>
      <c r="BP27" s="233">
        <f>IF('Concr. Pg 1'!DE167="",BP28,'Concr. Pg 1'!DE167)</f>
        <v>0</v>
      </c>
      <c r="BQ27" s="234">
        <f>IF('Concr. Pg 1'!DI167="",BQ28,'Concr. Pg 1'!DI167)</f>
        <v>0</v>
      </c>
      <c r="BR27" s="223" t="e">
        <f t="shared" si="1"/>
        <v>#DIV/0!</v>
      </c>
      <c r="BS27" s="2983" t="e">
        <f t="shared" si="2"/>
        <v>#DIV/0!</v>
      </c>
      <c r="BT27" s="2984"/>
      <c r="BU27" s="2985"/>
      <c r="BV27" s="251" t="e">
        <f t="shared" si="3"/>
        <v>#DIV/0!</v>
      </c>
      <c r="BW27" s="225" t="e">
        <f t="shared" si="4"/>
        <v>#DIV/0!</v>
      </c>
      <c r="BX27" s="224">
        <f t="shared" si="5"/>
        <v>0</v>
      </c>
      <c r="BZ27" s="162">
        <f t="shared" si="6"/>
        <v>0</v>
      </c>
      <c r="CA27" s="162">
        <f t="shared" si="8"/>
        <v>0</v>
      </c>
      <c r="CC27" s="259" t="e">
        <f t="shared" si="7"/>
        <v>#DIV/0!</v>
      </c>
      <c r="CD27" s="3022"/>
      <c r="CE27" s="3023"/>
      <c r="CO27" s="282"/>
      <c r="CP27" s="292"/>
      <c r="CQ27" s="3015" t="s">
        <v>369</v>
      </c>
      <c r="CR27" s="2989"/>
      <c r="CS27" s="308"/>
      <c r="CT27" s="282"/>
      <c r="CU27" s="292"/>
      <c r="CV27" s="2989" t="s">
        <v>176</v>
      </c>
      <c r="CW27" s="2990"/>
      <c r="CX27" s="306"/>
      <c r="CY27" s="282"/>
      <c r="CZ27" s="292"/>
      <c r="DA27" s="2989" t="s">
        <v>342</v>
      </c>
      <c r="DB27" s="2989"/>
      <c r="DC27" s="308"/>
      <c r="DD27" s="282"/>
      <c r="DE27" s="292"/>
      <c r="DF27" s="2989" t="s">
        <v>342</v>
      </c>
      <c r="DG27" s="2990"/>
      <c r="DH27" s="306"/>
      <c r="DI27" s="282"/>
      <c r="DJ27" s="292"/>
      <c r="DK27" s="2989" t="s">
        <v>342</v>
      </c>
      <c r="DL27" s="2990"/>
      <c r="DM27" s="306"/>
    </row>
    <row r="28" spans="2:117" ht="12.9" customHeight="1">
      <c r="B28" s="3061"/>
      <c r="C28" s="3056"/>
      <c r="D28" s="3056"/>
      <c r="E28" s="3056"/>
      <c r="F28" s="3056"/>
      <c r="G28" s="3056"/>
      <c r="H28" s="3056"/>
      <c r="I28" s="3056"/>
      <c r="J28" s="3056"/>
      <c r="K28" s="3056"/>
      <c r="L28" s="3056"/>
      <c r="M28" s="3056"/>
      <c r="N28" s="3056"/>
      <c r="O28" s="3056"/>
      <c r="P28" s="3056"/>
      <c r="Q28" s="3056"/>
      <c r="R28" s="3056"/>
      <c r="S28" s="3056"/>
      <c r="T28" s="3056"/>
      <c r="U28" s="3056"/>
      <c r="V28" s="3056"/>
      <c r="W28" s="3056"/>
      <c r="X28" s="3056"/>
      <c r="Y28" s="3056"/>
      <c r="Z28" s="3056"/>
      <c r="AA28" s="3056"/>
      <c r="AB28" s="3056"/>
      <c r="AC28" s="3056"/>
      <c r="AD28" s="3056"/>
      <c r="AE28" s="3056"/>
      <c r="AF28" s="3056"/>
      <c r="AG28" s="3056"/>
      <c r="AH28" s="3056"/>
      <c r="AI28" s="3056"/>
      <c r="AJ28" s="3056"/>
      <c r="AK28" s="3056"/>
      <c r="AL28" s="3056"/>
      <c r="AM28" s="3056"/>
      <c r="AN28" s="3056"/>
      <c r="AO28" s="3056"/>
      <c r="AP28" s="3056"/>
      <c r="AQ28" s="3056"/>
      <c r="AR28" s="3056"/>
      <c r="AS28" s="3056"/>
      <c r="AT28" s="3056"/>
      <c r="AU28" s="3056"/>
      <c r="AV28" s="3056"/>
      <c r="AW28" s="3056"/>
      <c r="AX28" s="3056"/>
      <c r="AY28" s="3056"/>
      <c r="AZ28" s="3056"/>
      <c r="BA28" s="3056"/>
      <c r="BB28" s="3056"/>
      <c r="BC28" s="3056"/>
      <c r="BD28" s="3056"/>
      <c r="BE28" s="3056"/>
      <c r="BF28" s="3056"/>
      <c r="BG28" s="3056"/>
      <c r="BH28" s="3056"/>
      <c r="BI28" s="3057"/>
      <c r="BL28" s="272" t="e">
        <f>IF(BR28=0,"",SUM(BR28:BR$55))</f>
        <v>#DIV/0!</v>
      </c>
      <c r="BM28" s="269" t="e">
        <f t="shared" si="0"/>
        <v>#DIV/0!</v>
      </c>
      <c r="BO28" s="160">
        <v>28</v>
      </c>
      <c r="BP28" s="233">
        <f>IF('Concr. Pg 1'!DE163="",BP29,'Concr. Pg 1'!DE163)</f>
        <v>0</v>
      </c>
      <c r="BQ28" s="234">
        <f>IF('Concr. Pg 1'!DI163="",BQ29,'Concr. Pg 1'!DI163)</f>
        <v>0</v>
      </c>
      <c r="BR28" s="223" t="e">
        <f t="shared" si="1"/>
        <v>#DIV/0!</v>
      </c>
      <c r="BS28" s="2983" t="e">
        <f t="shared" si="2"/>
        <v>#DIV/0!</v>
      </c>
      <c r="BT28" s="2984"/>
      <c r="BU28" s="2985"/>
      <c r="BV28" s="251" t="e">
        <f t="shared" si="3"/>
        <v>#DIV/0!</v>
      </c>
      <c r="BW28" s="225" t="e">
        <f t="shared" si="4"/>
        <v>#DIV/0!</v>
      </c>
      <c r="BX28" s="224">
        <f t="shared" si="5"/>
        <v>0</v>
      </c>
      <c r="BZ28" s="162">
        <f t="shared" si="6"/>
        <v>0</v>
      </c>
      <c r="CA28" s="162">
        <f t="shared" si="8"/>
        <v>0</v>
      </c>
      <c r="CC28" s="259" t="e">
        <f t="shared" si="7"/>
        <v>#DIV/0!</v>
      </c>
      <c r="CD28" s="3022"/>
      <c r="CE28" s="3023"/>
      <c r="CH28" s="174"/>
      <c r="CI28" s="174"/>
      <c r="CJ28" s="174"/>
      <c r="CK28" s="174"/>
      <c r="CL28" s="174"/>
      <c r="CM28" s="174"/>
      <c r="CN28" s="174"/>
      <c r="CO28" s="282"/>
      <c r="CP28" s="292"/>
      <c r="CQ28" s="162" t="e">
        <f>PI()*CR70*CR70*(CR68-CR69)/(4*27)+CQ29-(CH26*(CS28-CS29))</f>
        <v>#DIV/0!</v>
      </c>
      <c r="CR28" s="162">
        <f>IF(AB$7="Elev.",CI35,CJ35)</f>
        <v>0</v>
      </c>
      <c r="CS28" s="307">
        <f>CJ35</f>
        <v>0</v>
      </c>
      <c r="CT28" s="282"/>
      <c r="CU28" s="292"/>
      <c r="CV28" s="162" t="e">
        <f>PI()*CR70*CR70*(CR68-CR69)/(4*27)+CV29-(CH26*(CX28-CX29))</f>
        <v>#DIV/0!</v>
      </c>
      <c r="CW28" s="162">
        <f>IF(AB$7="Elev.",CI31,CJ31)</f>
        <v>0</v>
      </c>
      <c r="CX28" s="307">
        <f>CJ35</f>
        <v>0</v>
      </c>
      <c r="CY28" s="282"/>
      <c r="CZ28" s="292"/>
      <c r="DA28" s="162" t="e">
        <f>CQ15</f>
        <v>#DIV/0!</v>
      </c>
      <c r="DB28" s="162" t="e">
        <f>CQ15</f>
        <v>#DIV/0!</v>
      </c>
      <c r="DC28" s="315"/>
      <c r="DD28" s="282"/>
      <c r="DE28" s="292"/>
      <c r="DF28" s="162" t="e">
        <f>CQ15</f>
        <v>#DIV/0!</v>
      </c>
      <c r="DG28" s="162" t="e">
        <f>CQ15</f>
        <v>#DIV/0!</v>
      </c>
      <c r="DH28" s="301"/>
      <c r="DI28" s="282"/>
      <c r="DJ28" s="292"/>
      <c r="DK28" s="162" t="e">
        <f>CQ15</f>
        <v>#DIV/0!</v>
      </c>
      <c r="DL28" s="162" t="e">
        <f>CQ15</f>
        <v>#DIV/0!</v>
      </c>
      <c r="DM28" s="301"/>
    </row>
    <row r="29" spans="2:117" ht="12.9" customHeight="1">
      <c r="B29" s="3061"/>
      <c r="C29" s="3056"/>
      <c r="D29" s="3056"/>
      <c r="E29" s="3056"/>
      <c r="F29" s="3056"/>
      <c r="G29" s="3056"/>
      <c r="H29" s="3056"/>
      <c r="I29" s="3056"/>
      <c r="J29" s="3056"/>
      <c r="K29" s="3056"/>
      <c r="L29" s="3056"/>
      <c r="M29" s="3056"/>
      <c r="N29" s="3056"/>
      <c r="O29" s="3056"/>
      <c r="P29" s="3056"/>
      <c r="Q29" s="3056"/>
      <c r="R29" s="3056"/>
      <c r="S29" s="3056"/>
      <c r="T29" s="3056"/>
      <c r="U29" s="3056"/>
      <c r="V29" s="3056"/>
      <c r="W29" s="3056"/>
      <c r="X29" s="3056"/>
      <c r="Y29" s="3056"/>
      <c r="Z29" s="3056"/>
      <c r="AA29" s="3056"/>
      <c r="AB29" s="3056"/>
      <c r="AC29" s="3056"/>
      <c r="AD29" s="3056"/>
      <c r="AE29" s="3056"/>
      <c r="AF29" s="3056"/>
      <c r="AG29" s="3056"/>
      <c r="AH29" s="3056"/>
      <c r="AI29" s="3056"/>
      <c r="AJ29" s="3056"/>
      <c r="AK29" s="3056"/>
      <c r="AL29" s="3056"/>
      <c r="AM29" s="3056"/>
      <c r="AN29" s="3056"/>
      <c r="AO29" s="3056"/>
      <c r="AP29" s="3056"/>
      <c r="AQ29" s="3056"/>
      <c r="AR29" s="3056"/>
      <c r="AS29" s="3056"/>
      <c r="AT29" s="3056"/>
      <c r="AU29" s="3056"/>
      <c r="AV29" s="3056"/>
      <c r="AW29" s="3056"/>
      <c r="AX29" s="3056"/>
      <c r="AY29" s="3056"/>
      <c r="AZ29" s="3056"/>
      <c r="BA29" s="3056"/>
      <c r="BB29" s="3056"/>
      <c r="BC29" s="3056"/>
      <c r="BD29" s="3056"/>
      <c r="BE29" s="3056"/>
      <c r="BF29" s="3056"/>
      <c r="BG29" s="3056"/>
      <c r="BH29" s="3056"/>
      <c r="BI29" s="3057"/>
      <c r="BL29" s="272" t="e">
        <f>IF(BR29=0,"",SUM(BR29:BR$55))</f>
        <v>#DIV/0!</v>
      </c>
      <c r="BM29" s="269" t="e">
        <f t="shared" si="0"/>
        <v>#DIV/0!</v>
      </c>
      <c r="BO29" s="160">
        <v>27</v>
      </c>
      <c r="BP29" s="233">
        <f>IF('Concr. Pg 1'!DE159="",BP30,'Concr. Pg 1'!DE159)</f>
        <v>0</v>
      </c>
      <c r="BQ29" s="234">
        <f>IF('Concr. Pg 1'!DI159="",BQ30,'Concr. Pg 1'!DI159)</f>
        <v>0</v>
      </c>
      <c r="BR29" s="223" t="e">
        <f t="shared" si="1"/>
        <v>#DIV/0!</v>
      </c>
      <c r="BS29" s="2983" t="e">
        <f t="shared" si="2"/>
        <v>#DIV/0!</v>
      </c>
      <c r="BT29" s="2984"/>
      <c r="BU29" s="2985"/>
      <c r="BV29" s="251" t="e">
        <f t="shared" si="3"/>
        <v>#DIV/0!</v>
      </c>
      <c r="BW29" s="225" t="e">
        <f t="shared" si="4"/>
        <v>#DIV/0!</v>
      </c>
      <c r="BX29" s="224">
        <f t="shared" si="5"/>
        <v>0</v>
      </c>
      <c r="BZ29" s="162">
        <f t="shared" si="6"/>
        <v>0</v>
      </c>
      <c r="CA29" s="162">
        <f t="shared" si="8"/>
        <v>0</v>
      </c>
      <c r="CC29" s="259" t="e">
        <f t="shared" si="7"/>
        <v>#DIV/0!</v>
      </c>
      <c r="CD29" s="3024"/>
      <c r="CE29" s="3025"/>
      <c r="CH29" s="347"/>
      <c r="CI29" s="347"/>
      <c r="CJ29" s="174"/>
      <c r="CK29" s="345"/>
      <c r="CL29" s="345"/>
      <c r="CM29" s="174"/>
      <c r="CN29" s="174"/>
      <c r="CO29" s="282"/>
      <c r="CP29" s="292"/>
      <c r="CQ29" s="162" t="e">
        <f>CQ32</f>
        <v>#DIV/0!</v>
      </c>
      <c r="CR29" s="162">
        <f>CR32</f>
        <v>0</v>
      </c>
      <c r="CS29" s="307">
        <f>CJ36</f>
        <v>0</v>
      </c>
      <c r="CT29" s="282"/>
      <c r="CU29" s="292"/>
      <c r="CV29" s="162" t="e">
        <f>CV32</f>
        <v>#DIV/0!</v>
      </c>
      <c r="CW29" s="162">
        <f>CW32</f>
        <v>0</v>
      </c>
      <c r="CX29" s="307">
        <f>CJ36</f>
        <v>0</v>
      </c>
      <c r="CY29" s="282"/>
      <c r="CZ29" s="292"/>
      <c r="DA29" s="162" t="e">
        <f>CQ15</f>
        <v>#DIV/0!</v>
      </c>
      <c r="DB29" s="162" t="e">
        <f>CQ15</f>
        <v>#DIV/0!</v>
      </c>
      <c r="DC29" s="315"/>
      <c r="DD29" s="282"/>
      <c r="DE29" s="292"/>
      <c r="DF29" s="162" t="e">
        <f>CQ15</f>
        <v>#DIV/0!</v>
      </c>
      <c r="DG29" s="162" t="e">
        <f>CQ15</f>
        <v>#DIV/0!</v>
      </c>
      <c r="DH29" s="301"/>
      <c r="DI29" s="282"/>
      <c r="DJ29" s="292"/>
      <c r="DK29" s="162" t="e">
        <f>CQ15</f>
        <v>#DIV/0!</v>
      </c>
      <c r="DL29" s="162" t="e">
        <f>CQ15</f>
        <v>#DIV/0!</v>
      </c>
      <c r="DM29" s="301"/>
    </row>
    <row r="30" spans="2:117" ht="12.9" customHeight="1" thickBot="1">
      <c r="B30" s="3061"/>
      <c r="C30" s="3056"/>
      <c r="D30" s="3056"/>
      <c r="E30" s="3056"/>
      <c r="F30" s="3056"/>
      <c r="G30" s="3056"/>
      <c r="H30" s="3056"/>
      <c r="I30" s="3056"/>
      <c r="J30" s="3056"/>
      <c r="K30" s="3056"/>
      <c r="L30" s="3056"/>
      <c r="M30" s="3056"/>
      <c r="N30" s="3056"/>
      <c r="O30" s="3056"/>
      <c r="P30" s="3056"/>
      <c r="Q30" s="3056"/>
      <c r="R30" s="3056"/>
      <c r="S30" s="3056"/>
      <c r="T30" s="3056"/>
      <c r="U30" s="3056"/>
      <c r="V30" s="3056"/>
      <c r="W30" s="3056"/>
      <c r="X30" s="3056"/>
      <c r="Y30" s="3056"/>
      <c r="Z30" s="3056"/>
      <c r="AA30" s="3056"/>
      <c r="AB30" s="3056"/>
      <c r="AC30" s="3056"/>
      <c r="AD30" s="3056"/>
      <c r="AE30" s="3056"/>
      <c r="AF30" s="3056"/>
      <c r="AG30" s="3056"/>
      <c r="AH30" s="3056"/>
      <c r="AI30" s="3056"/>
      <c r="AJ30" s="3056"/>
      <c r="AK30" s="3056"/>
      <c r="AL30" s="3056"/>
      <c r="AM30" s="3056"/>
      <c r="AN30" s="3056"/>
      <c r="AO30" s="3056"/>
      <c r="AP30" s="3056"/>
      <c r="AQ30" s="3056"/>
      <c r="AR30" s="3056"/>
      <c r="AS30" s="3056"/>
      <c r="AT30" s="3056"/>
      <c r="AU30" s="3056"/>
      <c r="AV30" s="3056"/>
      <c r="AW30" s="3056"/>
      <c r="AX30" s="3056"/>
      <c r="AY30" s="3056"/>
      <c r="AZ30" s="3056"/>
      <c r="BA30" s="3056"/>
      <c r="BB30" s="3056"/>
      <c r="BC30" s="3056"/>
      <c r="BD30" s="3056"/>
      <c r="BE30" s="3056"/>
      <c r="BF30" s="3056"/>
      <c r="BG30" s="3056"/>
      <c r="BH30" s="3056"/>
      <c r="BI30" s="3057"/>
      <c r="BL30" s="272" t="e">
        <f>IF(BR30=0,"",SUM(BR30:BR$55))</f>
        <v>#DIV/0!</v>
      </c>
      <c r="BM30" s="269" t="e">
        <f t="shared" si="0"/>
        <v>#DIV/0!</v>
      </c>
      <c r="BO30" s="192">
        <v>26</v>
      </c>
      <c r="BP30" s="233">
        <f>IF('Concr. Pg 1'!DE155="",BP31,'Concr. Pg 1'!DE155)</f>
        <v>0</v>
      </c>
      <c r="BQ30" s="234">
        <f>IF('Concr. Pg 1'!DI155="",BQ31,'Concr. Pg 1'!DI155)</f>
        <v>0</v>
      </c>
      <c r="BR30" s="223" t="e">
        <f t="shared" si="1"/>
        <v>#DIV/0!</v>
      </c>
      <c r="BS30" s="2983" t="e">
        <f t="shared" si="2"/>
        <v>#DIV/0!</v>
      </c>
      <c r="BT30" s="2984"/>
      <c r="BU30" s="2985"/>
      <c r="BV30" s="251" t="e">
        <f t="shared" si="3"/>
        <v>#DIV/0!</v>
      </c>
      <c r="BW30" s="225" t="e">
        <f t="shared" si="4"/>
        <v>#DIV/0!</v>
      </c>
      <c r="BX30" s="224">
        <f t="shared" si="5"/>
        <v>0</v>
      </c>
      <c r="BZ30" s="162">
        <f t="shared" si="6"/>
        <v>0</v>
      </c>
      <c r="CA30" s="162">
        <f t="shared" si="8"/>
        <v>0</v>
      </c>
      <c r="CC30" s="259" t="e">
        <f t="shared" si="7"/>
        <v>#DIV/0!</v>
      </c>
      <c r="CI30" s="207" t="s">
        <v>297</v>
      </c>
      <c r="CJ30" s="249" t="s">
        <v>289</v>
      </c>
      <c r="CK30" s="345"/>
      <c r="CL30" s="345"/>
      <c r="CM30" s="174"/>
      <c r="CN30" s="174"/>
      <c r="CO30" s="282"/>
      <c r="CP30" s="292"/>
      <c r="CQ30" s="164"/>
      <c r="CR30" s="164"/>
      <c r="CS30" s="308"/>
      <c r="CT30" s="282"/>
      <c r="CU30" s="292"/>
      <c r="CV30" s="164"/>
      <c r="CW30" s="164"/>
      <c r="CX30" s="308"/>
      <c r="CY30" s="282"/>
      <c r="CZ30" s="292"/>
      <c r="DA30" s="164"/>
      <c r="DB30" s="164"/>
      <c r="DC30" s="308"/>
      <c r="DD30" s="282"/>
      <c r="DE30" s="292"/>
      <c r="DF30" s="164"/>
      <c r="DG30" s="164"/>
      <c r="DH30" s="306"/>
      <c r="DI30" s="282"/>
      <c r="DJ30" s="292"/>
      <c r="DK30" s="164"/>
      <c r="DL30" s="164"/>
      <c r="DM30" s="306"/>
    </row>
    <row r="31" spans="2:117" ht="12.9" customHeight="1" thickBot="1">
      <c r="B31" s="3061"/>
      <c r="C31" s="3056"/>
      <c r="D31" s="3056"/>
      <c r="E31" s="3056"/>
      <c r="F31" s="3056"/>
      <c r="G31" s="3056"/>
      <c r="H31" s="3056"/>
      <c r="I31" s="3056"/>
      <c r="J31" s="3056"/>
      <c r="K31" s="3056"/>
      <c r="L31" s="3056"/>
      <c r="M31" s="3056"/>
      <c r="N31" s="3056"/>
      <c r="O31" s="3056"/>
      <c r="P31" s="3056"/>
      <c r="Q31" s="3056"/>
      <c r="R31" s="3056"/>
      <c r="S31" s="3056"/>
      <c r="T31" s="3056"/>
      <c r="U31" s="3056"/>
      <c r="V31" s="3056"/>
      <c r="W31" s="3056"/>
      <c r="X31" s="3056"/>
      <c r="Y31" s="3056"/>
      <c r="Z31" s="3056"/>
      <c r="AA31" s="3056"/>
      <c r="AB31" s="3056"/>
      <c r="AC31" s="3056"/>
      <c r="AD31" s="3056"/>
      <c r="AE31" s="3056"/>
      <c r="AF31" s="3056"/>
      <c r="AG31" s="3056"/>
      <c r="AH31" s="3056"/>
      <c r="AI31" s="3056"/>
      <c r="AJ31" s="3056"/>
      <c r="AK31" s="3056"/>
      <c r="AL31" s="3056"/>
      <c r="AM31" s="3056"/>
      <c r="AN31" s="3056"/>
      <c r="AO31" s="3056"/>
      <c r="AP31" s="3056"/>
      <c r="AQ31" s="3056"/>
      <c r="AR31" s="3056"/>
      <c r="AS31" s="3056"/>
      <c r="AT31" s="3056"/>
      <c r="AU31" s="3056"/>
      <c r="AV31" s="3056"/>
      <c r="AW31" s="3056"/>
      <c r="AX31" s="3056"/>
      <c r="AY31" s="3056"/>
      <c r="AZ31" s="3056"/>
      <c r="BA31" s="3056"/>
      <c r="BB31" s="3056"/>
      <c r="BC31" s="3056"/>
      <c r="BD31" s="3056"/>
      <c r="BE31" s="3056"/>
      <c r="BF31" s="3056"/>
      <c r="BG31" s="3056"/>
      <c r="BH31" s="3056"/>
      <c r="BI31" s="3057"/>
      <c r="BL31" s="272" t="e">
        <f>IF(BR31=0,"",SUM(BR31:BR$55))</f>
        <v>#DIV/0!</v>
      </c>
      <c r="BM31" s="269" t="e">
        <f t="shared" si="0"/>
        <v>#DIV/0!</v>
      </c>
      <c r="BO31" s="160">
        <v>25</v>
      </c>
      <c r="BP31" s="233">
        <f>IF('Concr. Pg 1'!DE151="",BP32,'Concr. Pg 1'!DE151)</f>
        <v>0</v>
      </c>
      <c r="BQ31" s="234">
        <f>IF('Concr. Pg 1'!DI151="",BQ32,'Concr. Pg 1'!DI151)</f>
        <v>0</v>
      </c>
      <c r="BR31" s="223" t="e">
        <f t="shared" si="1"/>
        <v>#DIV/0!</v>
      </c>
      <c r="BS31" s="2983" t="e">
        <f t="shared" si="2"/>
        <v>#DIV/0!</v>
      </c>
      <c r="BT31" s="2984"/>
      <c r="BU31" s="2985"/>
      <c r="BV31" s="251" t="e">
        <f t="shared" si="3"/>
        <v>#DIV/0!</v>
      </c>
      <c r="BW31" s="225" t="e">
        <f t="shared" si="4"/>
        <v>#DIV/0!</v>
      </c>
      <c r="BX31" s="224">
        <f t="shared" si="5"/>
        <v>0</v>
      </c>
      <c r="BZ31" s="162">
        <f t="shared" si="6"/>
        <v>0</v>
      </c>
      <c r="CA31" s="162">
        <f t="shared" si="8"/>
        <v>0</v>
      </c>
      <c r="CC31" s="259" t="e">
        <f t="shared" si="7"/>
        <v>#DIV/0!</v>
      </c>
      <c r="CG31" s="351"/>
      <c r="CH31" s="191" t="s">
        <v>232</v>
      </c>
      <c r="CI31" s="309">
        <f>BU80</f>
        <v>0</v>
      </c>
      <c r="CJ31" s="310">
        <f>CI31-CI$39</f>
        <v>0</v>
      </c>
      <c r="CK31" s="346"/>
      <c r="CL31" s="346"/>
      <c r="CM31" s="174"/>
      <c r="CN31" s="174"/>
      <c r="CO31" s="282"/>
      <c r="CP31" s="292"/>
      <c r="CQ31" s="2989" t="s">
        <v>175</v>
      </c>
      <c r="CR31" s="2990"/>
      <c r="CS31" s="308"/>
      <c r="CT31" s="282"/>
      <c r="CU31" s="292"/>
      <c r="CV31" s="2989" t="s">
        <v>175</v>
      </c>
      <c r="CW31" s="2990"/>
      <c r="CX31" s="308"/>
      <c r="CY31" s="282"/>
      <c r="CZ31" s="292"/>
      <c r="DA31" s="2989" t="s">
        <v>175</v>
      </c>
      <c r="DB31" s="2989"/>
      <c r="DC31" s="308"/>
      <c r="DD31" s="282"/>
      <c r="DE31" s="292"/>
      <c r="DF31" s="2989" t="s">
        <v>175</v>
      </c>
      <c r="DG31" s="2990"/>
      <c r="DH31" s="306"/>
      <c r="DI31" s="282"/>
      <c r="DJ31" s="292"/>
      <c r="DK31" s="2989" t="s">
        <v>345</v>
      </c>
      <c r="DL31" s="2990"/>
      <c r="DM31" s="306"/>
    </row>
    <row r="32" spans="2:117" ht="12.9" customHeight="1">
      <c r="B32" s="3061"/>
      <c r="C32" s="3056"/>
      <c r="D32" s="3056"/>
      <c r="E32" s="3056"/>
      <c r="F32" s="3056"/>
      <c r="G32" s="3056"/>
      <c r="H32" s="3056"/>
      <c r="I32" s="3056"/>
      <c r="J32" s="3056"/>
      <c r="K32" s="3056"/>
      <c r="L32" s="3056"/>
      <c r="M32" s="3056"/>
      <c r="N32" s="3056"/>
      <c r="O32" s="3056"/>
      <c r="P32" s="3056"/>
      <c r="Q32" s="3056"/>
      <c r="R32" s="3056"/>
      <c r="S32" s="3056"/>
      <c r="T32" s="3056"/>
      <c r="U32" s="3056"/>
      <c r="V32" s="3056"/>
      <c r="W32" s="3056"/>
      <c r="X32" s="3056"/>
      <c r="Y32" s="3056"/>
      <c r="Z32" s="3056"/>
      <c r="AA32" s="3056"/>
      <c r="AB32" s="3056"/>
      <c r="AC32" s="3056"/>
      <c r="AD32" s="3056"/>
      <c r="AE32" s="3056"/>
      <c r="AF32" s="3056"/>
      <c r="AG32" s="3056"/>
      <c r="AH32" s="3056"/>
      <c r="AI32" s="3056"/>
      <c r="AJ32" s="3056"/>
      <c r="AK32" s="3056"/>
      <c r="AL32" s="3056"/>
      <c r="AM32" s="3056"/>
      <c r="AN32" s="3056"/>
      <c r="AO32" s="3056"/>
      <c r="AP32" s="3056"/>
      <c r="AQ32" s="3056"/>
      <c r="AR32" s="3056"/>
      <c r="AS32" s="3056"/>
      <c r="AT32" s="3056"/>
      <c r="AU32" s="3056"/>
      <c r="AV32" s="3056"/>
      <c r="AW32" s="3056"/>
      <c r="AX32" s="3056"/>
      <c r="AY32" s="3056"/>
      <c r="AZ32" s="3056"/>
      <c r="BA32" s="3056"/>
      <c r="BB32" s="3056"/>
      <c r="BC32" s="3056"/>
      <c r="BD32" s="3056"/>
      <c r="BE32" s="3056"/>
      <c r="BF32" s="3056"/>
      <c r="BG32" s="3056"/>
      <c r="BH32" s="3056"/>
      <c r="BI32" s="3057"/>
      <c r="BL32" s="272" t="e">
        <f>IF(BR32=0,"",SUM(BR32:BR$55))</f>
        <v>#DIV/0!</v>
      </c>
      <c r="BM32" s="269" t="e">
        <f t="shared" si="0"/>
        <v>#DIV/0!</v>
      </c>
      <c r="BO32" s="160">
        <v>24</v>
      </c>
      <c r="BP32" s="233">
        <f>IF('Concr. Pg 1'!DE147="",BP33,'Concr. Pg 1'!DE147)</f>
        <v>0</v>
      </c>
      <c r="BQ32" s="234">
        <f>IF('Concr. Pg 1'!DI147="",BQ33,'Concr. Pg 1'!DI147)</f>
        <v>0</v>
      </c>
      <c r="BR32" s="223" t="e">
        <f t="shared" si="1"/>
        <v>#DIV/0!</v>
      </c>
      <c r="BS32" s="2983" t="e">
        <f t="shared" si="2"/>
        <v>#DIV/0!</v>
      </c>
      <c r="BT32" s="2984"/>
      <c r="BU32" s="2985"/>
      <c r="BV32" s="251" t="e">
        <f t="shared" si="3"/>
        <v>#DIV/0!</v>
      </c>
      <c r="BW32" s="225" t="e">
        <f t="shared" si="4"/>
        <v>#DIV/0!</v>
      </c>
      <c r="BX32" s="224">
        <f t="shared" si="5"/>
        <v>0</v>
      </c>
      <c r="BZ32" s="162">
        <f t="shared" si="6"/>
        <v>0</v>
      </c>
      <c r="CA32" s="162">
        <f t="shared" si="8"/>
        <v>0</v>
      </c>
      <c r="CC32" s="259" t="e">
        <f t="shared" si="7"/>
        <v>#DIV/0!</v>
      </c>
      <c r="CG32" s="351"/>
      <c r="CH32" s="191" t="s">
        <v>291</v>
      </c>
      <c r="CI32" s="311">
        <f>BV87</f>
        <v>0</v>
      </c>
      <c r="CJ32" s="312">
        <f>CI32-CI$39</f>
        <v>0</v>
      </c>
      <c r="CK32" s="173"/>
      <c r="CL32" s="173"/>
      <c r="CM32" s="176"/>
      <c r="CN32" s="174"/>
      <c r="CO32" s="282"/>
      <c r="CP32" s="292"/>
      <c r="CQ32" s="162" t="e">
        <f>PI()*CR75*CR75*(CR69-CR74)/(4*27)+CQ33-(CH26*(CS32-CS33))</f>
        <v>#DIV/0!</v>
      </c>
      <c r="CR32" s="162">
        <f>IF(AB$7="Elev.",CI36,CJ36)</f>
        <v>0</v>
      </c>
      <c r="CS32" s="307">
        <f>CJ36</f>
        <v>0</v>
      </c>
      <c r="CT32" s="282"/>
      <c r="CU32" s="292"/>
      <c r="CV32" s="162" t="e">
        <f>PI()*CR75*CR75*(CR69-CR74)/(4*27)+CV33-(CH26*(CX32-CX33))</f>
        <v>#DIV/0!</v>
      </c>
      <c r="CW32" s="162">
        <f>IF(AB$7="Elev.",CI36,CJ36)</f>
        <v>0</v>
      </c>
      <c r="CX32" s="307">
        <f>CJ36</f>
        <v>0</v>
      </c>
      <c r="CY32" s="282"/>
      <c r="CZ32" s="292"/>
      <c r="DA32" s="294" t="e">
        <f>PI()*CR75*CR75*(CR73-CR74)/(4*27)+DA33-(CH26*(DC32-DC33))</f>
        <v>#DIV/0!</v>
      </c>
      <c r="DB32" s="162">
        <f>IF(AB$7="Elev.",CI32,CJ32)</f>
        <v>0</v>
      </c>
      <c r="DC32" s="307">
        <f>CJ32</f>
        <v>0</v>
      </c>
      <c r="DD32" s="282"/>
      <c r="DE32" s="292"/>
      <c r="DF32" s="162" t="e">
        <f>PI()*CR75*CR75*(CR63-CR74)/(4*27)+DF33-(CH26*(DH32-DH33))</f>
        <v>#DIV/0!</v>
      </c>
      <c r="DG32" s="162">
        <f>IF(AB$7="Elev.",CI31,CJ31)</f>
        <v>0</v>
      </c>
      <c r="DH32" s="307">
        <f>CJ32</f>
        <v>0</v>
      </c>
      <c r="DI32" s="282"/>
      <c r="DJ32" s="292"/>
      <c r="DK32" s="162" t="e">
        <f>CQ15</f>
        <v>#DIV/0!</v>
      </c>
      <c r="DL32" s="162" t="e">
        <f>CQ15</f>
        <v>#DIV/0!</v>
      </c>
      <c r="DM32" s="301"/>
    </row>
    <row r="33" spans="2:117" ht="12.9" customHeight="1">
      <c r="B33" s="3061"/>
      <c r="C33" s="3056"/>
      <c r="D33" s="3056"/>
      <c r="E33" s="3056"/>
      <c r="F33" s="3056"/>
      <c r="G33" s="3056"/>
      <c r="H33" s="3056"/>
      <c r="I33" s="3056"/>
      <c r="J33" s="3056"/>
      <c r="K33" s="3056"/>
      <c r="L33" s="3056"/>
      <c r="M33" s="3056"/>
      <c r="N33" s="3056"/>
      <c r="O33" s="3056"/>
      <c r="P33" s="3056"/>
      <c r="Q33" s="3056"/>
      <c r="R33" s="3056"/>
      <c r="S33" s="3056"/>
      <c r="T33" s="3056"/>
      <c r="U33" s="3056"/>
      <c r="V33" s="3056"/>
      <c r="W33" s="3056"/>
      <c r="X33" s="3056"/>
      <c r="Y33" s="3056"/>
      <c r="Z33" s="3056"/>
      <c r="AA33" s="3056"/>
      <c r="AB33" s="3056"/>
      <c r="AC33" s="3056"/>
      <c r="AD33" s="3056"/>
      <c r="AE33" s="3056"/>
      <c r="AF33" s="3056"/>
      <c r="AG33" s="3056"/>
      <c r="AH33" s="3056"/>
      <c r="AI33" s="3056"/>
      <c r="AJ33" s="3056"/>
      <c r="AK33" s="3056"/>
      <c r="AL33" s="3056"/>
      <c r="AM33" s="3056"/>
      <c r="AN33" s="3056"/>
      <c r="AO33" s="3056"/>
      <c r="AP33" s="3056"/>
      <c r="AQ33" s="3056"/>
      <c r="AR33" s="3056"/>
      <c r="AS33" s="3056"/>
      <c r="AT33" s="3056"/>
      <c r="AU33" s="3056"/>
      <c r="AV33" s="3056"/>
      <c r="AW33" s="3056"/>
      <c r="AX33" s="3056"/>
      <c r="AY33" s="3056"/>
      <c r="AZ33" s="3056"/>
      <c r="BA33" s="3056"/>
      <c r="BB33" s="3056"/>
      <c r="BC33" s="3056"/>
      <c r="BD33" s="3056"/>
      <c r="BE33" s="3056"/>
      <c r="BF33" s="3056"/>
      <c r="BG33" s="3056"/>
      <c r="BH33" s="3056"/>
      <c r="BI33" s="3057"/>
      <c r="BL33" s="272" t="e">
        <f>IF(BR33=0,"",SUM(BR33:BR$55))</f>
        <v>#DIV/0!</v>
      </c>
      <c r="BM33" s="269" t="e">
        <f t="shared" si="0"/>
        <v>#DIV/0!</v>
      </c>
      <c r="BO33" s="160">
        <v>23</v>
      </c>
      <c r="BP33" s="233">
        <f>IF('Concr. Pg 1'!DE143="",BP34,'Concr. Pg 1'!DE143)</f>
        <v>0</v>
      </c>
      <c r="BQ33" s="234">
        <f>IF('Concr. Pg 1'!DI143="",BQ34,'Concr. Pg 1'!DI143)</f>
        <v>0</v>
      </c>
      <c r="BR33" s="223" t="e">
        <f t="shared" si="1"/>
        <v>#DIV/0!</v>
      </c>
      <c r="BS33" s="2983" t="e">
        <f t="shared" si="2"/>
        <v>#DIV/0!</v>
      </c>
      <c r="BT33" s="2984"/>
      <c r="BU33" s="2985"/>
      <c r="BV33" s="251" t="e">
        <f t="shared" si="3"/>
        <v>#DIV/0!</v>
      </c>
      <c r="BW33" s="225" t="e">
        <f t="shared" si="4"/>
        <v>#DIV/0!</v>
      </c>
      <c r="BX33" s="224">
        <f t="shared" si="5"/>
        <v>0</v>
      </c>
      <c r="BZ33" s="162">
        <f t="shared" si="6"/>
        <v>0</v>
      </c>
      <c r="CA33" s="162">
        <f t="shared" si="8"/>
        <v>0</v>
      </c>
      <c r="CC33" s="259" t="e">
        <f t="shared" si="7"/>
        <v>#DIV/0!</v>
      </c>
      <c r="CG33" s="351"/>
      <c r="CH33" s="191" t="s">
        <v>292</v>
      </c>
      <c r="CI33" s="313">
        <f>BV88</f>
        <v>0</v>
      </c>
      <c r="CJ33" s="314">
        <f>CI33-CI$39</f>
        <v>0</v>
      </c>
      <c r="CK33" s="339"/>
      <c r="CL33" s="339"/>
      <c r="CM33" s="262"/>
      <c r="CN33" s="174"/>
      <c r="CO33" s="282"/>
      <c r="CP33" s="292"/>
      <c r="CQ33" s="162" t="e">
        <f>CQ36</f>
        <v>#DIV/0!</v>
      </c>
      <c r="CR33" s="162">
        <f>CR36</f>
        <v>0</v>
      </c>
      <c r="CS33" s="307">
        <f>CJ33</f>
        <v>0</v>
      </c>
      <c r="CT33" s="282"/>
      <c r="CU33" s="292"/>
      <c r="CV33" s="162" t="e">
        <f>CV36</f>
        <v>#DIV/0!</v>
      </c>
      <c r="CW33" s="162">
        <f>CW36</f>
        <v>0</v>
      </c>
      <c r="CX33" s="307">
        <f>CJ33</f>
        <v>0</v>
      </c>
      <c r="CY33" s="282"/>
      <c r="CZ33" s="292"/>
      <c r="DA33" s="162" t="e">
        <f>DA36</f>
        <v>#DIV/0!</v>
      </c>
      <c r="DB33" s="162">
        <f>DB36</f>
        <v>0</v>
      </c>
      <c r="DC33" s="307">
        <f>CJ33</f>
        <v>0</v>
      </c>
      <c r="DD33" s="282"/>
      <c r="DE33" s="292"/>
      <c r="DF33" s="162" t="e">
        <f>DF36</f>
        <v>#DIV/0!</v>
      </c>
      <c r="DG33" s="162">
        <f>DG36</f>
        <v>0</v>
      </c>
      <c r="DH33" s="307">
        <f>CJ33</f>
        <v>0</v>
      </c>
      <c r="DI33" s="282"/>
      <c r="DJ33" s="292"/>
      <c r="DK33" s="162" t="e">
        <f>CQ15</f>
        <v>#DIV/0!</v>
      </c>
      <c r="DL33" s="162" t="e">
        <f>CQ15</f>
        <v>#DIV/0!</v>
      </c>
      <c r="DM33" s="301"/>
    </row>
    <row r="34" spans="2:117" ht="12.9" customHeight="1" thickBot="1">
      <c r="B34" s="3061"/>
      <c r="C34" s="3056"/>
      <c r="D34" s="3056"/>
      <c r="E34" s="3056"/>
      <c r="F34" s="3056"/>
      <c r="G34" s="3056"/>
      <c r="H34" s="3056"/>
      <c r="I34" s="3056"/>
      <c r="J34" s="3056"/>
      <c r="K34" s="3056"/>
      <c r="L34" s="3056"/>
      <c r="M34" s="3056"/>
      <c r="N34" s="3056"/>
      <c r="O34" s="3056"/>
      <c r="P34" s="3056"/>
      <c r="Q34" s="3056"/>
      <c r="R34" s="3056"/>
      <c r="S34" s="3056"/>
      <c r="T34" s="3056"/>
      <c r="U34" s="3056"/>
      <c r="V34" s="3056"/>
      <c r="W34" s="3056"/>
      <c r="X34" s="3056"/>
      <c r="Y34" s="3056"/>
      <c r="Z34" s="3056"/>
      <c r="AA34" s="3056"/>
      <c r="AB34" s="3056"/>
      <c r="AC34" s="3056"/>
      <c r="AD34" s="3056"/>
      <c r="AE34" s="3056"/>
      <c r="AF34" s="3056"/>
      <c r="AG34" s="3056"/>
      <c r="AH34" s="3056"/>
      <c r="AI34" s="3056"/>
      <c r="AJ34" s="3056"/>
      <c r="AK34" s="3056"/>
      <c r="AL34" s="3056"/>
      <c r="AM34" s="3056"/>
      <c r="AN34" s="3056"/>
      <c r="AO34" s="3056"/>
      <c r="AP34" s="3056"/>
      <c r="AQ34" s="3056"/>
      <c r="AR34" s="3056"/>
      <c r="AS34" s="3056"/>
      <c r="AT34" s="3056"/>
      <c r="AU34" s="3056"/>
      <c r="AV34" s="3056"/>
      <c r="AW34" s="3056"/>
      <c r="AX34" s="3056"/>
      <c r="AY34" s="3056"/>
      <c r="AZ34" s="3056"/>
      <c r="BA34" s="3056"/>
      <c r="BB34" s="3056"/>
      <c r="BC34" s="3056"/>
      <c r="BD34" s="3056"/>
      <c r="BE34" s="3056"/>
      <c r="BF34" s="3056"/>
      <c r="BG34" s="3056"/>
      <c r="BH34" s="3056"/>
      <c r="BI34" s="3057"/>
      <c r="BL34" s="272" t="e">
        <f>IF(BR34=0,"",SUM(BR34:BR$55))</f>
        <v>#DIV/0!</v>
      </c>
      <c r="BM34" s="269" t="e">
        <f t="shared" si="0"/>
        <v>#DIV/0!</v>
      </c>
      <c r="BO34" s="160">
        <v>22</v>
      </c>
      <c r="BP34" s="233">
        <f>IF('Concr. Pg 1'!DE139="",BP35,'Concr. Pg 1'!DE139)</f>
        <v>0</v>
      </c>
      <c r="BQ34" s="234">
        <f>IF('Concr. Pg 1'!DI139="",BQ35,'Concr. Pg 1'!DI139)</f>
        <v>0</v>
      </c>
      <c r="BR34" s="223" t="e">
        <f t="shared" si="1"/>
        <v>#DIV/0!</v>
      </c>
      <c r="BS34" s="2983" t="e">
        <f t="shared" si="2"/>
        <v>#DIV/0!</v>
      </c>
      <c r="BT34" s="2984"/>
      <c r="BU34" s="2985"/>
      <c r="BV34" s="251" t="e">
        <f t="shared" si="3"/>
        <v>#DIV/0!</v>
      </c>
      <c r="BW34" s="225" t="e">
        <f t="shared" si="4"/>
        <v>#DIV/0!</v>
      </c>
      <c r="BX34" s="224">
        <f t="shared" si="5"/>
        <v>0</v>
      </c>
      <c r="BZ34" s="162">
        <f t="shared" si="6"/>
        <v>0</v>
      </c>
      <c r="CA34" s="162">
        <f t="shared" si="8"/>
        <v>0</v>
      </c>
      <c r="CC34" s="259" t="e">
        <f t="shared" si="7"/>
        <v>#DIV/0!</v>
      </c>
      <c r="CG34" s="351"/>
      <c r="CH34" s="191" t="s">
        <v>295</v>
      </c>
      <c r="CI34" s="325">
        <f>BW124</f>
        <v>0</v>
      </c>
      <c r="CJ34" s="326">
        <f>CI34</f>
        <v>0</v>
      </c>
      <c r="CK34" s="339"/>
      <c r="CL34" s="339"/>
      <c r="CM34" s="176"/>
      <c r="CN34" s="174"/>
      <c r="CO34" s="282"/>
      <c r="CP34" s="292"/>
      <c r="CQ34" s="164"/>
      <c r="CR34" s="164"/>
      <c r="CS34" s="308"/>
      <c r="CT34" s="282"/>
      <c r="CU34" s="292"/>
      <c r="CV34" s="164"/>
      <c r="CW34" s="164"/>
      <c r="CX34" s="308"/>
      <c r="CY34" s="282"/>
      <c r="CZ34" s="292"/>
      <c r="DA34" s="164"/>
      <c r="DB34" s="164"/>
      <c r="DC34" s="308"/>
      <c r="DD34" s="282"/>
      <c r="DE34" s="292"/>
      <c r="DF34" s="164"/>
      <c r="DG34" s="164"/>
      <c r="DH34" s="308"/>
      <c r="DI34" s="282"/>
      <c r="DJ34" s="292"/>
      <c r="DK34" s="164"/>
      <c r="DL34" s="164"/>
      <c r="DM34" s="306"/>
    </row>
    <row r="35" spans="2:117" ht="12.9" customHeight="1">
      <c r="B35" s="3061"/>
      <c r="C35" s="3056"/>
      <c r="D35" s="3056"/>
      <c r="E35" s="3056"/>
      <c r="F35" s="3056"/>
      <c r="G35" s="3056"/>
      <c r="H35" s="3056"/>
      <c r="I35" s="3056"/>
      <c r="J35" s="3056"/>
      <c r="K35" s="3056"/>
      <c r="L35" s="3056"/>
      <c r="M35" s="3056"/>
      <c r="N35" s="3056"/>
      <c r="O35" s="3056"/>
      <c r="P35" s="3056"/>
      <c r="Q35" s="3056"/>
      <c r="R35" s="3056"/>
      <c r="S35" s="3056"/>
      <c r="T35" s="3056"/>
      <c r="U35" s="3056"/>
      <c r="V35" s="3056"/>
      <c r="W35" s="3056"/>
      <c r="X35" s="3056"/>
      <c r="Y35" s="3056"/>
      <c r="Z35" s="3056"/>
      <c r="AA35" s="3056"/>
      <c r="AB35" s="3056"/>
      <c r="AC35" s="3056"/>
      <c r="AD35" s="3056"/>
      <c r="AE35" s="3056"/>
      <c r="AF35" s="3056"/>
      <c r="AG35" s="3056"/>
      <c r="AH35" s="3056"/>
      <c r="AI35" s="3056"/>
      <c r="AJ35" s="3056"/>
      <c r="AK35" s="3056"/>
      <c r="AL35" s="3056"/>
      <c r="AM35" s="3056"/>
      <c r="AN35" s="3056"/>
      <c r="AO35" s="3056"/>
      <c r="AP35" s="3056"/>
      <c r="AQ35" s="3056"/>
      <c r="AR35" s="3056"/>
      <c r="AS35" s="3056"/>
      <c r="AT35" s="3056"/>
      <c r="AU35" s="3056"/>
      <c r="AV35" s="3056"/>
      <c r="AW35" s="3056"/>
      <c r="AX35" s="3056"/>
      <c r="AY35" s="3056"/>
      <c r="AZ35" s="3056"/>
      <c r="BA35" s="3056"/>
      <c r="BB35" s="3056"/>
      <c r="BC35" s="3056"/>
      <c r="BD35" s="3056"/>
      <c r="BE35" s="3056"/>
      <c r="BF35" s="3056"/>
      <c r="BG35" s="3056"/>
      <c r="BH35" s="3056"/>
      <c r="BI35" s="3057"/>
      <c r="BL35" s="272" t="e">
        <f>IF(BR35=0,"",SUM(BR35:BR$55))</f>
        <v>#DIV/0!</v>
      </c>
      <c r="BM35" s="269" t="e">
        <f t="shared" si="0"/>
        <v>#DIV/0!</v>
      </c>
      <c r="BO35" s="160">
        <v>21</v>
      </c>
      <c r="BP35" s="233">
        <f>IF('Concr. Pg 1'!DE135="",BP36,'Concr. Pg 1'!DE135)</f>
        <v>0</v>
      </c>
      <c r="BQ35" s="234">
        <f>IF('Concr. Pg 1'!DI135="",BQ36,'Concr. Pg 1'!DI135)</f>
        <v>0</v>
      </c>
      <c r="BR35" s="223" t="e">
        <f t="shared" si="1"/>
        <v>#DIV/0!</v>
      </c>
      <c r="BS35" s="2983" t="e">
        <f t="shared" si="2"/>
        <v>#DIV/0!</v>
      </c>
      <c r="BT35" s="2984"/>
      <c r="BU35" s="2985"/>
      <c r="BV35" s="251" t="e">
        <f t="shared" si="3"/>
        <v>#DIV/0!</v>
      </c>
      <c r="BW35" s="225" t="e">
        <f t="shared" si="4"/>
        <v>#DIV/0!</v>
      </c>
      <c r="BX35" s="224">
        <f t="shared" si="5"/>
        <v>0</v>
      </c>
      <c r="BZ35" s="162">
        <f t="shared" si="6"/>
        <v>0</v>
      </c>
      <c r="CA35" s="162">
        <f t="shared" si="8"/>
        <v>0</v>
      </c>
      <c r="CC35" s="259" t="e">
        <f t="shared" si="7"/>
        <v>#DIV/0!</v>
      </c>
      <c r="CG35" s="351"/>
      <c r="CH35" s="191" t="s">
        <v>294</v>
      </c>
      <c r="CI35" s="311">
        <f>BY87</f>
        <v>0</v>
      </c>
      <c r="CJ35" s="312">
        <f>CI35-CI$39</f>
        <v>0</v>
      </c>
      <c r="CK35" s="339"/>
      <c r="CL35" s="339"/>
      <c r="CM35" s="262"/>
      <c r="CN35" s="174"/>
      <c r="CO35" s="282"/>
      <c r="CP35" s="292"/>
      <c r="CQ35" s="2989" t="s">
        <v>183</v>
      </c>
      <c r="CR35" s="2990"/>
      <c r="CS35" s="308"/>
      <c r="CT35" s="282"/>
      <c r="CU35" s="292"/>
      <c r="CV35" s="2989" t="s">
        <v>183</v>
      </c>
      <c r="CW35" s="2990"/>
      <c r="CX35" s="308"/>
      <c r="CY35" s="282"/>
      <c r="CZ35" s="292"/>
      <c r="DA35" s="2989" t="s">
        <v>183</v>
      </c>
      <c r="DB35" s="2989"/>
      <c r="DC35" s="308"/>
      <c r="DD35" s="282"/>
      <c r="DE35" s="292"/>
      <c r="DF35" s="2989" t="s">
        <v>183</v>
      </c>
      <c r="DG35" s="2990"/>
      <c r="DH35" s="308"/>
      <c r="DI35" s="282"/>
      <c r="DJ35" s="292"/>
      <c r="DK35" s="2989" t="s">
        <v>183</v>
      </c>
      <c r="DL35" s="2990"/>
      <c r="DM35" s="306"/>
    </row>
    <row r="36" spans="2:117" ht="12.9" customHeight="1">
      <c r="B36" s="3061"/>
      <c r="C36" s="3056"/>
      <c r="D36" s="3056"/>
      <c r="E36" s="3056"/>
      <c r="F36" s="3056"/>
      <c r="G36" s="3056"/>
      <c r="H36" s="3056"/>
      <c r="I36" s="3056"/>
      <c r="J36" s="3056"/>
      <c r="K36" s="3056"/>
      <c r="L36" s="3056"/>
      <c r="M36" s="3056"/>
      <c r="N36" s="3056"/>
      <c r="O36" s="3056"/>
      <c r="P36" s="3056"/>
      <c r="Q36" s="3056"/>
      <c r="R36" s="3056"/>
      <c r="S36" s="3056"/>
      <c r="T36" s="3056"/>
      <c r="U36" s="3056"/>
      <c r="V36" s="3056"/>
      <c r="W36" s="3056"/>
      <c r="X36" s="3056"/>
      <c r="Y36" s="3056"/>
      <c r="Z36" s="3056"/>
      <c r="AA36" s="3056"/>
      <c r="AB36" s="3056"/>
      <c r="AC36" s="3056"/>
      <c r="AD36" s="3056"/>
      <c r="AE36" s="3056"/>
      <c r="AF36" s="3056"/>
      <c r="AG36" s="3056"/>
      <c r="AH36" s="3056"/>
      <c r="AI36" s="3056"/>
      <c r="AJ36" s="3056"/>
      <c r="AK36" s="3056"/>
      <c r="AL36" s="3056"/>
      <c r="AM36" s="3056"/>
      <c r="AN36" s="3056"/>
      <c r="AO36" s="3056"/>
      <c r="AP36" s="3056"/>
      <c r="AQ36" s="3056"/>
      <c r="AR36" s="3056"/>
      <c r="AS36" s="3056"/>
      <c r="AT36" s="3056"/>
      <c r="AU36" s="3056"/>
      <c r="AV36" s="3056"/>
      <c r="AW36" s="3056"/>
      <c r="AX36" s="3056"/>
      <c r="AY36" s="3056"/>
      <c r="AZ36" s="3056"/>
      <c r="BA36" s="3056"/>
      <c r="BB36" s="3056"/>
      <c r="BC36" s="3056"/>
      <c r="BD36" s="3056"/>
      <c r="BE36" s="3056"/>
      <c r="BF36" s="3056"/>
      <c r="BG36" s="3056"/>
      <c r="BH36" s="3056"/>
      <c r="BI36" s="3057"/>
      <c r="BL36" s="272" t="e">
        <f>IF(BR36=0,"",SUM(BR36:BR$55))</f>
        <v>#DIV/0!</v>
      </c>
      <c r="BM36" s="269" t="e">
        <f t="shared" si="0"/>
        <v>#DIV/0!</v>
      </c>
      <c r="BO36" s="160">
        <v>20</v>
      </c>
      <c r="BP36" s="233">
        <f>IF('Concr. Pg 1'!DE131="",BP37,'Concr. Pg 1'!DE131)</f>
        <v>0</v>
      </c>
      <c r="BQ36" s="234">
        <f>IF('Concr. Pg 1'!DI131="",BQ37,'Concr. Pg 1'!DI131)</f>
        <v>0</v>
      </c>
      <c r="BR36" s="223" t="e">
        <f t="shared" si="1"/>
        <v>#DIV/0!</v>
      </c>
      <c r="BS36" s="2983" t="e">
        <f t="shared" si="2"/>
        <v>#DIV/0!</v>
      </c>
      <c r="BT36" s="2984"/>
      <c r="BU36" s="2985"/>
      <c r="BV36" s="251" t="e">
        <f t="shared" si="3"/>
        <v>#DIV/0!</v>
      </c>
      <c r="BW36" s="225" t="e">
        <f t="shared" si="4"/>
        <v>#DIV/0!</v>
      </c>
      <c r="BX36" s="224">
        <f t="shared" si="5"/>
        <v>0</v>
      </c>
      <c r="BZ36" s="162">
        <f t="shared" si="6"/>
        <v>0</v>
      </c>
      <c r="CA36" s="162">
        <f t="shared" si="8"/>
        <v>0</v>
      </c>
      <c r="CC36" s="259" t="e">
        <f t="shared" si="7"/>
        <v>#DIV/0!</v>
      </c>
      <c r="CG36" s="351"/>
      <c r="CH36" s="191" t="s">
        <v>293</v>
      </c>
      <c r="CI36" s="313">
        <f>BY88</f>
        <v>0</v>
      </c>
      <c r="CJ36" s="314">
        <f>CI36-CI$39</f>
        <v>0</v>
      </c>
      <c r="CK36" s="339"/>
      <c r="CL36" s="339"/>
      <c r="CM36" s="174"/>
      <c r="CN36" s="174"/>
      <c r="CO36" s="282"/>
      <c r="CP36" s="292"/>
      <c r="CQ36" s="293" t="e">
        <f>PI()*CR62*CR62*(CR74-CR64)/(4*27)-(CH26*CS36)</f>
        <v>#DIV/0!</v>
      </c>
      <c r="CR36" s="162">
        <f>IF(AB$7="Elev.",CI33,CJ33)</f>
        <v>0</v>
      </c>
      <c r="CS36" s="307">
        <f>CJ33</f>
        <v>0</v>
      </c>
      <c r="CT36" s="282"/>
      <c r="CU36" s="292"/>
      <c r="CV36" s="162" t="e">
        <f>PI()*CR62*CR62*(CR74-CR64)/(4*27)-(CH26*CX36)</f>
        <v>#DIV/0!</v>
      </c>
      <c r="CW36" s="162">
        <f>IF(AB$7="Elev.",CI33,CJ33)</f>
        <v>0</v>
      </c>
      <c r="CX36" s="307">
        <f>CJ33</f>
        <v>0</v>
      </c>
      <c r="CY36" s="282"/>
      <c r="CZ36" s="292"/>
      <c r="DA36" s="162" t="e">
        <f>PI()*CR62*CR62*(CR74-CR64)/(4*27)-(CH26*DC36)</f>
        <v>#DIV/0!</v>
      </c>
      <c r="DB36" s="162">
        <f>IF(AB$7="Elev.",CI33,CJ33)</f>
        <v>0</v>
      </c>
      <c r="DC36" s="307">
        <f>CJ33</f>
        <v>0</v>
      </c>
      <c r="DD36" s="282"/>
      <c r="DE36" s="292"/>
      <c r="DF36" s="162" t="e">
        <f>PI()*CR62*CR62*(CR74-CR64)/(4*27)-(CH26*DH36)</f>
        <v>#DIV/0!</v>
      </c>
      <c r="DG36" s="162">
        <f>IF(AB$7="Elev.",CI33,CJ33)</f>
        <v>0</v>
      </c>
      <c r="DH36" s="307">
        <f>CJ33</f>
        <v>0</v>
      </c>
      <c r="DI36" s="282"/>
      <c r="DJ36" s="292"/>
      <c r="DK36" s="162" t="e">
        <f>PI()*CR62*CR62*(CR63-CR64)/(4*27)-(CH26*DM36)</f>
        <v>#DIV/0!</v>
      </c>
      <c r="DL36" s="162">
        <f>IF(AB$7="Elev.",CI31,CJ31)</f>
        <v>0</v>
      </c>
      <c r="DM36" s="307">
        <f>CJ31</f>
        <v>0</v>
      </c>
    </row>
    <row r="37" spans="2:117" ht="12.9" customHeight="1" thickBot="1">
      <c r="B37" s="3061"/>
      <c r="C37" s="3056"/>
      <c r="D37" s="3056"/>
      <c r="E37" s="3056"/>
      <c r="F37" s="3056"/>
      <c r="G37" s="3056"/>
      <c r="H37" s="3056"/>
      <c r="I37" s="3056"/>
      <c r="J37" s="3056"/>
      <c r="K37" s="3056"/>
      <c r="L37" s="3056"/>
      <c r="M37" s="3056"/>
      <c r="N37" s="3056"/>
      <c r="O37" s="3056"/>
      <c r="P37" s="3056"/>
      <c r="Q37" s="3056"/>
      <c r="R37" s="3056"/>
      <c r="S37" s="3056"/>
      <c r="T37" s="3056"/>
      <c r="U37" s="3056"/>
      <c r="V37" s="3056"/>
      <c r="W37" s="3056"/>
      <c r="X37" s="3056"/>
      <c r="Y37" s="3056"/>
      <c r="Z37" s="3056"/>
      <c r="AA37" s="3056"/>
      <c r="AB37" s="3056"/>
      <c r="AC37" s="3056"/>
      <c r="AD37" s="3056"/>
      <c r="AE37" s="3056"/>
      <c r="AF37" s="3056"/>
      <c r="AG37" s="3056"/>
      <c r="AH37" s="3056"/>
      <c r="AI37" s="3056"/>
      <c r="AJ37" s="3056"/>
      <c r="AK37" s="3056"/>
      <c r="AL37" s="3056"/>
      <c r="AM37" s="3056"/>
      <c r="AN37" s="3056"/>
      <c r="AO37" s="3056"/>
      <c r="AP37" s="3056"/>
      <c r="AQ37" s="3056"/>
      <c r="AR37" s="3056"/>
      <c r="AS37" s="3056"/>
      <c r="AT37" s="3056"/>
      <c r="AU37" s="3056"/>
      <c r="AV37" s="3056"/>
      <c r="AW37" s="3056"/>
      <c r="AX37" s="3056"/>
      <c r="AY37" s="3056"/>
      <c r="AZ37" s="3056"/>
      <c r="BA37" s="3056"/>
      <c r="BB37" s="3056"/>
      <c r="BC37" s="3056"/>
      <c r="BD37" s="3056"/>
      <c r="BE37" s="3056"/>
      <c r="BF37" s="3056"/>
      <c r="BG37" s="3056"/>
      <c r="BH37" s="3056"/>
      <c r="BI37" s="3057"/>
      <c r="BL37" s="272" t="e">
        <f>IF(BR37=0,"",SUM(BR37:BR$55))</f>
        <v>#DIV/0!</v>
      </c>
      <c r="BM37" s="269" t="e">
        <f t="shared" si="0"/>
        <v>#DIV/0!</v>
      </c>
      <c r="BO37" s="205" t="s">
        <v>307</v>
      </c>
      <c r="BP37" s="233">
        <f>IF('Concr. Pg 1'!DE127="",BP38,'Concr. Pg 1'!DE127)</f>
        <v>0</v>
      </c>
      <c r="BQ37" s="234">
        <f>IF('Concr. Pg 1'!DI127="",BQ38,'Concr. Pg 1'!DI127)</f>
        <v>0</v>
      </c>
      <c r="BR37" s="223" t="e">
        <f t="shared" si="1"/>
        <v>#DIV/0!</v>
      </c>
      <c r="BS37" s="2983" t="e">
        <f t="shared" si="2"/>
        <v>#DIV/0!</v>
      </c>
      <c r="BT37" s="2984"/>
      <c r="BU37" s="2985"/>
      <c r="BV37" s="251" t="e">
        <f t="shared" si="3"/>
        <v>#DIV/0!</v>
      </c>
      <c r="BW37" s="225" t="e">
        <f t="shared" si="4"/>
        <v>#DIV/0!</v>
      </c>
      <c r="BX37" s="224">
        <f t="shared" si="5"/>
        <v>0</v>
      </c>
      <c r="BZ37" s="162">
        <f t="shared" si="6"/>
        <v>0</v>
      </c>
      <c r="CA37" s="162">
        <f t="shared" si="8"/>
        <v>0</v>
      </c>
      <c r="CC37" s="259" t="e">
        <f t="shared" si="7"/>
        <v>#DIV/0!</v>
      </c>
      <c r="CG37" s="351"/>
      <c r="CH37" s="191" t="s">
        <v>296</v>
      </c>
      <c r="CI37" s="325">
        <f>BW126</f>
        <v>0</v>
      </c>
      <c r="CJ37" s="326">
        <f>CI37</f>
        <v>0</v>
      </c>
      <c r="CK37" s="339"/>
      <c r="CL37" s="339"/>
      <c r="CM37" s="174"/>
      <c r="CN37" s="174"/>
      <c r="CO37" s="282"/>
      <c r="CP37" s="292"/>
      <c r="CQ37" s="162">
        <v>0</v>
      </c>
      <c r="CR37" s="162">
        <f>IF(AB$7="Elev.",CI39,CJ39)</f>
        <v>0</v>
      </c>
      <c r="CS37" s="307">
        <f>CJ39</f>
        <v>0</v>
      </c>
      <c r="CT37" s="282"/>
      <c r="CU37" s="292"/>
      <c r="CV37" s="162">
        <v>0</v>
      </c>
      <c r="CW37" s="162">
        <f>IF(AB$7="Elev.",CI39,CJ39)</f>
        <v>0</v>
      </c>
      <c r="CX37" s="307">
        <f>CJ39</f>
        <v>0</v>
      </c>
      <c r="CY37" s="282"/>
      <c r="CZ37" s="292"/>
      <c r="DA37" s="162">
        <v>0</v>
      </c>
      <c r="DB37" s="162">
        <f>IF(AB$7="Elev.",CI39,CJ39)</f>
        <v>0</v>
      </c>
      <c r="DC37" s="307">
        <f>CJ39</f>
        <v>0</v>
      </c>
      <c r="DD37" s="282"/>
      <c r="DE37" s="292"/>
      <c r="DF37" s="162">
        <v>0</v>
      </c>
      <c r="DG37" s="162">
        <f>IF(AB$7="Elev.",CI39,CJ39)</f>
        <v>0</v>
      </c>
      <c r="DH37" s="307">
        <f>CJ39</f>
        <v>0</v>
      </c>
      <c r="DI37" s="282"/>
      <c r="DJ37" s="292"/>
      <c r="DK37" s="162">
        <v>0</v>
      </c>
      <c r="DL37" s="162">
        <f>IF(AB$7="Elev.",CI39,CJ39)</f>
        <v>0</v>
      </c>
      <c r="DM37" s="307">
        <f>CJ39</f>
        <v>0</v>
      </c>
    </row>
    <row r="38" spans="2:117" ht="12.9" customHeight="1">
      <c r="B38" s="3061"/>
      <c r="C38" s="3056"/>
      <c r="D38" s="3056"/>
      <c r="E38" s="3056"/>
      <c r="F38" s="3056"/>
      <c r="G38" s="3056"/>
      <c r="H38" s="3056"/>
      <c r="I38" s="3056"/>
      <c r="J38" s="3056"/>
      <c r="K38" s="3056"/>
      <c r="L38" s="3056"/>
      <c r="M38" s="3056"/>
      <c r="N38" s="3056"/>
      <c r="O38" s="3056"/>
      <c r="P38" s="3056"/>
      <c r="Q38" s="3056"/>
      <c r="R38" s="3056"/>
      <c r="S38" s="3056"/>
      <c r="T38" s="3056"/>
      <c r="U38" s="3056"/>
      <c r="V38" s="3056"/>
      <c r="W38" s="3056"/>
      <c r="X38" s="3056"/>
      <c r="Y38" s="3056"/>
      <c r="Z38" s="3056"/>
      <c r="AA38" s="3056"/>
      <c r="AB38" s="3056"/>
      <c r="AC38" s="3056"/>
      <c r="AD38" s="3056"/>
      <c r="AE38" s="3056"/>
      <c r="AF38" s="3056"/>
      <c r="AG38" s="3056"/>
      <c r="AH38" s="3056"/>
      <c r="AI38" s="3056"/>
      <c r="AJ38" s="3056"/>
      <c r="AK38" s="3056"/>
      <c r="AL38" s="3056"/>
      <c r="AM38" s="3056"/>
      <c r="AN38" s="3056"/>
      <c r="AO38" s="3056"/>
      <c r="AP38" s="3056"/>
      <c r="AQ38" s="3056"/>
      <c r="AR38" s="3056"/>
      <c r="AS38" s="3056"/>
      <c r="AT38" s="3056"/>
      <c r="AU38" s="3056"/>
      <c r="AV38" s="3056"/>
      <c r="AW38" s="3056"/>
      <c r="AX38" s="3056"/>
      <c r="AY38" s="3056"/>
      <c r="AZ38" s="3056"/>
      <c r="BA38" s="3056"/>
      <c r="BB38" s="3056"/>
      <c r="BC38" s="3056"/>
      <c r="BD38" s="3056"/>
      <c r="BE38" s="3056"/>
      <c r="BF38" s="3056"/>
      <c r="BG38" s="3056"/>
      <c r="BH38" s="3056"/>
      <c r="BI38" s="3057"/>
      <c r="BL38" s="272" t="e">
        <f>IF(BR38=0,"",SUM(BR38:BR$55))</f>
        <v>#DIV/0!</v>
      </c>
      <c r="BM38" s="269" t="e">
        <f t="shared" si="0"/>
        <v>#DIV/0!</v>
      </c>
      <c r="BO38" s="205" t="s">
        <v>305</v>
      </c>
      <c r="BP38" s="233">
        <f>IF('Concr. Pg 1'!DE123="",BP39,'Concr. Pg 1'!DE123)</f>
        <v>0</v>
      </c>
      <c r="BQ38" s="234">
        <f>IF('Concr. Pg 1'!DI123="",BQ39,'Concr. Pg 1'!DI123)</f>
        <v>0</v>
      </c>
      <c r="BR38" s="223" t="e">
        <f t="shared" si="1"/>
        <v>#DIV/0!</v>
      </c>
      <c r="BS38" s="2983" t="e">
        <f t="shared" si="2"/>
        <v>#DIV/0!</v>
      </c>
      <c r="BT38" s="2984"/>
      <c r="BU38" s="2985"/>
      <c r="BV38" s="251" t="e">
        <f t="shared" si="3"/>
        <v>#DIV/0!</v>
      </c>
      <c r="BW38" s="225" t="e">
        <f t="shared" si="4"/>
        <v>#DIV/0!</v>
      </c>
      <c r="BX38" s="224">
        <f t="shared" si="5"/>
        <v>0</v>
      </c>
      <c r="BZ38" s="162">
        <f t="shared" si="6"/>
        <v>0</v>
      </c>
      <c r="CA38" s="162">
        <f t="shared" si="8"/>
        <v>0</v>
      </c>
      <c r="CC38" s="259" t="e">
        <f t="shared" si="7"/>
        <v>#DIV/0!</v>
      </c>
      <c r="CG38" s="351"/>
      <c r="CH38" s="191" t="s">
        <v>174</v>
      </c>
      <c r="CI38" s="327">
        <f>BW76</f>
        <v>0</v>
      </c>
      <c r="CJ38" s="328">
        <f>CI38</f>
        <v>0</v>
      </c>
      <c r="CK38" s="174"/>
      <c r="CL38" s="174"/>
      <c r="CM38" s="174"/>
      <c r="CN38" s="174"/>
      <c r="CO38" s="282"/>
      <c r="CP38" s="168"/>
      <c r="CQ38" s="281"/>
      <c r="CR38" s="281"/>
      <c r="CS38" s="165"/>
      <c r="CT38" s="282"/>
      <c r="CU38" s="168"/>
      <c r="CV38" s="281"/>
      <c r="CW38" s="281"/>
      <c r="CX38" s="165"/>
      <c r="CY38" s="282"/>
      <c r="CZ38" s="168"/>
      <c r="DA38" s="281"/>
      <c r="DB38" s="281"/>
      <c r="DC38" s="165"/>
      <c r="DD38" s="282"/>
      <c r="DE38" s="168"/>
      <c r="DF38" s="281"/>
      <c r="DG38" s="281"/>
      <c r="DH38" s="165"/>
      <c r="DI38" s="282"/>
      <c r="DJ38" s="168"/>
      <c r="DK38" s="281"/>
      <c r="DL38" s="281"/>
      <c r="DM38" s="165"/>
    </row>
    <row r="39" spans="2:117" ht="12.9" customHeight="1" thickBot="1">
      <c r="B39" s="3061"/>
      <c r="C39" s="3056"/>
      <c r="D39" s="3056"/>
      <c r="E39" s="3056"/>
      <c r="F39" s="3056"/>
      <c r="G39" s="3056"/>
      <c r="H39" s="3056"/>
      <c r="I39" s="3056"/>
      <c r="J39" s="3056"/>
      <c r="K39" s="3056"/>
      <c r="L39" s="3056"/>
      <c r="M39" s="3056"/>
      <c r="N39" s="3056"/>
      <c r="O39" s="3056"/>
      <c r="P39" s="3056"/>
      <c r="Q39" s="3056"/>
      <c r="R39" s="3056"/>
      <c r="S39" s="3056"/>
      <c r="T39" s="3056"/>
      <c r="U39" s="3056"/>
      <c r="V39" s="3056"/>
      <c r="W39" s="3056"/>
      <c r="X39" s="3056"/>
      <c r="Y39" s="3056"/>
      <c r="Z39" s="3056"/>
      <c r="AA39" s="3056"/>
      <c r="AB39" s="3056"/>
      <c r="AC39" s="3056"/>
      <c r="AD39" s="3056"/>
      <c r="AE39" s="3056"/>
      <c r="AF39" s="3056"/>
      <c r="AG39" s="3056"/>
      <c r="AH39" s="3056"/>
      <c r="AI39" s="3056"/>
      <c r="AJ39" s="3056"/>
      <c r="AK39" s="3056"/>
      <c r="AL39" s="3056"/>
      <c r="AM39" s="3056"/>
      <c r="AN39" s="3056"/>
      <c r="AO39" s="3056"/>
      <c r="AP39" s="3056"/>
      <c r="AQ39" s="3056"/>
      <c r="AR39" s="3056"/>
      <c r="AS39" s="3056"/>
      <c r="AT39" s="3056"/>
      <c r="AU39" s="3056"/>
      <c r="AV39" s="3056"/>
      <c r="AW39" s="3056"/>
      <c r="AX39" s="3056"/>
      <c r="AY39" s="3056"/>
      <c r="AZ39" s="3056"/>
      <c r="BA39" s="3056"/>
      <c r="BB39" s="3056"/>
      <c r="BC39" s="3056"/>
      <c r="BD39" s="3056"/>
      <c r="BE39" s="3056"/>
      <c r="BF39" s="3056"/>
      <c r="BG39" s="3056"/>
      <c r="BH39" s="3056"/>
      <c r="BI39" s="3057"/>
      <c r="BL39" s="272" t="e">
        <f>IF(BR39=0,"",SUM(BR39:BR$55))</f>
        <v>#DIV/0!</v>
      </c>
      <c r="BM39" s="269" t="e">
        <f t="shared" si="0"/>
        <v>#DIV/0!</v>
      </c>
      <c r="BO39" s="205" t="s">
        <v>308</v>
      </c>
      <c r="BP39" s="233">
        <f>IF('Concr. Pg 1'!DE119="",BP40,'Concr. Pg 1'!DE119)</f>
        <v>0</v>
      </c>
      <c r="BQ39" s="234">
        <f>IF('Concr. Pg 1'!DI119="",BQ40,'Concr. Pg 1'!DI119)</f>
        <v>0</v>
      </c>
      <c r="BR39" s="223" t="e">
        <f t="shared" si="1"/>
        <v>#DIV/0!</v>
      </c>
      <c r="BS39" s="2983" t="e">
        <f t="shared" si="2"/>
        <v>#DIV/0!</v>
      </c>
      <c r="BT39" s="2984"/>
      <c r="BU39" s="2985"/>
      <c r="BV39" s="251" t="e">
        <f t="shared" si="3"/>
        <v>#DIV/0!</v>
      </c>
      <c r="BW39" s="225" t="e">
        <f t="shared" si="4"/>
        <v>#DIV/0!</v>
      </c>
      <c r="BX39" s="224">
        <f t="shared" si="5"/>
        <v>0</v>
      </c>
      <c r="BZ39" s="162">
        <f t="shared" si="6"/>
        <v>0</v>
      </c>
      <c r="CA39" s="162">
        <f t="shared" si="8"/>
        <v>0</v>
      </c>
      <c r="CC39" s="259" t="e">
        <f t="shared" si="7"/>
        <v>#DIV/0!</v>
      </c>
      <c r="CG39" s="351"/>
      <c r="CH39" s="191" t="s">
        <v>59</v>
      </c>
      <c r="CI39" s="311">
        <f>BU82</f>
        <v>0</v>
      </c>
      <c r="CJ39" s="312">
        <f>CI39-CI$39</f>
        <v>0</v>
      </c>
      <c r="CK39" s="174"/>
      <c r="CL39" s="339"/>
      <c r="CM39" s="174"/>
      <c r="CN39" s="174"/>
      <c r="CQ39" s="288"/>
      <c r="CR39" s="288"/>
      <c r="CV39" s="288"/>
      <c r="CW39" s="288"/>
      <c r="DA39" s="288"/>
      <c r="DB39" s="288"/>
      <c r="DF39" s="288"/>
      <c r="DG39" s="288"/>
      <c r="DK39" s="288"/>
      <c r="DL39" s="288"/>
    </row>
    <row r="40" spans="2:117" ht="12.9" customHeight="1" thickBot="1">
      <c r="B40" s="3061"/>
      <c r="C40" s="3056"/>
      <c r="D40" s="3056"/>
      <c r="E40" s="3056"/>
      <c r="F40" s="3056"/>
      <c r="G40" s="3056"/>
      <c r="H40" s="3056"/>
      <c r="I40" s="3056"/>
      <c r="J40" s="3056"/>
      <c r="K40" s="3056"/>
      <c r="L40" s="3056"/>
      <c r="M40" s="3056"/>
      <c r="N40" s="3056"/>
      <c r="O40" s="3056"/>
      <c r="P40" s="3056"/>
      <c r="Q40" s="3056"/>
      <c r="R40" s="3056"/>
      <c r="S40" s="3056"/>
      <c r="T40" s="3056"/>
      <c r="U40" s="3056"/>
      <c r="V40" s="3056"/>
      <c r="W40" s="3056"/>
      <c r="X40" s="3056"/>
      <c r="Y40" s="3056"/>
      <c r="Z40" s="3056"/>
      <c r="AA40" s="3056"/>
      <c r="AB40" s="3056"/>
      <c r="AC40" s="3056"/>
      <c r="AD40" s="3056"/>
      <c r="AE40" s="3056"/>
      <c r="AF40" s="3056"/>
      <c r="AG40" s="3056"/>
      <c r="AH40" s="3056"/>
      <c r="AI40" s="3056"/>
      <c r="AJ40" s="3056"/>
      <c r="AK40" s="3056"/>
      <c r="AL40" s="3056"/>
      <c r="AM40" s="3056"/>
      <c r="AN40" s="3056"/>
      <c r="AO40" s="3056"/>
      <c r="AP40" s="3056"/>
      <c r="AQ40" s="3056"/>
      <c r="AR40" s="3056"/>
      <c r="AS40" s="3056"/>
      <c r="AT40" s="3056"/>
      <c r="AU40" s="3056"/>
      <c r="AV40" s="3056"/>
      <c r="AW40" s="3056"/>
      <c r="AX40" s="3056"/>
      <c r="AY40" s="3056"/>
      <c r="AZ40" s="3056"/>
      <c r="BA40" s="3056"/>
      <c r="BB40" s="3056"/>
      <c r="BC40" s="3056"/>
      <c r="BD40" s="3056"/>
      <c r="BE40" s="3056"/>
      <c r="BF40" s="3056"/>
      <c r="BG40" s="3056"/>
      <c r="BH40" s="3056"/>
      <c r="BI40" s="3057"/>
      <c r="BL40" s="272" t="e">
        <f>IF(BR40=0,"",SUM(BR40:BR$55))</f>
        <v>#DIV/0!</v>
      </c>
      <c r="BM40" s="269" t="e">
        <f t="shared" si="0"/>
        <v>#DIV/0!</v>
      </c>
      <c r="BO40" s="160">
        <v>16</v>
      </c>
      <c r="BP40" s="233">
        <f>IF('Concr. Pg 1'!DE115="",BP41,'Concr. Pg 1'!DE115)</f>
        <v>0</v>
      </c>
      <c r="BQ40" s="234">
        <f>IF('Concr. Pg 1'!DI115="",BQ41,'Concr. Pg 1'!DI115)</f>
        <v>0</v>
      </c>
      <c r="BR40" s="223" t="e">
        <f t="shared" si="1"/>
        <v>#DIV/0!</v>
      </c>
      <c r="BS40" s="2983" t="e">
        <f t="shared" si="2"/>
        <v>#DIV/0!</v>
      </c>
      <c r="BT40" s="2984"/>
      <c r="BU40" s="2985"/>
      <c r="BV40" s="251" t="e">
        <f t="shared" si="3"/>
        <v>#DIV/0!</v>
      </c>
      <c r="BW40" s="225" t="e">
        <f t="shared" si="4"/>
        <v>#DIV/0!</v>
      </c>
      <c r="BX40" s="224">
        <f t="shared" si="5"/>
        <v>0</v>
      </c>
      <c r="BZ40" s="162">
        <f t="shared" si="6"/>
        <v>0</v>
      </c>
      <c r="CA40" s="162">
        <f t="shared" si="8"/>
        <v>0</v>
      </c>
      <c r="CC40" s="259" t="e">
        <f t="shared" si="7"/>
        <v>#DIV/0!</v>
      </c>
      <c r="CH40" s="345"/>
      <c r="CI40" s="345"/>
      <c r="CJ40" s="174"/>
      <c r="CK40" s="174"/>
      <c r="CL40" s="339"/>
      <c r="CM40" s="174"/>
      <c r="CN40" s="174"/>
      <c r="CP40" s="3017" t="s">
        <v>383</v>
      </c>
      <c r="CQ40" s="3018"/>
      <c r="CR40" s="3018"/>
      <c r="CS40" s="3019"/>
    </row>
    <row r="41" spans="2:117" ht="12.9" customHeight="1" thickBot="1">
      <c r="B41" s="3061"/>
      <c r="C41" s="3056"/>
      <c r="D41" s="3056"/>
      <c r="E41" s="3056"/>
      <c r="F41" s="3056"/>
      <c r="G41" s="3056"/>
      <c r="H41" s="3056"/>
      <c r="I41" s="3056"/>
      <c r="J41" s="3056"/>
      <c r="K41" s="3056"/>
      <c r="L41" s="3056"/>
      <c r="M41" s="3056"/>
      <c r="N41" s="3056"/>
      <c r="O41" s="3056"/>
      <c r="P41" s="3056"/>
      <c r="Q41" s="3056"/>
      <c r="R41" s="3056"/>
      <c r="S41" s="3056"/>
      <c r="T41" s="3056"/>
      <c r="U41" s="3056"/>
      <c r="V41" s="3056"/>
      <c r="W41" s="3056"/>
      <c r="X41" s="3056"/>
      <c r="Y41" s="3056"/>
      <c r="Z41" s="3056"/>
      <c r="AA41" s="3056"/>
      <c r="AB41" s="3056"/>
      <c r="AC41" s="3056"/>
      <c r="AD41" s="3056"/>
      <c r="AE41" s="3056"/>
      <c r="AF41" s="3056"/>
      <c r="AG41" s="3056"/>
      <c r="AH41" s="3056"/>
      <c r="AI41" s="3056"/>
      <c r="AJ41" s="3056"/>
      <c r="AK41" s="3056"/>
      <c r="AL41" s="3056"/>
      <c r="AM41" s="3056"/>
      <c r="AN41" s="3056"/>
      <c r="AO41" s="3056"/>
      <c r="AP41" s="3056"/>
      <c r="AQ41" s="3056"/>
      <c r="AR41" s="3056"/>
      <c r="AS41" s="3056"/>
      <c r="AT41" s="3056"/>
      <c r="AU41" s="3056"/>
      <c r="AV41" s="3056"/>
      <c r="AW41" s="3056"/>
      <c r="AX41" s="3056"/>
      <c r="AY41" s="3056"/>
      <c r="AZ41" s="3056"/>
      <c r="BA41" s="3056"/>
      <c r="BB41" s="3056"/>
      <c r="BC41" s="3056"/>
      <c r="BD41" s="3056"/>
      <c r="BE41" s="3056"/>
      <c r="BF41" s="3056"/>
      <c r="BG41" s="3056"/>
      <c r="BH41" s="3056"/>
      <c r="BI41" s="3057"/>
      <c r="BL41" s="272" t="e">
        <f>IF(BR41=0,"",SUM(BR41:BR$55))</f>
        <v>#DIV/0!</v>
      </c>
      <c r="BM41" s="269" t="e">
        <f t="shared" si="0"/>
        <v>#DIV/0!</v>
      </c>
      <c r="BO41" s="160">
        <v>15</v>
      </c>
      <c r="BP41" s="233">
        <f>IF('Concr. Pg 1'!DE111="",BP42,'Concr. Pg 1'!DE111)</f>
        <v>0</v>
      </c>
      <c r="BQ41" s="234">
        <f>IF('Concr. Pg 1'!DI111="",BQ42,'Concr. Pg 1'!DI111)</f>
        <v>0</v>
      </c>
      <c r="BR41" s="223" t="e">
        <f t="shared" si="1"/>
        <v>#DIV/0!</v>
      </c>
      <c r="BS41" s="2983" t="e">
        <f t="shared" si="2"/>
        <v>#DIV/0!</v>
      </c>
      <c r="BT41" s="2984"/>
      <c r="BU41" s="2985"/>
      <c r="BV41" s="251" t="e">
        <f t="shared" si="3"/>
        <v>#DIV/0!</v>
      </c>
      <c r="BW41" s="225" t="e">
        <f t="shared" si="4"/>
        <v>#DIV/0!</v>
      </c>
      <c r="BX41" s="224">
        <f t="shared" si="5"/>
        <v>0</v>
      </c>
      <c r="BZ41" s="162">
        <f t="shared" si="6"/>
        <v>0</v>
      </c>
      <c r="CA41" s="162">
        <f t="shared" si="8"/>
        <v>0</v>
      </c>
      <c r="CC41" s="259" t="e">
        <f t="shared" si="7"/>
        <v>#DIV/0!</v>
      </c>
      <c r="CH41" s="345"/>
      <c r="CI41" s="345"/>
      <c r="CJ41" s="174"/>
      <c r="CK41" s="174"/>
      <c r="CL41" s="174"/>
      <c r="CM41" s="174"/>
      <c r="CN41" s="174"/>
      <c r="CP41" s="296"/>
      <c r="CQ41" s="349" t="s">
        <v>30</v>
      </c>
      <c r="CR41" s="348" t="s">
        <v>31</v>
      </c>
      <c r="CS41" s="297"/>
      <c r="CU41" s="191" t="s">
        <v>364</v>
      </c>
      <c r="CV41" s="343">
        <f>IF(AND(BV90&gt;0,BY90&gt;0,CR63&gt;CR68),1,IF(AND(BV90&gt;0,BY90&gt;0,CR63=CR68),2,IF(AND(BV90&gt;0,BY90=0,CR63&gt;CR73),3,IF(AND(BV90&gt;0,BY90=0,CR63=CR73),4,IF(AND(BV90=0,BY90=0),5,5)))))</f>
        <v>5</v>
      </c>
      <c r="CW41" s="316" t="s">
        <v>381</v>
      </c>
      <c r="CY41" s="289"/>
      <c r="DB41" s="317" t="e">
        <f>CH26</f>
        <v>#DIV/0!</v>
      </c>
      <c r="DC41" s="283" t="s">
        <v>372</v>
      </c>
    </row>
    <row r="42" spans="2:117" ht="12.9" customHeight="1">
      <c r="B42" s="3061"/>
      <c r="C42" s="3056"/>
      <c r="D42" s="3056"/>
      <c r="E42" s="3056"/>
      <c r="F42" s="3056"/>
      <c r="G42" s="3056"/>
      <c r="H42" s="3056"/>
      <c r="I42" s="3056"/>
      <c r="J42" s="3056"/>
      <c r="K42" s="3056"/>
      <c r="L42" s="3056"/>
      <c r="M42" s="3056"/>
      <c r="N42" s="3056"/>
      <c r="O42" s="3056"/>
      <c r="P42" s="3056"/>
      <c r="Q42" s="3056"/>
      <c r="R42" s="3056"/>
      <c r="S42" s="3056"/>
      <c r="T42" s="3056"/>
      <c r="U42" s="3056"/>
      <c r="V42" s="3056"/>
      <c r="W42" s="3056"/>
      <c r="X42" s="3056"/>
      <c r="Y42" s="3056"/>
      <c r="Z42" s="3056"/>
      <c r="AA42" s="3056"/>
      <c r="AB42" s="3056"/>
      <c r="AC42" s="3056"/>
      <c r="AD42" s="3056"/>
      <c r="AE42" s="3056"/>
      <c r="AF42" s="3056"/>
      <c r="AG42" s="3056"/>
      <c r="AH42" s="3056"/>
      <c r="AI42" s="3056"/>
      <c r="AJ42" s="3056"/>
      <c r="AK42" s="3056"/>
      <c r="AL42" s="3056"/>
      <c r="AM42" s="3056"/>
      <c r="AN42" s="3056"/>
      <c r="AO42" s="3056"/>
      <c r="AP42" s="3056"/>
      <c r="AQ42" s="3056"/>
      <c r="AR42" s="3056"/>
      <c r="AS42" s="3056"/>
      <c r="AT42" s="3056"/>
      <c r="AU42" s="3056"/>
      <c r="AV42" s="3056"/>
      <c r="AW42" s="3056"/>
      <c r="AX42" s="3056"/>
      <c r="AY42" s="3056"/>
      <c r="AZ42" s="3056"/>
      <c r="BA42" s="3056"/>
      <c r="BB42" s="3056"/>
      <c r="BC42" s="3056"/>
      <c r="BD42" s="3056"/>
      <c r="BE42" s="3056"/>
      <c r="BF42" s="3056"/>
      <c r="BG42" s="3056"/>
      <c r="BH42" s="3056"/>
      <c r="BI42" s="3057"/>
      <c r="BL42" s="272" t="e">
        <f>IF(BR42=0,"",SUM(BR42:BR$55))</f>
        <v>#DIV/0!</v>
      </c>
      <c r="BM42" s="269" t="e">
        <f t="shared" si="0"/>
        <v>#DIV/0!</v>
      </c>
      <c r="BO42" s="160">
        <v>14</v>
      </c>
      <c r="BP42" s="233">
        <f>IF('Concr. Pg 1'!DE107="",BP43,'Concr. Pg 1'!DE107)</f>
        <v>0</v>
      </c>
      <c r="BQ42" s="234">
        <f>IF('Concr. Pg 1'!DI107="",BQ43,'Concr. Pg 1'!DI107)</f>
        <v>0</v>
      </c>
      <c r="BR42" s="223" t="e">
        <f t="shared" si="1"/>
        <v>#DIV/0!</v>
      </c>
      <c r="BS42" s="2983" t="e">
        <f t="shared" si="2"/>
        <v>#DIV/0!</v>
      </c>
      <c r="BT42" s="2984"/>
      <c r="BU42" s="2985"/>
      <c r="BV42" s="251" t="e">
        <f t="shared" si="3"/>
        <v>#DIV/0!</v>
      </c>
      <c r="BW42" s="225" t="e">
        <f t="shared" si="4"/>
        <v>#DIV/0!</v>
      </c>
      <c r="BX42" s="224">
        <f t="shared" si="5"/>
        <v>0</v>
      </c>
      <c r="BZ42" s="162">
        <f t="shared" si="6"/>
        <v>0</v>
      </c>
      <c r="CA42" s="162">
        <f t="shared" si="8"/>
        <v>0</v>
      </c>
      <c r="CC42" s="259" t="e">
        <f t="shared" si="7"/>
        <v>#DIV/0!</v>
      </c>
      <c r="CH42" s="346"/>
      <c r="CI42" s="346"/>
      <c r="CJ42" s="340"/>
      <c r="CK42" s="347"/>
      <c r="CL42" s="347"/>
      <c r="CM42" s="174"/>
      <c r="CN42" s="174"/>
      <c r="CP42" s="296"/>
      <c r="CQ42" s="350" t="s">
        <v>7</v>
      </c>
      <c r="CR42" s="249" t="str">
        <f>IF(AB7="Elev.","Elevation","Length")</f>
        <v>Elevation</v>
      </c>
      <c r="CS42" s="297"/>
      <c r="CU42" s="174"/>
      <c r="CV42" s="174"/>
      <c r="DB42" s="318" t="s">
        <v>371</v>
      </c>
    </row>
    <row r="43" spans="2:117" ht="12.9" customHeight="1">
      <c r="B43" s="3061"/>
      <c r="C43" s="3056"/>
      <c r="D43" s="3056"/>
      <c r="E43" s="3056"/>
      <c r="F43" s="3056"/>
      <c r="G43" s="3056"/>
      <c r="H43" s="3056"/>
      <c r="I43" s="3056"/>
      <c r="J43" s="3056"/>
      <c r="K43" s="3056"/>
      <c r="L43" s="3056"/>
      <c r="M43" s="3056"/>
      <c r="N43" s="3056"/>
      <c r="O43" s="3056"/>
      <c r="P43" s="3056"/>
      <c r="Q43" s="3056"/>
      <c r="R43" s="3056"/>
      <c r="S43" s="3056"/>
      <c r="T43" s="3056"/>
      <c r="U43" s="3056"/>
      <c r="V43" s="3056"/>
      <c r="W43" s="3056"/>
      <c r="X43" s="3056"/>
      <c r="Y43" s="3056"/>
      <c r="Z43" s="3056"/>
      <c r="AA43" s="3056"/>
      <c r="AB43" s="3056"/>
      <c r="AC43" s="3056"/>
      <c r="AD43" s="3056"/>
      <c r="AE43" s="3056"/>
      <c r="AF43" s="3056"/>
      <c r="AG43" s="3056"/>
      <c r="AH43" s="3056"/>
      <c r="AI43" s="3056"/>
      <c r="AJ43" s="3056"/>
      <c r="AK43" s="3056"/>
      <c r="AL43" s="3056"/>
      <c r="AM43" s="3056"/>
      <c r="AN43" s="3056"/>
      <c r="AO43" s="3056"/>
      <c r="AP43" s="3056"/>
      <c r="AQ43" s="3056"/>
      <c r="AR43" s="3056"/>
      <c r="AS43" s="3056"/>
      <c r="AT43" s="3056"/>
      <c r="AU43" s="3056"/>
      <c r="AV43" s="3056"/>
      <c r="AW43" s="3056"/>
      <c r="AX43" s="3056"/>
      <c r="AY43" s="3056"/>
      <c r="AZ43" s="3056"/>
      <c r="BA43" s="3056"/>
      <c r="BB43" s="3056"/>
      <c r="BC43" s="3056"/>
      <c r="BD43" s="3056"/>
      <c r="BE43" s="3056"/>
      <c r="BF43" s="3056"/>
      <c r="BG43" s="3056"/>
      <c r="BH43" s="3056"/>
      <c r="BI43" s="3057"/>
      <c r="BL43" s="272" t="e">
        <f>IF(BR43=0,"",SUM(BR43:BR$55))</f>
        <v>#DIV/0!</v>
      </c>
      <c r="BM43" s="269" t="e">
        <f t="shared" si="0"/>
        <v>#DIV/0!</v>
      </c>
      <c r="BO43" s="160">
        <v>13</v>
      </c>
      <c r="BP43" s="233">
        <f>IF('Concr. Pg 1'!DE103="",BP44,'Concr. Pg 1'!DE103)</f>
        <v>0</v>
      </c>
      <c r="BQ43" s="234">
        <f>IF('Concr. Pg 1'!DI103="",BQ44,'Concr. Pg 1'!DI103)</f>
        <v>0</v>
      </c>
      <c r="BR43" s="223" t="e">
        <f t="shared" si="1"/>
        <v>#DIV/0!</v>
      </c>
      <c r="BS43" s="2983" t="e">
        <f t="shared" si="2"/>
        <v>#DIV/0!</v>
      </c>
      <c r="BT43" s="2984"/>
      <c r="BU43" s="2985"/>
      <c r="BV43" s="251" t="e">
        <f t="shared" si="3"/>
        <v>#DIV/0!</v>
      </c>
      <c r="BW43" s="225" t="e">
        <f t="shared" si="4"/>
        <v>#DIV/0!</v>
      </c>
      <c r="BX43" s="224">
        <f t="shared" si="5"/>
        <v>0</v>
      </c>
      <c r="BZ43" s="162">
        <f t="shared" si="6"/>
        <v>0</v>
      </c>
      <c r="CA43" s="162">
        <f t="shared" si="8"/>
        <v>0</v>
      </c>
      <c r="CC43" s="259" t="e">
        <f t="shared" si="7"/>
        <v>#DIV/0!</v>
      </c>
      <c r="CH43" s="173"/>
      <c r="CI43" s="173"/>
      <c r="CJ43" s="339"/>
      <c r="CK43" s="174"/>
      <c r="CL43" s="174"/>
      <c r="CM43" s="174"/>
      <c r="CN43" s="174"/>
      <c r="CP43" s="296"/>
      <c r="CQ43" s="3014" t="s">
        <v>335</v>
      </c>
      <c r="CR43" s="3014"/>
      <c r="CS43" s="297"/>
      <c r="CU43" s="1130"/>
      <c r="CV43" s="1130"/>
      <c r="CW43" s="1129" t="s">
        <v>1134</v>
      </c>
      <c r="CX43" s="1131" t="s">
        <v>1133</v>
      </c>
      <c r="DB43" s="295"/>
    </row>
    <row r="44" spans="2:117" ht="12.9" customHeight="1">
      <c r="B44" s="3061"/>
      <c r="C44" s="3056"/>
      <c r="D44" s="3056"/>
      <c r="E44" s="3056"/>
      <c r="F44" s="3056"/>
      <c r="G44" s="3056"/>
      <c r="H44" s="3056"/>
      <c r="I44" s="3056"/>
      <c r="J44" s="3056"/>
      <c r="K44" s="3056"/>
      <c r="L44" s="3056"/>
      <c r="M44" s="3056"/>
      <c r="N44" s="3056"/>
      <c r="O44" s="3056"/>
      <c r="P44" s="3056"/>
      <c r="Q44" s="3056"/>
      <c r="R44" s="3056"/>
      <c r="S44" s="3056"/>
      <c r="T44" s="3056"/>
      <c r="U44" s="3056"/>
      <c r="V44" s="3056"/>
      <c r="W44" s="3056"/>
      <c r="X44" s="3056"/>
      <c r="Y44" s="3056"/>
      <c r="Z44" s="3056"/>
      <c r="AA44" s="3056"/>
      <c r="AB44" s="3056"/>
      <c r="AC44" s="3056"/>
      <c r="AD44" s="3056"/>
      <c r="AE44" s="3056"/>
      <c r="AF44" s="3056"/>
      <c r="AG44" s="3056"/>
      <c r="AH44" s="3056"/>
      <c r="AI44" s="3056"/>
      <c r="AJ44" s="3056"/>
      <c r="AK44" s="3056"/>
      <c r="AL44" s="3056"/>
      <c r="AM44" s="3056"/>
      <c r="AN44" s="3056"/>
      <c r="AO44" s="3056"/>
      <c r="AP44" s="3056"/>
      <c r="AQ44" s="3056"/>
      <c r="AR44" s="3056"/>
      <c r="AS44" s="3056"/>
      <c r="AT44" s="3056"/>
      <c r="AU44" s="3056"/>
      <c r="AV44" s="3056"/>
      <c r="AW44" s="3056"/>
      <c r="AX44" s="3056"/>
      <c r="AY44" s="3056"/>
      <c r="AZ44" s="3056"/>
      <c r="BA44" s="3056"/>
      <c r="BB44" s="3056"/>
      <c r="BC44" s="3056"/>
      <c r="BD44" s="3056"/>
      <c r="BE44" s="3056"/>
      <c r="BF44" s="3056"/>
      <c r="BG44" s="3056"/>
      <c r="BH44" s="3056"/>
      <c r="BI44" s="3057"/>
      <c r="BL44" s="272" t="e">
        <f>IF(BR44=0,"",SUM(BR44:BR$55))</f>
        <v>#DIV/0!</v>
      </c>
      <c r="BM44" s="269" t="e">
        <f t="shared" si="0"/>
        <v>#DIV/0!</v>
      </c>
      <c r="BO44" s="160">
        <v>12</v>
      </c>
      <c r="BP44" s="233">
        <f>IF('Concr. Pg 1'!DE99="",BP45,'Concr. Pg 1'!DE99)</f>
        <v>0</v>
      </c>
      <c r="BQ44" s="234">
        <f>IF('Concr. Pg 1'!DI99="",BQ45,'Concr. Pg 1'!DI99)</f>
        <v>0</v>
      </c>
      <c r="BR44" s="223" t="e">
        <f t="shared" si="1"/>
        <v>#DIV/0!</v>
      </c>
      <c r="BS44" s="2983" t="e">
        <f t="shared" si="2"/>
        <v>#DIV/0!</v>
      </c>
      <c r="BT44" s="2984"/>
      <c r="BU44" s="2985"/>
      <c r="BV44" s="251" t="e">
        <f t="shared" si="3"/>
        <v>#DIV/0!</v>
      </c>
      <c r="BW44" s="225" t="e">
        <f t="shared" si="4"/>
        <v>#DIV/0!</v>
      </c>
      <c r="BX44" s="224">
        <f t="shared" si="5"/>
        <v>0</v>
      </c>
      <c r="BZ44" s="162">
        <f t="shared" si="6"/>
        <v>0</v>
      </c>
      <c r="CA44" s="162">
        <f t="shared" si="8"/>
        <v>0</v>
      </c>
      <c r="CC44" s="259" t="e">
        <f t="shared" si="7"/>
        <v>#DIV/0!</v>
      </c>
      <c r="CG44" s="279"/>
      <c r="CH44" s="339"/>
      <c r="CI44" s="339"/>
      <c r="CJ44" s="174"/>
      <c r="CK44" s="339"/>
      <c r="CL44" s="339"/>
      <c r="CM44" s="174"/>
      <c r="CN44" s="174"/>
      <c r="CP44" s="296"/>
      <c r="CQ44" s="304" t="e">
        <f>IF($CV$41=1,CQ24,IF($CV$41=2,CV24,IF($CV$41=3,DA24,IF($CV$41=4,DF24,IF($CV$41=5,DK24,DK24)))))</f>
        <v>#DIV/0!</v>
      </c>
      <c r="CR44" s="304" t="e">
        <f>IF($CV$41=1,CR24,IF($CV$41=2,CW24,IF($CV$41=3,DB24,IF($CV$41=4,DG24,IF($CV$41=5,DL24,DL24)))))</f>
        <v>#DIV/0!</v>
      </c>
      <c r="CS44" s="297"/>
      <c r="CU44" s="3016" t="s">
        <v>389</v>
      </c>
      <c r="CV44" s="3016"/>
      <c r="CW44" s="3016"/>
      <c r="CX44" s="1131" t="s">
        <v>250</v>
      </c>
    </row>
    <row r="45" spans="2:117" ht="12.9" customHeight="1" thickBot="1">
      <c r="B45" s="3061"/>
      <c r="C45" s="3056"/>
      <c r="D45" s="3056"/>
      <c r="E45" s="3056"/>
      <c r="F45" s="3056"/>
      <c r="G45" s="3056"/>
      <c r="H45" s="3056"/>
      <c r="I45" s="3056"/>
      <c r="J45" s="3056"/>
      <c r="K45" s="3056"/>
      <c r="L45" s="3056"/>
      <c r="M45" s="3056"/>
      <c r="N45" s="3056"/>
      <c r="O45" s="3056"/>
      <c r="P45" s="3056"/>
      <c r="Q45" s="3056"/>
      <c r="R45" s="3056"/>
      <c r="S45" s="3056"/>
      <c r="T45" s="3056"/>
      <c r="U45" s="3056"/>
      <c r="V45" s="3056"/>
      <c r="W45" s="3056"/>
      <c r="X45" s="3056"/>
      <c r="Y45" s="3056"/>
      <c r="Z45" s="3056"/>
      <c r="AA45" s="3056"/>
      <c r="AB45" s="3056"/>
      <c r="AC45" s="3056"/>
      <c r="AD45" s="3056"/>
      <c r="AE45" s="3056"/>
      <c r="AF45" s="3056"/>
      <c r="AG45" s="3056"/>
      <c r="AH45" s="3056"/>
      <c r="AI45" s="3056"/>
      <c r="AJ45" s="3056"/>
      <c r="AK45" s="3056"/>
      <c r="AL45" s="3056"/>
      <c r="AM45" s="3056"/>
      <c r="AN45" s="3056"/>
      <c r="AO45" s="3056"/>
      <c r="AP45" s="3056"/>
      <c r="AQ45" s="3056"/>
      <c r="AR45" s="3056"/>
      <c r="AS45" s="3056"/>
      <c r="AT45" s="3056"/>
      <c r="AU45" s="3056"/>
      <c r="AV45" s="3056"/>
      <c r="AW45" s="3056"/>
      <c r="AX45" s="3056"/>
      <c r="AY45" s="3056"/>
      <c r="AZ45" s="3056"/>
      <c r="BA45" s="3056"/>
      <c r="BB45" s="3056"/>
      <c r="BC45" s="3056"/>
      <c r="BD45" s="3056"/>
      <c r="BE45" s="3056"/>
      <c r="BF45" s="3056"/>
      <c r="BG45" s="3056"/>
      <c r="BH45" s="3056"/>
      <c r="BI45" s="3057"/>
      <c r="BL45" s="272" t="e">
        <f>IF(BR45=0,"",SUM(BR45:BR$55))</f>
        <v>#DIV/0!</v>
      </c>
      <c r="BM45" s="269" t="e">
        <f t="shared" si="0"/>
        <v>#DIV/0!</v>
      </c>
      <c r="BO45" s="192">
        <v>11</v>
      </c>
      <c r="BP45" s="233">
        <f>IF('Concr. Pg 1'!DE95="",BP46,'Concr. Pg 1'!DE95)</f>
        <v>0</v>
      </c>
      <c r="BQ45" s="234">
        <f>IF('Concr. Pg 1'!DI95="",BQ46,'Concr. Pg 1'!DI95)</f>
        <v>0</v>
      </c>
      <c r="BR45" s="223" t="e">
        <f t="shared" si="1"/>
        <v>#DIV/0!</v>
      </c>
      <c r="BS45" s="2983" t="e">
        <f t="shared" si="2"/>
        <v>#DIV/0!</v>
      </c>
      <c r="BT45" s="2984"/>
      <c r="BU45" s="2985"/>
      <c r="BV45" s="251" t="e">
        <f t="shared" si="3"/>
        <v>#DIV/0!</v>
      </c>
      <c r="BW45" s="225" t="e">
        <f t="shared" si="4"/>
        <v>#DIV/0!</v>
      </c>
      <c r="BX45" s="224">
        <f t="shared" si="5"/>
        <v>0</v>
      </c>
      <c r="BZ45" s="162">
        <f t="shared" si="6"/>
        <v>0</v>
      </c>
      <c r="CA45" s="162">
        <f t="shared" si="8"/>
        <v>0</v>
      </c>
      <c r="CC45" s="259" t="e">
        <f t="shared" si="7"/>
        <v>#DIV/0!</v>
      </c>
      <c r="CG45" s="279"/>
      <c r="CH45" s="339"/>
      <c r="CI45" s="339"/>
      <c r="CJ45" s="174"/>
      <c r="CK45" s="339"/>
      <c r="CL45" s="339"/>
      <c r="CM45" s="174"/>
      <c r="CN45" s="174"/>
      <c r="CP45" s="296"/>
      <c r="CQ45" s="304" t="e">
        <f>IF($CV$41=1,CQ25,IF($CV$41=2,CV25,IF($CV$41=3,DA25,IF($CV$41=4,DF25,IF($CV$41=5,DK25,DK25)))))</f>
        <v>#DIV/0!</v>
      </c>
      <c r="CR45" s="304" t="e">
        <f>IF($CV$41=1,CR25,IF($CV$41=2,CW25,IF($CV$41=3,DB25,IF($CV$41=4,DG25,IF($CV$41=5,DL25,DL25)))))</f>
        <v>#DIV/0!</v>
      </c>
      <c r="CS45" s="297"/>
      <c r="CT45" s="320" t="s">
        <v>60</v>
      </c>
      <c r="CU45" s="1126" t="str">
        <f>IF(OR(CV41=1,CV41=3),CONCATENATE("Theor. Uncased (REF above Csg)   ( Dia. = ",'Concr. Pg 1'!L25," ",CX45," )"),"")</f>
        <v/>
      </c>
      <c r="CV45" s="332"/>
      <c r="CW45" s="333"/>
      <c r="CX45" s="1128" t="str">
        <f>IF('Concr. Pg 1'!Q25="*(in)","in","ft")</f>
        <v>ft</v>
      </c>
      <c r="CY45" s="289" t="s">
        <v>348</v>
      </c>
      <c r="CZ45" s="289"/>
      <c r="DA45" s="289"/>
      <c r="DB45" s="289" t="s">
        <v>348</v>
      </c>
      <c r="DC45" s="290"/>
      <c r="DD45" s="290"/>
      <c r="DE45" s="289" t="s">
        <v>353</v>
      </c>
      <c r="DF45" s="290"/>
      <c r="DG45" s="290"/>
      <c r="DH45" s="289" t="s">
        <v>353</v>
      </c>
      <c r="DI45" s="290"/>
      <c r="DJ45" s="290"/>
      <c r="DK45" s="289" t="s">
        <v>183</v>
      </c>
      <c r="DM45" s="290"/>
    </row>
    <row r="46" spans="2:117" ht="12.9" customHeight="1">
      <c r="B46" s="3061"/>
      <c r="C46" s="3056"/>
      <c r="D46" s="3056"/>
      <c r="E46" s="3056"/>
      <c r="F46" s="3056"/>
      <c r="G46" s="3056"/>
      <c r="H46" s="3056"/>
      <c r="I46" s="3056"/>
      <c r="J46" s="3056"/>
      <c r="K46" s="3056"/>
      <c r="L46" s="3056"/>
      <c r="M46" s="3056"/>
      <c r="N46" s="3056"/>
      <c r="O46" s="3056"/>
      <c r="P46" s="3056"/>
      <c r="Q46" s="3056"/>
      <c r="R46" s="3056"/>
      <c r="S46" s="3056"/>
      <c r="T46" s="3056"/>
      <c r="U46" s="3056"/>
      <c r="V46" s="3056"/>
      <c r="W46" s="3056"/>
      <c r="X46" s="3056"/>
      <c r="Y46" s="3056"/>
      <c r="Z46" s="3056"/>
      <c r="AA46" s="3056"/>
      <c r="AB46" s="3056"/>
      <c r="AC46" s="3056"/>
      <c r="AD46" s="3056"/>
      <c r="AE46" s="3056"/>
      <c r="AF46" s="3056"/>
      <c r="AG46" s="3056"/>
      <c r="AH46" s="3056"/>
      <c r="AI46" s="3056"/>
      <c r="AJ46" s="3056"/>
      <c r="AK46" s="3056"/>
      <c r="AL46" s="3056"/>
      <c r="AM46" s="3056"/>
      <c r="AN46" s="3056"/>
      <c r="AO46" s="3056"/>
      <c r="AP46" s="3056"/>
      <c r="AQ46" s="3056"/>
      <c r="AR46" s="3056"/>
      <c r="AS46" s="3056"/>
      <c r="AT46" s="3056"/>
      <c r="AU46" s="3056"/>
      <c r="AV46" s="3056"/>
      <c r="AW46" s="3056"/>
      <c r="AX46" s="3056"/>
      <c r="AY46" s="3056"/>
      <c r="AZ46" s="3056"/>
      <c r="BA46" s="3056"/>
      <c r="BB46" s="3056"/>
      <c r="BC46" s="3056"/>
      <c r="BD46" s="3056"/>
      <c r="BE46" s="3056"/>
      <c r="BF46" s="3056"/>
      <c r="BG46" s="3056"/>
      <c r="BH46" s="3056"/>
      <c r="BI46" s="3057"/>
      <c r="BL46" s="272" t="e">
        <f>IF(BR46=0,"",SUM(BR46:BR$55))</f>
        <v>#DIV/0!</v>
      </c>
      <c r="BM46" s="269" t="e">
        <f t="shared" si="0"/>
        <v>#DIV/0!</v>
      </c>
      <c r="BO46" s="160">
        <v>10</v>
      </c>
      <c r="BP46" s="233">
        <f>IF('Concr. Pg 1'!DE91="",BP47,'Concr. Pg 1'!DE91)</f>
        <v>0</v>
      </c>
      <c r="BQ46" s="234">
        <f>IF('Concr. Pg 1'!DI91="",BQ47,'Concr. Pg 1'!DI91)</f>
        <v>0</v>
      </c>
      <c r="BR46" s="223" t="e">
        <f t="shared" si="1"/>
        <v>#DIV/0!</v>
      </c>
      <c r="BS46" s="2983" t="e">
        <f t="shared" si="2"/>
        <v>#DIV/0!</v>
      </c>
      <c r="BT46" s="2984"/>
      <c r="BU46" s="2985"/>
      <c r="BV46" s="251" t="e">
        <f t="shared" si="3"/>
        <v>#DIV/0!</v>
      </c>
      <c r="BW46" s="225" t="e">
        <f t="shared" si="4"/>
        <v>#DIV/0!</v>
      </c>
      <c r="BX46" s="224">
        <f t="shared" si="5"/>
        <v>0</v>
      </c>
      <c r="BZ46" s="162">
        <f t="shared" si="6"/>
        <v>0</v>
      </c>
      <c r="CA46" s="162">
        <f t="shared" si="8"/>
        <v>0</v>
      </c>
      <c r="CC46" s="259" t="e">
        <f t="shared" si="7"/>
        <v>#DIV/0!</v>
      </c>
      <c r="CG46" s="279"/>
      <c r="CH46" s="339"/>
      <c r="CI46" s="339"/>
      <c r="CJ46" s="174"/>
      <c r="CK46" s="339"/>
      <c r="CL46" s="339"/>
      <c r="CM46" s="174"/>
      <c r="CN46" s="174"/>
      <c r="CP46" s="296"/>
      <c r="CQ46" s="164"/>
      <c r="CR46" s="164"/>
      <c r="CS46" s="297"/>
      <c r="CT46" s="320" t="s">
        <v>176</v>
      </c>
      <c r="CU46" s="1126" t="str">
        <f>IF(OR(CV41=1,CV41=2),CONCATENATE("Theor. Casing 2   ( ID = ",'Concr. Pg 1'!I106," ",CX46," )"),"")</f>
        <v/>
      </c>
      <c r="CV46" s="387"/>
      <c r="CW46" s="388"/>
      <c r="CX46" s="1128" t="str">
        <f>IF('Concr. Pg 1'!K99="*(in)","in","ft")</f>
        <v>ft</v>
      </c>
      <c r="CY46" s="289" t="s">
        <v>346</v>
      </c>
      <c r="CZ46" s="291" t="s">
        <v>358</v>
      </c>
      <c r="DA46" s="290"/>
      <c r="DB46" s="289" t="s">
        <v>347</v>
      </c>
      <c r="DC46" s="290"/>
      <c r="DD46" s="290"/>
      <c r="DE46" s="289" t="s">
        <v>349</v>
      </c>
      <c r="DF46" s="291" t="s">
        <v>359</v>
      </c>
      <c r="DH46" s="289" t="s">
        <v>350</v>
      </c>
      <c r="DI46" s="290"/>
      <c r="DJ46" s="290"/>
      <c r="DK46" s="289" t="s">
        <v>360</v>
      </c>
      <c r="DM46" s="290"/>
    </row>
    <row r="47" spans="2:117" ht="12.9" customHeight="1">
      <c r="B47" s="3061"/>
      <c r="C47" s="3056"/>
      <c r="D47" s="3056"/>
      <c r="E47" s="3056"/>
      <c r="F47" s="3056"/>
      <c r="G47" s="3056"/>
      <c r="H47" s="3056"/>
      <c r="I47" s="3056"/>
      <c r="J47" s="3056"/>
      <c r="K47" s="3056"/>
      <c r="L47" s="3056"/>
      <c r="M47" s="3056"/>
      <c r="N47" s="3056"/>
      <c r="O47" s="3056"/>
      <c r="P47" s="3056"/>
      <c r="Q47" s="3056"/>
      <c r="R47" s="3056"/>
      <c r="S47" s="3056"/>
      <c r="T47" s="3056"/>
      <c r="U47" s="3056"/>
      <c r="V47" s="3056"/>
      <c r="W47" s="3056"/>
      <c r="X47" s="3056"/>
      <c r="Y47" s="3056"/>
      <c r="Z47" s="3056"/>
      <c r="AA47" s="3056"/>
      <c r="AB47" s="3056"/>
      <c r="AC47" s="3056"/>
      <c r="AD47" s="3056"/>
      <c r="AE47" s="3056"/>
      <c r="AF47" s="3056"/>
      <c r="AG47" s="3056"/>
      <c r="AH47" s="3056"/>
      <c r="AI47" s="3056"/>
      <c r="AJ47" s="3056"/>
      <c r="AK47" s="3056"/>
      <c r="AL47" s="3056"/>
      <c r="AM47" s="3056"/>
      <c r="AN47" s="3056"/>
      <c r="AO47" s="3056"/>
      <c r="AP47" s="3056"/>
      <c r="AQ47" s="3056"/>
      <c r="AR47" s="3056"/>
      <c r="AS47" s="3056"/>
      <c r="AT47" s="3056"/>
      <c r="AU47" s="3056"/>
      <c r="AV47" s="3056"/>
      <c r="AW47" s="3056"/>
      <c r="AX47" s="3056"/>
      <c r="AY47" s="3056"/>
      <c r="AZ47" s="3056"/>
      <c r="BA47" s="3056"/>
      <c r="BB47" s="3056"/>
      <c r="BC47" s="3056"/>
      <c r="BD47" s="3056"/>
      <c r="BE47" s="3056"/>
      <c r="BF47" s="3056"/>
      <c r="BG47" s="3056"/>
      <c r="BH47" s="3056"/>
      <c r="BI47" s="3057"/>
      <c r="BL47" s="272" t="e">
        <f>IF(BR47=0,"",SUM(BR47:BR$55))</f>
        <v>#DIV/0!</v>
      </c>
      <c r="BM47" s="269" t="e">
        <f t="shared" si="0"/>
        <v>#DIV/0!</v>
      </c>
      <c r="BO47" s="160">
        <v>9</v>
      </c>
      <c r="BP47" s="233">
        <f>IF('Concr. Pg 1'!DE87="",BP48,'Concr. Pg 1'!DE87)</f>
        <v>0</v>
      </c>
      <c r="BQ47" s="234">
        <f>IF('Concr. Pg 1'!DI87="",BQ48,'Concr. Pg 1'!DI87)</f>
        <v>0</v>
      </c>
      <c r="BR47" s="223" t="e">
        <f t="shared" si="1"/>
        <v>#DIV/0!</v>
      </c>
      <c r="BS47" s="2983" t="e">
        <f t="shared" si="2"/>
        <v>#DIV/0!</v>
      </c>
      <c r="BT47" s="2984"/>
      <c r="BU47" s="2985"/>
      <c r="BV47" s="251" t="e">
        <f t="shared" si="3"/>
        <v>#DIV/0!</v>
      </c>
      <c r="BW47" s="225" t="e">
        <f t="shared" si="4"/>
        <v>#DIV/0!</v>
      </c>
      <c r="BX47" s="224">
        <f t="shared" si="5"/>
        <v>0</v>
      </c>
      <c r="BZ47" s="162">
        <f t="shared" si="6"/>
        <v>0</v>
      </c>
      <c r="CA47" s="162">
        <f t="shared" si="8"/>
        <v>0</v>
      </c>
      <c r="CC47" s="259" t="e">
        <f t="shared" si="7"/>
        <v>#DIV/0!</v>
      </c>
      <c r="CG47" s="279"/>
      <c r="CH47" s="339"/>
      <c r="CI47" s="339"/>
      <c r="CJ47" s="174"/>
      <c r="CK47" s="339"/>
      <c r="CL47" s="339"/>
      <c r="CM47" s="174"/>
      <c r="CN47" s="174"/>
      <c r="CP47" s="296"/>
      <c r="CQ47" s="2989" t="s">
        <v>176</v>
      </c>
      <c r="CR47" s="2990"/>
      <c r="CS47" s="298"/>
      <c r="CT47" s="319" t="s">
        <v>175</v>
      </c>
      <c r="CU47" s="1126" t="str">
        <f>IF(OR(CV41=1,CV41=2,CV41=3,CV41=4),CONCATENATE("Theor. Casing 1   ( ID = ",'Concr. Pg 1'!I102," ",CX47," )"),"")</f>
        <v/>
      </c>
      <c r="CV47" s="387"/>
      <c r="CW47" s="388"/>
      <c r="CX47" s="1128" t="str">
        <f>IF('Concr. Pg 1'!K99="*(in)","in","ft")</f>
        <v>ft</v>
      </c>
      <c r="CY47" s="285">
        <v>1</v>
      </c>
      <c r="CZ47" s="289"/>
      <c r="DA47" s="290"/>
      <c r="DB47" s="285">
        <v>2</v>
      </c>
      <c r="DC47" s="290"/>
      <c r="DD47" s="290"/>
      <c r="DE47" s="285">
        <v>3</v>
      </c>
      <c r="DF47" s="290"/>
      <c r="DG47" s="290"/>
      <c r="DH47" s="285">
        <v>4</v>
      </c>
      <c r="DI47" s="290"/>
      <c r="DJ47" s="290"/>
      <c r="DK47" s="285">
        <v>5</v>
      </c>
      <c r="DM47" s="290"/>
    </row>
    <row r="48" spans="2:117" ht="12.9" customHeight="1">
      <c r="B48" s="3061"/>
      <c r="C48" s="3056"/>
      <c r="D48" s="3056"/>
      <c r="E48" s="3056"/>
      <c r="F48" s="3056"/>
      <c r="G48" s="3056"/>
      <c r="H48" s="3056"/>
      <c r="I48" s="3056"/>
      <c r="J48" s="3056"/>
      <c r="K48" s="3056"/>
      <c r="L48" s="3056"/>
      <c r="M48" s="3056"/>
      <c r="N48" s="3056"/>
      <c r="O48" s="3056"/>
      <c r="P48" s="3056"/>
      <c r="Q48" s="3056"/>
      <c r="R48" s="3056"/>
      <c r="S48" s="3056"/>
      <c r="T48" s="3056"/>
      <c r="U48" s="3056"/>
      <c r="V48" s="3056"/>
      <c r="W48" s="3056"/>
      <c r="X48" s="3056"/>
      <c r="Y48" s="3056"/>
      <c r="Z48" s="3056"/>
      <c r="AA48" s="3056"/>
      <c r="AB48" s="3056"/>
      <c r="AC48" s="3056"/>
      <c r="AD48" s="3056"/>
      <c r="AE48" s="3056"/>
      <c r="AF48" s="3056"/>
      <c r="AG48" s="3056"/>
      <c r="AH48" s="3056"/>
      <c r="AI48" s="3056"/>
      <c r="AJ48" s="3056"/>
      <c r="AK48" s="3056"/>
      <c r="AL48" s="3056"/>
      <c r="AM48" s="3056"/>
      <c r="AN48" s="3056"/>
      <c r="AO48" s="3056"/>
      <c r="AP48" s="3056"/>
      <c r="AQ48" s="3056"/>
      <c r="AR48" s="3056"/>
      <c r="AS48" s="3056"/>
      <c r="AT48" s="3056"/>
      <c r="AU48" s="3056"/>
      <c r="AV48" s="3056"/>
      <c r="AW48" s="3056"/>
      <c r="AX48" s="3056"/>
      <c r="AY48" s="3056"/>
      <c r="AZ48" s="3056"/>
      <c r="BA48" s="3056"/>
      <c r="BB48" s="3056"/>
      <c r="BC48" s="3056"/>
      <c r="BD48" s="3056"/>
      <c r="BE48" s="3056"/>
      <c r="BF48" s="3056"/>
      <c r="BG48" s="3056"/>
      <c r="BH48" s="3056"/>
      <c r="BI48" s="3057"/>
      <c r="BL48" s="272" t="e">
        <f>IF(BR48=0,"",SUM(BR48:BR$55))</f>
        <v>#DIV/0!</v>
      </c>
      <c r="BM48" s="269" t="e">
        <f t="shared" si="0"/>
        <v>#DIV/0!</v>
      </c>
      <c r="BO48" s="160">
        <v>8</v>
      </c>
      <c r="BP48" s="233">
        <f>IF('Concr. Pg 1'!DE83="",BP49,'Concr. Pg 1'!DE83)</f>
        <v>0</v>
      </c>
      <c r="BQ48" s="234">
        <f>IF('Concr. Pg 1'!DI83="",BQ49,'Concr. Pg 1'!DI83)</f>
        <v>0</v>
      </c>
      <c r="BR48" s="223" t="e">
        <f t="shared" si="1"/>
        <v>#DIV/0!</v>
      </c>
      <c r="BS48" s="2983" t="e">
        <f t="shared" si="2"/>
        <v>#DIV/0!</v>
      </c>
      <c r="BT48" s="2984"/>
      <c r="BU48" s="2985"/>
      <c r="BV48" s="251" t="e">
        <f t="shared" si="3"/>
        <v>#DIV/0!</v>
      </c>
      <c r="BW48" s="225" t="e">
        <f t="shared" si="4"/>
        <v>#DIV/0!</v>
      </c>
      <c r="BX48" s="224">
        <f t="shared" si="5"/>
        <v>0</v>
      </c>
      <c r="BZ48" s="162">
        <f t="shared" si="6"/>
        <v>0</v>
      </c>
      <c r="CA48" s="162">
        <f t="shared" si="8"/>
        <v>0</v>
      </c>
      <c r="CC48" s="259" t="e">
        <f t="shared" si="7"/>
        <v>#DIV/0!</v>
      </c>
      <c r="CG48" s="279"/>
      <c r="CH48" s="339"/>
      <c r="CI48" s="339"/>
      <c r="CJ48" s="174"/>
      <c r="CK48" s="339"/>
      <c r="CL48" s="339"/>
      <c r="CM48" s="174"/>
      <c r="CN48" s="174"/>
      <c r="CP48" s="296"/>
      <c r="CQ48" s="304" t="e">
        <f>IF($CV$41=1,CQ28,IF($CV$41=2,CV28,IF($CV$41=3,DA28,IF($CV$41=4,DF28,IF($CV$41=5,DK28,DK28)))))</f>
        <v>#DIV/0!</v>
      </c>
      <c r="CR48" s="304" t="e">
        <f>IF($CV$41=1,CR28,IF($CV$41=2,CW28,IF($CV$41=3,DB28,IF($CV$41=4,DG28,IF($CV$41=5,DL28,DL28)))))</f>
        <v>#DIV/0!</v>
      </c>
      <c r="CS48" s="298"/>
      <c r="CT48" s="319" t="s">
        <v>183</v>
      </c>
      <c r="CU48" s="1127" t="str">
        <f>CONCATENATE("Theor. Uncased   ( Dia. = ",'Concr. Pg 1'!L25," ",CX48," )")</f>
        <v>Theor. Uncased   ( Dia. =  ft )</v>
      </c>
      <c r="CV48" s="389"/>
      <c r="CW48" s="390"/>
      <c r="CX48" s="1128" t="str">
        <f>IF('Concr. Pg 1'!Q25="*(in)","in","ft")</f>
        <v>ft</v>
      </c>
      <c r="CY48" s="287" t="s">
        <v>175</v>
      </c>
      <c r="CZ48" s="3007" t="s">
        <v>354</v>
      </c>
      <c r="DA48" s="3007"/>
      <c r="DB48" s="286" t="s">
        <v>175</v>
      </c>
      <c r="DC48" s="3007" t="s">
        <v>354</v>
      </c>
      <c r="DD48" s="3007"/>
      <c r="DE48" s="289" t="s">
        <v>175</v>
      </c>
      <c r="DF48" s="3007" t="s">
        <v>354</v>
      </c>
      <c r="DG48" s="3007"/>
      <c r="DH48" s="289" t="s">
        <v>175</v>
      </c>
      <c r="DI48" s="3007" t="s">
        <v>354</v>
      </c>
      <c r="DJ48" s="3007"/>
      <c r="DK48" s="289" t="s">
        <v>352</v>
      </c>
      <c r="DL48" s="3007" t="s">
        <v>357</v>
      </c>
      <c r="DM48" s="3007"/>
    </row>
    <row r="49" spans="2:117" ht="12.9" customHeight="1">
      <c r="B49" s="3061"/>
      <c r="C49" s="3056"/>
      <c r="D49" s="3056"/>
      <c r="E49" s="3056"/>
      <c r="F49" s="3056"/>
      <c r="G49" s="3056"/>
      <c r="H49" s="3056"/>
      <c r="I49" s="3056"/>
      <c r="J49" s="3056"/>
      <c r="K49" s="3056"/>
      <c r="L49" s="3056"/>
      <c r="M49" s="3056"/>
      <c r="N49" s="3056"/>
      <c r="O49" s="3056"/>
      <c r="P49" s="3056"/>
      <c r="Q49" s="3056"/>
      <c r="R49" s="3056"/>
      <c r="S49" s="3056"/>
      <c r="T49" s="3056"/>
      <c r="U49" s="3056"/>
      <c r="V49" s="3056"/>
      <c r="W49" s="3056"/>
      <c r="X49" s="3056"/>
      <c r="Y49" s="3056"/>
      <c r="Z49" s="3056"/>
      <c r="AA49" s="3056"/>
      <c r="AB49" s="3056"/>
      <c r="AC49" s="3056"/>
      <c r="AD49" s="3056"/>
      <c r="AE49" s="3056"/>
      <c r="AF49" s="3056"/>
      <c r="AG49" s="3056"/>
      <c r="AH49" s="3056"/>
      <c r="AI49" s="3056"/>
      <c r="AJ49" s="3056"/>
      <c r="AK49" s="3056"/>
      <c r="AL49" s="3056"/>
      <c r="AM49" s="3056"/>
      <c r="AN49" s="3056"/>
      <c r="AO49" s="3056"/>
      <c r="AP49" s="3056"/>
      <c r="AQ49" s="3056"/>
      <c r="AR49" s="3056"/>
      <c r="AS49" s="3056"/>
      <c r="AT49" s="3056"/>
      <c r="AU49" s="3056"/>
      <c r="AV49" s="3056"/>
      <c r="AW49" s="3056"/>
      <c r="AX49" s="3056"/>
      <c r="AY49" s="3056"/>
      <c r="AZ49" s="3056"/>
      <c r="BA49" s="3056"/>
      <c r="BB49" s="3056"/>
      <c r="BC49" s="3056"/>
      <c r="BD49" s="3056"/>
      <c r="BE49" s="3056"/>
      <c r="BF49" s="3056"/>
      <c r="BG49" s="3056"/>
      <c r="BH49" s="3056"/>
      <c r="BI49" s="3057"/>
      <c r="BL49" s="272" t="e">
        <f>IF(BR49=0,"",SUM(BR49:BR$55))</f>
        <v>#DIV/0!</v>
      </c>
      <c r="BM49" s="269" t="e">
        <f t="shared" si="0"/>
        <v>#DIV/0!</v>
      </c>
      <c r="BO49" s="160">
        <v>7</v>
      </c>
      <c r="BP49" s="233">
        <f>IF('Concr. Pg 1'!DE79="",BP50,'Concr. Pg 1'!DE79)</f>
        <v>0</v>
      </c>
      <c r="BQ49" s="234">
        <f>IF('Concr. Pg 1'!DI79="",BQ50,'Concr. Pg 1'!DI79)</f>
        <v>0</v>
      </c>
      <c r="BR49" s="223" t="e">
        <f t="shared" si="1"/>
        <v>#DIV/0!</v>
      </c>
      <c r="BS49" s="2983" t="e">
        <f t="shared" si="2"/>
        <v>#DIV/0!</v>
      </c>
      <c r="BT49" s="2984"/>
      <c r="BU49" s="2985"/>
      <c r="BV49" s="251" t="e">
        <f t="shared" si="3"/>
        <v>#DIV/0!</v>
      </c>
      <c r="BW49" s="225" t="e">
        <f t="shared" si="4"/>
        <v>#DIV/0!</v>
      </c>
      <c r="BX49" s="224">
        <f t="shared" si="5"/>
        <v>0</v>
      </c>
      <c r="BZ49" s="162">
        <f t="shared" si="6"/>
        <v>0</v>
      </c>
      <c r="CA49" s="162">
        <f t="shared" si="8"/>
        <v>0</v>
      </c>
      <c r="CC49" s="259" t="e">
        <f t="shared" si="7"/>
        <v>#DIV/0!</v>
      </c>
      <c r="CH49" s="338"/>
      <c r="CI49" s="338"/>
      <c r="CJ49" s="338"/>
      <c r="CK49" s="338"/>
      <c r="CL49" s="174"/>
      <c r="CM49" s="174"/>
      <c r="CN49" s="174"/>
      <c r="CP49" s="296"/>
      <c r="CQ49" s="304" t="e">
        <f>IF($CV$41=1,CQ29,IF($CV$41=2,CV29,IF($CV$41=3,DA29,IF($CV$41=4,DF29,IF($CV$41=5,DK29,DK29)))))</f>
        <v>#DIV/0!</v>
      </c>
      <c r="CR49" s="304" t="e">
        <f>IF($CV$41=1,CR29,IF($CV$41=2,CW29,IF($CV$41=3,DB29,IF($CV$41=4,DG29,IF($CV$41=5,DL29,DL29)))))</f>
        <v>#DIV/0!</v>
      </c>
      <c r="CS49" s="298"/>
      <c r="CT49" s="284"/>
      <c r="CU49" s="3137" t="s">
        <v>386</v>
      </c>
      <c r="CV49" s="3137"/>
      <c r="CW49" s="3137"/>
      <c r="CX49" s="278"/>
      <c r="CY49" s="287" t="s">
        <v>176</v>
      </c>
      <c r="CZ49" s="3007" t="s">
        <v>355</v>
      </c>
      <c r="DA49" s="3007"/>
      <c r="DB49" s="286" t="s">
        <v>176</v>
      </c>
      <c r="DC49" s="3007" t="s">
        <v>355</v>
      </c>
      <c r="DD49" s="3007"/>
      <c r="DE49" s="289" t="s">
        <v>351</v>
      </c>
      <c r="DF49" s="3007" t="s">
        <v>356</v>
      </c>
      <c r="DG49" s="3007"/>
      <c r="DH49" s="289" t="s">
        <v>351</v>
      </c>
      <c r="DI49" s="3007" t="s">
        <v>356</v>
      </c>
      <c r="DJ49" s="3007"/>
      <c r="DK49" s="289" t="s">
        <v>351</v>
      </c>
      <c r="DL49" s="3007" t="s">
        <v>356</v>
      </c>
      <c r="DM49" s="3007"/>
    </row>
    <row r="50" spans="2:117" ht="12.9" customHeight="1">
      <c r="B50" s="3061"/>
      <c r="C50" s="3056"/>
      <c r="D50" s="3056"/>
      <c r="E50" s="3056"/>
      <c r="F50" s="3056"/>
      <c r="G50" s="3056"/>
      <c r="H50" s="3056"/>
      <c r="I50" s="3056"/>
      <c r="J50" s="3056"/>
      <c r="K50" s="3056"/>
      <c r="L50" s="3056"/>
      <c r="M50" s="3056"/>
      <c r="N50" s="3056"/>
      <c r="O50" s="3056"/>
      <c r="P50" s="3056"/>
      <c r="Q50" s="3056"/>
      <c r="R50" s="3056"/>
      <c r="S50" s="3056"/>
      <c r="T50" s="3056"/>
      <c r="U50" s="3056"/>
      <c r="V50" s="3056"/>
      <c r="W50" s="3056"/>
      <c r="X50" s="3056"/>
      <c r="Y50" s="3056"/>
      <c r="Z50" s="3056"/>
      <c r="AA50" s="3056"/>
      <c r="AB50" s="3056"/>
      <c r="AC50" s="3056"/>
      <c r="AD50" s="3056"/>
      <c r="AE50" s="3056"/>
      <c r="AF50" s="3056"/>
      <c r="AG50" s="3056"/>
      <c r="AH50" s="3056"/>
      <c r="AI50" s="3056"/>
      <c r="AJ50" s="3056"/>
      <c r="AK50" s="3056"/>
      <c r="AL50" s="3056"/>
      <c r="AM50" s="3056"/>
      <c r="AN50" s="3056"/>
      <c r="AO50" s="3056"/>
      <c r="AP50" s="3056"/>
      <c r="AQ50" s="3056"/>
      <c r="AR50" s="3056"/>
      <c r="AS50" s="3056"/>
      <c r="AT50" s="3056"/>
      <c r="AU50" s="3056"/>
      <c r="AV50" s="3056"/>
      <c r="AW50" s="3056"/>
      <c r="AX50" s="3056"/>
      <c r="AY50" s="3056"/>
      <c r="AZ50" s="3056"/>
      <c r="BA50" s="3056"/>
      <c r="BB50" s="3056"/>
      <c r="BC50" s="3056"/>
      <c r="BD50" s="3056"/>
      <c r="BE50" s="3056"/>
      <c r="BF50" s="3056"/>
      <c r="BG50" s="3056"/>
      <c r="BH50" s="3056"/>
      <c r="BI50" s="3057"/>
      <c r="BL50" s="272" t="e">
        <f>IF(BR50=0,"",SUM(BR50:BR$55))</f>
        <v>#DIV/0!</v>
      </c>
      <c r="BM50" s="269" t="e">
        <f t="shared" si="0"/>
        <v>#DIV/0!</v>
      </c>
      <c r="BO50" s="160">
        <v>6</v>
      </c>
      <c r="BP50" s="233">
        <f>IF('Concr. Pg 1'!DE75="",BP51,'Concr. Pg 1'!DE75)</f>
        <v>0</v>
      </c>
      <c r="BQ50" s="234">
        <f>IF('Concr. Pg 1'!DI75="",BQ51,'Concr. Pg 1'!DI75)</f>
        <v>0</v>
      </c>
      <c r="BR50" s="223" t="e">
        <f t="shared" si="1"/>
        <v>#DIV/0!</v>
      </c>
      <c r="BS50" s="2983" t="e">
        <f t="shared" si="2"/>
        <v>#DIV/0!</v>
      </c>
      <c r="BT50" s="2984"/>
      <c r="BU50" s="2985"/>
      <c r="BV50" s="251" t="e">
        <f t="shared" si="3"/>
        <v>#DIV/0!</v>
      </c>
      <c r="BW50" s="225" t="e">
        <f t="shared" si="4"/>
        <v>#DIV/0!</v>
      </c>
      <c r="BX50" s="224">
        <f t="shared" si="5"/>
        <v>0</v>
      </c>
      <c r="BZ50" s="162">
        <f t="shared" si="6"/>
        <v>0</v>
      </c>
      <c r="CA50" s="162">
        <f t="shared" si="8"/>
        <v>0</v>
      </c>
      <c r="CC50" s="259" t="e">
        <f t="shared" si="7"/>
        <v>#DIV/0!</v>
      </c>
      <c r="CH50" s="338"/>
      <c r="CI50" s="338"/>
      <c r="CJ50" s="338"/>
      <c r="CK50" s="338"/>
      <c r="CL50" s="174"/>
      <c r="CM50" s="174"/>
      <c r="CN50" s="174"/>
      <c r="CP50" s="296"/>
      <c r="CQ50" s="164"/>
      <c r="CR50" s="164"/>
      <c r="CS50" s="298"/>
      <c r="CT50" s="284"/>
      <c r="CU50" s="3138"/>
      <c r="CV50" s="3138"/>
      <c r="CW50" s="3138"/>
      <c r="CX50" s="278"/>
      <c r="CY50" s="287" t="s">
        <v>346</v>
      </c>
      <c r="CZ50" s="3007" t="s">
        <v>365</v>
      </c>
      <c r="DA50" s="3007"/>
      <c r="DB50" s="286" t="s">
        <v>347</v>
      </c>
      <c r="DC50" s="3007" t="s">
        <v>366</v>
      </c>
      <c r="DD50" s="3007"/>
      <c r="DE50" s="289" t="s">
        <v>349</v>
      </c>
      <c r="DF50" s="3007" t="s">
        <v>367</v>
      </c>
      <c r="DG50" s="3007"/>
      <c r="DH50" s="289" t="s">
        <v>350</v>
      </c>
      <c r="DI50" s="3007" t="s">
        <v>368</v>
      </c>
      <c r="DJ50" s="3007"/>
    </row>
    <row r="51" spans="2:117" ht="12.9" customHeight="1">
      <c r="B51" s="3061"/>
      <c r="C51" s="3056"/>
      <c r="D51" s="3056"/>
      <c r="E51" s="3056"/>
      <c r="F51" s="3056"/>
      <c r="G51" s="3056"/>
      <c r="H51" s="3056"/>
      <c r="I51" s="3056"/>
      <c r="J51" s="3056"/>
      <c r="K51" s="3056"/>
      <c r="L51" s="3056"/>
      <c r="M51" s="3056"/>
      <c r="N51" s="3056"/>
      <c r="O51" s="3056"/>
      <c r="P51" s="3056"/>
      <c r="Q51" s="3056"/>
      <c r="R51" s="3056"/>
      <c r="S51" s="3056"/>
      <c r="T51" s="3056"/>
      <c r="U51" s="3056"/>
      <c r="V51" s="3056"/>
      <c r="W51" s="3056"/>
      <c r="X51" s="3056"/>
      <c r="Y51" s="3056"/>
      <c r="Z51" s="3056"/>
      <c r="AA51" s="3056"/>
      <c r="AB51" s="3056"/>
      <c r="AC51" s="3056"/>
      <c r="AD51" s="3056"/>
      <c r="AE51" s="3056"/>
      <c r="AF51" s="3056"/>
      <c r="AG51" s="3056"/>
      <c r="AH51" s="3056"/>
      <c r="AI51" s="3056"/>
      <c r="AJ51" s="3056"/>
      <c r="AK51" s="3056"/>
      <c r="AL51" s="3056"/>
      <c r="AM51" s="3056"/>
      <c r="AN51" s="3056"/>
      <c r="AO51" s="3056"/>
      <c r="AP51" s="3056"/>
      <c r="AQ51" s="3056"/>
      <c r="AR51" s="3056"/>
      <c r="AS51" s="3056"/>
      <c r="AT51" s="3056"/>
      <c r="AU51" s="3056"/>
      <c r="AV51" s="3056"/>
      <c r="AW51" s="3056"/>
      <c r="AX51" s="3056"/>
      <c r="AY51" s="3056"/>
      <c r="AZ51" s="3056"/>
      <c r="BA51" s="3056"/>
      <c r="BB51" s="3056"/>
      <c r="BC51" s="3056"/>
      <c r="BD51" s="3056"/>
      <c r="BE51" s="3056"/>
      <c r="BF51" s="3056"/>
      <c r="BG51" s="3056"/>
      <c r="BH51" s="3056"/>
      <c r="BI51" s="3057"/>
      <c r="BL51" s="272" t="e">
        <f>IF(BR51=0,"",SUM(BR51:BR$55))</f>
        <v>#DIV/0!</v>
      </c>
      <c r="BM51" s="269" t="e">
        <f t="shared" si="0"/>
        <v>#DIV/0!</v>
      </c>
      <c r="BO51" s="205" t="s">
        <v>306</v>
      </c>
      <c r="BP51" s="233">
        <f>IF('Concr. Pg 1'!DE71="",BP52,'Concr. Pg 1'!DE71)</f>
        <v>0</v>
      </c>
      <c r="BQ51" s="234">
        <f>IF('Concr. Pg 1'!DI71="",BQ52,'Concr. Pg 1'!DI71)</f>
        <v>0</v>
      </c>
      <c r="BR51" s="223" t="e">
        <f t="shared" si="1"/>
        <v>#DIV/0!</v>
      </c>
      <c r="BS51" s="2983" t="e">
        <f t="shared" si="2"/>
        <v>#DIV/0!</v>
      </c>
      <c r="BT51" s="2984"/>
      <c r="BU51" s="2985"/>
      <c r="BV51" s="251" t="e">
        <f t="shared" si="3"/>
        <v>#DIV/0!</v>
      </c>
      <c r="BW51" s="225" t="e">
        <f t="shared" si="4"/>
        <v>#DIV/0!</v>
      </c>
      <c r="BX51" s="224">
        <f t="shared" si="5"/>
        <v>0</v>
      </c>
      <c r="BZ51" s="162">
        <f t="shared" si="6"/>
        <v>0</v>
      </c>
      <c r="CA51" s="162">
        <f t="shared" si="8"/>
        <v>0</v>
      </c>
      <c r="CC51" s="259" t="e">
        <f t="shared" si="7"/>
        <v>#DIV/0!</v>
      </c>
      <c r="CH51" s="338"/>
      <c r="CI51" s="338"/>
      <c r="CJ51" s="338"/>
      <c r="CK51" s="338"/>
      <c r="CL51" s="174"/>
      <c r="CM51" s="174"/>
      <c r="CN51" s="174"/>
      <c r="CP51" s="296"/>
      <c r="CQ51" s="2989" t="s">
        <v>175</v>
      </c>
      <c r="CR51" s="2990"/>
      <c r="CS51" s="298"/>
      <c r="CT51" s="284"/>
      <c r="CU51" s="3138"/>
      <c r="CV51" s="3138"/>
      <c r="CW51" s="3138"/>
    </row>
    <row r="52" spans="2:117" ht="12.9" customHeight="1">
      <c r="B52" s="3061"/>
      <c r="C52" s="3056"/>
      <c r="D52" s="3056"/>
      <c r="E52" s="3056"/>
      <c r="F52" s="3056"/>
      <c r="G52" s="3056"/>
      <c r="H52" s="3056"/>
      <c r="I52" s="3056"/>
      <c r="J52" s="3056"/>
      <c r="K52" s="3056"/>
      <c r="L52" s="3056"/>
      <c r="M52" s="3056"/>
      <c r="N52" s="3056"/>
      <c r="O52" s="3056"/>
      <c r="P52" s="3056"/>
      <c r="Q52" s="3056"/>
      <c r="R52" s="3056"/>
      <c r="S52" s="3056"/>
      <c r="T52" s="3056"/>
      <c r="U52" s="3056"/>
      <c r="V52" s="3056"/>
      <c r="W52" s="3056"/>
      <c r="X52" s="3056"/>
      <c r="Y52" s="3056"/>
      <c r="Z52" s="3056"/>
      <c r="AA52" s="3056"/>
      <c r="AB52" s="3056"/>
      <c r="AC52" s="3056"/>
      <c r="AD52" s="3056"/>
      <c r="AE52" s="3056"/>
      <c r="AF52" s="3056"/>
      <c r="AG52" s="3056"/>
      <c r="AH52" s="3056"/>
      <c r="AI52" s="3056"/>
      <c r="AJ52" s="3056"/>
      <c r="AK52" s="3056"/>
      <c r="AL52" s="3056"/>
      <c r="AM52" s="3056"/>
      <c r="AN52" s="3056"/>
      <c r="AO52" s="3056"/>
      <c r="AP52" s="3056"/>
      <c r="AQ52" s="3056"/>
      <c r="AR52" s="3056"/>
      <c r="AS52" s="3056"/>
      <c r="AT52" s="3056"/>
      <c r="AU52" s="3056"/>
      <c r="AV52" s="3056"/>
      <c r="AW52" s="3056"/>
      <c r="AX52" s="3056"/>
      <c r="AY52" s="3056"/>
      <c r="AZ52" s="3056"/>
      <c r="BA52" s="3056"/>
      <c r="BB52" s="3056"/>
      <c r="BC52" s="3056"/>
      <c r="BD52" s="3056"/>
      <c r="BE52" s="3056"/>
      <c r="BF52" s="3056"/>
      <c r="BG52" s="3056"/>
      <c r="BH52" s="3056"/>
      <c r="BI52" s="3057"/>
      <c r="BL52" s="272" t="e">
        <f>IF(BR52=0,"",SUM(BR52:BR$55))</f>
        <v>#DIV/0!</v>
      </c>
      <c r="BM52" s="269" t="e">
        <f>IF(BW52-BW53=0,"",SQRT(((BW52-BW53)*108)/(PI()*(BX52-BX53))))</f>
        <v>#DIV/0!</v>
      </c>
      <c r="BO52" s="205" t="s">
        <v>305</v>
      </c>
      <c r="BP52" s="233">
        <f>IF('Concr. Pg 1'!DE67="",BP53,'Concr. Pg 1'!DE67)</f>
        <v>0</v>
      </c>
      <c r="BQ52" s="234">
        <f>IF('Concr. Pg 1'!DI67="",BQ53,'Concr. Pg 1'!DI67)</f>
        <v>0</v>
      </c>
      <c r="BR52" s="223" t="e">
        <f t="shared" si="1"/>
        <v>#DIV/0!</v>
      </c>
      <c r="BS52" s="2983" t="e">
        <f t="shared" si="2"/>
        <v>#DIV/0!</v>
      </c>
      <c r="BT52" s="2984"/>
      <c r="BU52" s="2985"/>
      <c r="BV52" s="251" t="e">
        <f t="shared" si="3"/>
        <v>#DIV/0!</v>
      </c>
      <c r="BW52" s="225" t="e">
        <f t="shared" si="4"/>
        <v>#DIV/0!</v>
      </c>
      <c r="BX52" s="224">
        <f t="shared" si="5"/>
        <v>0</v>
      </c>
      <c r="BZ52" s="162">
        <f t="shared" si="6"/>
        <v>0</v>
      </c>
      <c r="CA52" s="162">
        <f t="shared" si="8"/>
        <v>0</v>
      </c>
      <c r="CC52" s="259" t="e">
        <f t="shared" si="7"/>
        <v>#DIV/0!</v>
      </c>
      <c r="CH52" s="338"/>
      <c r="CI52" s="338"/>
      <c r="CJ52" s="338"/>
      <c r="CK52" s="338"/>
      <c r="CP52" s="296"/>
      <c r="CQ52" s="304" t="e">
        <f>IF($CV$41=1,CQ32,IF($CV$41=2,CV32,IF($CV$41=3,DA32,IF($CV$41=4,DF32,IF($CV$41=5,DK32,DK32)))))</f>
        <v>#DIV/0!</v>
      </c>
      <c r="CR52" s="304" t="e">
        <f>IF($CV$41=1,CR32,IF($CV$41=2,CW32,IF($CV$41=3,DB32,IF($CV$41=4,DG32,IF($CV$41=5,DL32,DL32)))))</f>
        <v>#DIV/0!</v>
      </c>
      <c r="CS52" s="297"/>
      <c r="CU52" s="3138"/>
      <c r="CV52" s="3138"/>
      <c r="CW52" s="3138"/>
    </row>
    <row r="53" spans="2:117" ht="12.9" customHeight="1">
      <c r="B53" s="3061"/>
      <c r="C53" s="3056"/>
      <c r="D53" s="3056"/>
      <c r="E53" s="3056"/>
      <c r="F53" s="3056"/>
      <c r="G53" s="3056"/>
      <c r="H53" s="3056"/>
      <c r="I53" s="3056"/>
      <c r="J53" s="3056"/>
      <c r="K53" s="3056"/>
      <c r="L53" s="3056"/>
      <c r="M53" s="3056"/>
      <c r="N53" s="3056"/>
      <c r="O53" s="3056"/>
      <c r="P53" s="3056"/>
      <c r="Q53" s="3056"/>
      <c r="R53" s="3056"/>
      <c r="S53" s="3056"/>
      <c r="T53" s="3056"/>
      <c r="U53" s="3056"/>
      <c r="V53" s="3056"/>
      <c r="W53" s="3056"/>
      <c r="X53" s="3056"/>
      <c r="Y53" s="3056"/>
      <c r="Z53" s="3056"/>
      <c r="AA53" s="3056"/>
      <c r="AB53" s="3056"/>
      <c r="AC53" s="3056"/>
      <c r="AD53" s="3056"/>
      <c r="AE53" s="3056"/>
      <c r="AF53" s="3056"/>
      <c r="AG53" s="3056"/>
      <c r="AH53" s="3056"/>
      <c r="AI53" s="3056"/>
      <c r="AJ53" s="3056"/>
      <c r="AK53" s="3056"/>
      <c r="AL53" s="3056"/>
      <c r="AM53" s="3056"/>
      <c r="AN53" s="3056"/>
      <c r="AO53" s="3056"/>
      <c r="AP53" s="3056"/>
      <c r="AQ53" s="3056"/>
      <c r="AR53" s="3056"/>
      <c r="AS53" s="3056"/>
      <c r="AT53" s="3056"/>
      <c r="AU53" s="3056"/>
      <c r="AV53" s="3056"/>
      <c r="AW53" s="3056"/>
      <c r="AX53" s="3056"/>
      <c r="AY53" s="3056"/>
      <c r="AZ53" s="3056"/>
      <c r="BA53" s="3056"/>
      <c r="BB53" s="3056"/>
      <c r="BC53" s="3056"/>
      <c r="BD53" s="3056"/>
      <c r="BE53" s="3056"/>
      <c r="BF53" s="3056"/>
      <c r="BG53" s="3056"/>
      <c r="BH53" s="3056"/>
      <c r="BI53" s="3057"/>
      <c r="BL53" s="272" t="e">
        <f>IF(BR53=0,"",SUM(BR53:BR$55))</f>
        <v>#DIV/0!</v>
      </c>
      <c r="BM53" s="269" t="e">
        <f t="shared" si="0"/>
        <v>#DIV/0!</v>
      </c>
      <c r="BO53" s="205" t="s">
        <v>309</v>
      </c>
      <c r="BP53" s="233">
        <f>IF('Concr. Pg 1'!DE63="",BP54,'Concr. Pg 1'!DE63)</f>
        <v>0</v>
      </c>
      <c r="BQ53" s="234">
        <f>IF('Concr. Pg 1'!DI63="",BQ54,'Concr. Pg 1'!DI63)</f>
        <v>0</v>
      </c>
      <c r="BR53" s="223" t="e">
        <f t="shared" si="1"/>
        <v>#DIV/0!</v>
      </c>
      <c r="BS53" s="2983" t="e">
        <f t="shared" si="2"/>
        <v>#DIV/0!</v>
      </c>
      <c r="BT53" s="2984"/>
      <c r="BU53" s="2985"/>
      <c r="BV53" s="251" t="e">
        <f t="shared" si="3"/>
        <v>#DIV/0!</v>
      </c>
      <c r="BW53" s="225" t="e">
        <f t="shared" si="4"/>
        <v>#DIV/0!</v>
      </c>
      <c r="BX53" s="224">
        <f t="shared" si="5"/>
        <v>0</v>
      </c>
      <c r="BZ53" s="162">
        <f t="shared" si="6"/>
        <v>0</v>
      </c>
      <c r="CA53" s="162">
        <f t="shared" si="8"/>
        <v>0</v>
      </c>
      <c r="CC53" s="259" t="e">
        <f t="shared" si="7"/>
        <v>#DIV/0!</v>
      </c>
      <c r="CH53" s="338"/>
      <c r="CI53" s="338"/>
      <c r="CJ53" s="338"/>
      <c r="CK53" s="338"/>
      <c r="CP53" s="296"/>
      <c r="CQ53" s="304" t="e">
        <f>IF($CV$41=1,CQ33,IF($CV$41=2,CV33,IF($CV$41=3,DA33,IF($CV$41=4,DF33,IF($CV$41=5,DK33,DK33)))))</f>
        <v>#DIV/0!</v>
      </c>
      <c r="CR53" s="304" t="e">
        <f>IF($CV$41=1,CR33,IF($CV$41=2,CW33,IF($CV$41=3,DB33,IF($CV$41=4,DG33,IF($CV$41=5,DL33,DL33)))))</f>
        <v>#DIV/0!</v>
      </c>
      <c r="CS53" s="297"/>
      <c r="CT53" s="284"/>
      <c r="CU53" s="3138"/>
      <c r="CV53" s="3138"/>
      <c r="CW53" s="3138"/>
      <c r="CX53" s="289"/>
      <c r="CY53" s="289"/>
      <c r="CZ53" s="289"/>
      <c r="DA53" s="290"/>
      <c r="DB53" s="290"/>
      <c r="DC53" s="289"/>
      <c r="DD53" s="289"/>
    </row>
    <row r="54" spans="2:117" ht="12.9" customHeight="1">
      <c r="B54" s="3061"/>
      <c r="C54" s="3056"/>
      <c r="D54" s="3056"/>
      <c r="E54" s="3056"/>
      <c r="F54" s="3056"/>
      <c r="G54" s="3056"/>
      <c r="H54" s="3056"/>
      <c r="I54" s="3056"/>
      <c r="J54" s="3056"/>
      <c r="K54" s="3056"/>
      <c r="L54" s="3056"/>
      <c r="M54" s="3056"/>
      <c r="N54" s="3056"/>
      <c r="O54" s="3056"/>
      <c r="P54" s="3056"/>
      <c r="Q54" s="3056"/>
      <c r="R54" s="3056"/>
      <c r="S54" s="3056"/>
      <c r="T54" s="3056"/>
      <c r="U54" s="3056"/>
      <c r="V54" s="3056"/>
      <c r="W54" s="3056"/>
      <c r="X54" s="3056"/>
      <c r="Y54" s="3056"/>
      <c r="Z54" s="3056"/>
      <c r="AA54" s="3056"/>
      <c r="AB54" s="3056"/>
      <c r="AC54" s="3056"/>
      <c r="AD54" s="3056"/>
      <c r="AE54" s="3056"/>
      <c r="AF54" s="3056"/>
      <c r="AG54" s="3056"/>
      <c r="AH54" s="3056"/>
      <c r="AI54" s="3056"/>
      <c r="AJ54" s="3056"/>
      <c r="AK54" s="3056"/>
      <c r="AL54" s="3056"/>
      <c r="AM54" s="3056"/>
      <c r="AN54" s="3056"/>
      <c r="AO54" s="3056"/>
      <c r="AP54" s="3056"/>
      <c r="AQ54" s="3056"/>
      <c r="AR54" s="3056"/>
      <c r="AS54" s="3056"/>
      <c r="AT54" s="3056"/>
      <c r="AU54" s="3056"/>
      <c r="AV54" s="3056"/>
      <c r="AW54" s="3056"/>
      <c r="AX54" s="3056"/>
      <c r="AY54" s="3056"/>
      <c r="AZ54" s="3056"/>
      <c r="BA54" s="3056"/>
      <c r="BB54" s="3056"/>
      <c r="BC54" s="3056"/>
      <c r="BD54" s="3056"/>
      <c r="BE54" s="3056"/>
      <c r="BF54" s="3056"/>
      <c r="BG54" s="3056"/>
      <c r="BH54" s="3056"/>
      <c r="BI54" s="3057"/>
      <c r="BL54" s="272" t="e">
        <f>IF(BR54=0,"",SUM(BR54:BR$55))</f>
        <v>#DIV/0!</v>
      </c>
      <c r="BM54" s="269" t="e">
        <f t="shared" si="0"/>
        <v>#DIV/0!</v>
      </c>
      <c r="BO54" s="160">
        <v>2</v>
      </c>
      <c r="BP54" s="233">
        <f>IF('Concr. Pg 1'!DE59="",BP55,'Concr. Pg 1'!DE59)</f>
        <v>0</v>
      </c>
      <c r="BQ54" s="234">
        <f>IF('Concr. Pg 1'!DI59="",BQ55,'Concr. Pg 1'!DI59)</f>
        <v>0</v>
      </c>
      <c r="BR54" s="223" t="e">
        <f t="shared" si="1"/>
        <v>#DIV/0!</v>
      </c>
      <c r="BS54" s="2983" t="e">
        <f t="shared" si="2"/>
        <v>#DIV/0!</v>
      </c>
      <c r="BT54" s="2984"/>
      <c r="BU54" s="2985"/>
      <c r="BV54" s="251" t="e">
        <f t="shared" si="3"/>
        <v>#DIV/0!</v>
      </c>
      <c r="BW54" s="225" t="e">
        <f t="shared" si="4"/>
        <v>#DIV/0!</v>
      </c>
      <c r="BX54" s="224">
        <f t="shared" si="5"/>
        <v>0</v>
      </c>
      <c r="BZ54" s="162">
        <f t="shared" si="6"/>
        <v>0</v>
      </c>
      <c r="CA54" s="162">
        <f t="shared" si="8"/>
        <v>0</v>
      </c>
      <c r="CC54" s="259" t="e">
        <f t="shared" si="7"/>
        <v>#DIV/0!</v>
      </c>
      <c r="CH54" s="338"/>
      <c r="CI54" s="338"/>
      <c r="CJ54" s="338"/>
      <c r="CK54" s="338"/>
      <c r="CP54" s="296"/>
      <c r="CQ54" s="164"/>
      <c r="CR54" s="164"/>
      <c r="CS54" s="297"/>
      <c r="CT54" s="284"/>
    </row>
    <row r="55" spans="2:117" ht="12.9" customHeight="1">
      <c r="B55" s="3061"/>
      <c r="C55" s="3056"/>
      <c r="D55" s="3056"/>
      <c r="E55" s="3056"/>
      <c r="F55" s="3056"/>
      <c r="G55" s="3056"/>
      <c r="H55" s="3056"/>
      <c r="I55" s="3056"/>
      <c r="J55" s="3056"/>
      <c r="K55" s="3056"/>
      <c r="L55" s="3056"/>
      <c r="M55" s="3056"/>
      <c r="N55" s="3056"/>
      <c r="O55" s="3056"/>
      <c r="P55" s="3056"/>
      <c r="Q55" s="3056"/>
      <c r="R55" s="3056"/>
      <c r="S55" s="3056"/>
      <c r="T55" s="3056"/>
      <c r="U55" s="3056"/>
      <c r="V55" s="3056"/>
      <c r="W55" s="3056"/>
      <c r="X55" s="3056"/>
      <c r="Y55" s="3056"/>
      <c r="Z55" s="3056"/>
      <c r="AA55" s="3056"/>
      <c r="AB55" s="3056"/>
      <c r="AC55" s="3056"/>
      <c r="AD55" s="3056"/>
      <c r="AE55" s="3056"/>
      <c r="AF55" s="3056"/>
      <c r="AG55" s="3056"/>
      <c r="AH55" s="3056"/>
      <c r="AI55" s="3056"/>
      <c r="AJ55" s="3056"/>
      <c r="AK55" s="3056"/>
      <c r="AL55" s="3056"/>
      <c r="AM55" s="3056"/>
      <c r="AN55" s="3056"/>
      <c r="AO55" s="3056"/>
      <c r="AP55" s="3056"/>
      <c r="AQ55" s="3056"/>
      <c r="AR55" s="3056"/>
      <c r="AS55" s="3056"/>
      <c r="AT55" s="3056"/>
      <c r="AU55" s="3056"/>
      <c r="AV55" s="3056"/>
      <c r="AW55" s="3056"/>
      <c r="AX55" s="3056"/>
      <c r="AY55" s="3056"/>
      <c r="AZ55" s="3056"/>
      <c r="BA55" s="3056"/>
      <c r="BB55" s="3056"/>
      <c r="BC55" s="3056"/>
      <c r="BD55" s="3056"/>
      <c r="BE55" s="3056"/>
      <c r="BF55" s="3056"/>
      <c r="BG55" s="3056"/>
      <c r="BH55" s="3056"/>
      <c r="BI55" s="3057"/>
      <c r="BL55" s="273" t="e">
        <f>IF(BR55=0,"",SUM(BR55:BR$55))</f>
        <v>#DIV/0!</v>
      </c>
      <c r="BM55" s="270" t="e">
        <f>IF(BW55-BW56=0,"",SQRT(((BW55-BW56)*108)/(PI()*(BX55-BX56))))</f>
        <v>#DIV/0!</v>
      </c>
      <c r="BO55" s="160">
        <v>1</v>
      </c>
      <c r="BP55" s="233">
        <f>IF('Concr. Pg 1'!DE55="",BP56,'Concr. Pg 1'!DE55)</f>
        <v>0</v>
      </c>
      <c r="BQ55" s="234">
        <f>IF('Concr. Pg 1'!DI55="",BQ56,'Concr. Pg 1'!DI55)</f>
        <v>0</v>
      </c>
      <c r="BR55" s="223" t="e">
        <f t="shared" si="1"/>
        <v>#DIV/0!</v>
      </c>
      <c r="BS55" s="2983" t="e">
        <f t="shared" si="2"/>
        <v>#DIV/0!</v>
      </c>
      <c r="BT55" s="2984"/>
      <c r="BU55" s="2985"/>
      <c r="BV55" s="252" t="e">
        <f t="shared" si="3"/>
        <v>#DIV/0!</v>
      </c>
      <c r="BW55" s="225" t="e">
        <f t="shared" si="4"/>
        <v>#DIV/0!</v>
      </c>
      <c r="BX55" s="224">
        <f t="shared" si="5"/>
        <v>0</v>
      </c>
      <c r="BZ55" s="162">
        <f t="shared" si="6"/>
        <v>0</v>
      </c>
      <c r="CA55" s="162">
        <f t="shared" si="8"/>
        <v>0</v>
      </c>
      <c r="CC55" s="259" t="e">
        <f t="shared" si="7"/>
        <v>#DIV/0!</v>
      </c>
      <c r="CH55" s="338"/>
      <c r="CI55" s="338"/>
      <c r="CJ55" s="338"/>
      <c r="CK55" s="338"/>
      <c r="CP55" s="296"/>
      <c r="CQ55" s="2989" t="s">
        <v>183</v>
      </c>
      <c r="CR55" s="2990"/>
      <c r="CS55" s="297"/>
      <c r="CT55" s="284"/>
      <c r="CU55" s="3052" t="s">
        <v>388</v>
      </c>
      <c r="CV55" s="3052"/>
      <c r="CW55" s="3052"/>
    </row>
    <row r="56" spans="2:117" ht="12.9" customHeight="1" thickBot="1">
      <c r="B56" s="3061"/>
      <c r="C56" s="3056"/>
      <c r="D56" s="3056"/>
      <c r="E56" s="3056"/>
      <c r="F56" s="3056"/>
      <c r="G56" s="3056"/>
      <c r="H56" s="3056"/>
      <c r="I56" s="3056"/>
      <c r="J56" s="3056"/>
      <c r="K56" s="3056"/>
      <c r="L56" s="3056"/>
      <c r="M56" s="3056"/>
      <c r="N56" s="3056"/>
      <c r="O56" s="3056"/>
      <c r="P56" s="3056"/>
      <c r="Q56" s="3056"/>
      <c r="R56" s="3056"/>
      <c r="S56" s="3056"/>
      <c r="T56" s="3056"/>
      <c r="U56" s="3056"/>
      <c r="V56" s="3056"/>
      <c r="W56" s="3056"/>
      <c r="X56" s="3056"/>
      <c r="Y56" s="3056"/>
      <c r="Z56" s="3056"/>
      <c r="AA56" s="3056"/>
      <c r="AB56" s="3056"/>
      <c r="AC56" s="3056"/>
      <c r="AD56" s="3056"/>
      <c r="AE56" s="3056"/>
      <c r="AF56" s="3056"/>
      <c r="AG56" s="3056"/>
      <c r="AH56" s="3056"/>
      <c r="AI56" s="3056"/>
      <c r="AJ56" s="3056"/>
      <c r="AK56" s="3056"/>
      <c r="AL56" s="3056"/>
      <c r="AM56" s="3056"/>
      <c r="AN56" s="3056"/>
      <c r="AO56" s="3056"/>
      <c r="AP56" s="3056"/>
      <c r="AQ56" s="3056"/>
      <c r="AR56" s="3056"/>
      <c r="AS56" s="3056"/>
      <c r="AT56" s="3056"/>
      <c r="AU56" s="3056"/>
      <c r="AV56" s="3056"/>
      <c r="AW56" s="3056"/>
      <c r="AX56" s="3056"/>
      <c r="AY56" s="3056"/>
      <c r="AZ56" s="3056"/>
      <c r="BA56" s="3056"/>
      <c r="BB56" s="3056"/>
      <c r="BC56" s="3056"/>
      <c r="BD56" s="3056"/>
      <c r="BE56" s="3056"/>
      <c r="BF56" s="3056"/>
      <c r="BG56" s="3056"/>
      <c r="BH56" s="3056"/>
      <c r="BI56" s="3057"/>
      <c r="BL56" s="258" t="s">
        <v>34</v>
      </c>
      <c r="BM56" s="258" t="s">
        <v>312</v>
      </c>
      <c r="BO56" s="253" t="s">
        <v>59</v>
      </c>
      <c r="BP56" s="235">
        <v>0</v>
      </c>
      <c r="BQ56" s="236">
        <v>0</v>
      </c>
      <c r="BR56" s="206"/>
      <c r="BS56" s="3086" t="s">
        <v>397</v>
      </c>
      <c r="BT56" s="3086"/>
      <c r="BU56" s="3086"/>
      <c r="BV56" s="226" t="str">
        <f t="shared" si="3"/>
        <v/>
      </c>
      <c r="BW56" s="162">
        <f>BP56</f>
        <v>0</v>
      </c>
      <c r="BX56" s="224">
        <f t="shared" si="5"/>
        <v>0</v>
      </c>
      <c r="BZ56" s="162">
        <f t="shared" si="6"/>
        <v>0</v>
      </c>
      <c r="CA56" s="162">
        <f t="shared" si="8"/>
        <v>0</v>
      </c>
      <c r="CC56" s="267"/>
      <c r="CD56" s="191"/>
      <c r="CE56" s="352"/>
      <c r="CH56" s="338"/>
      <c r="CI56" s="338"/>
      <c r="CJ56" s="338"/>
      <c r="CK56" s="338"/>
      <c r="CP56" s="296"/>
      <c r="CQ56" s="304" t="e">
        <f>IF($CV$41=1,CQ36,IF($CV$41=2,CV36,IF($CV$41=3,DA36,IF($CV$41=4,DF36,IF($CV$41=5,DK36,DK36)))))</f>
        <v>#DIV/0!</v>
      </c>
      <c r="CR56" s="304">
        <f>IF($CV$41=1,CR36,IF($CV$41=2,CW36,IF($CV$41=3,DB36,IF($CV$41=4,DG36,IF($CV$41=5,DL36,DL36)))))</f>
        <v>0</v>
      </c>
      <c r="CS56" s="297"/>
      <c r="CT56" s="284"/>
      <c r="CU56" s="353" t="s">
        <v>188</v>
      </c>
      <c r="CV56" s="354"/>
      <c r="CW56" s="355"/>
    </row>
    <row r="57" spans="2:117" ht="12.9" customHeight="1">
      <c r="B57" s="3061"/>
      <c r="C57" s="3056"/>
      <c r="D57" s="3056"/>
      <c r="E57" s="3056"/>
      <c r="F57" s="3056"/>
      <c r="G57" s="3056"/>
      <c r="H57" s="3056"/>
      <c r="I57" s="3056"/>
      <c r="J57" s="3056"/>
      <c r="K57" s="3056"/>
      <c r="L57" s="3056"/>
      <c r="M57" s="3056"/>
      <c r="N57" s="3056"/>
      <c r="O57" s="3056"/>
      <c r="P57" s="3056"/>
      <c r="Q57" s="3056"/>
      <c r="R57" s="3056"/>
      <c r="S57" s="3056"/>
      <c r="T57" s="3056"/>
      <c r="U57" s="3056"/>
      <c r="V57" s="3056"/>
      <c r="W57" s="3056"/>
      <c r="X57" s="3056"/>
      <c r="Y57" s="3056"/>
      <c r="Z57" s="3056"/>
      <c r="AA57" s="3056"/>
      <c r="AB57" s="3056"/>
      <c r="AC57" s="3056"/>
      <c r="AD57" s="3056"/>
      <c r="AE57" s="3056"/>
      <c r="AF57" s="3056"/>
      <c r="AG57" s="3056"/>
      <c r="AH57" s="3056"/>
      <c r="AI57" s="3056"/>
      <c r="AJ57" s="3056"/>
      <c r="AK57" s="3056"/>
      <c r="AL57" s="3056"/>
      <c r="AM57" s="3056"/>
      <c r="AN57" s="3056"/>
      <c r="AO57" s="3056"/>
      <c r="AP57" s="3056"/>
      <c r="AQ57" s="3056"/>
      <c r="AR57" s="3056"/>
      <c r="AS57" s="3056"/>
      <c r="AT57" s="3056"/>
      <c r="AU57" s="3056"/>
      <c r="AV57" s="3056"/>
      <c r="AW57" s="3056"/>
      <c r="AX57" s="3056"/>
      <c r="AY57" s="3056"/>
      <c r="AZ57" s="3056"/>
      <c r="BA57" s="3056"/>
      <c r="BB57" s="3056"/>
      <c r="BC57" s="3056"/>
      <c r="BD57" s="3056"/>
      <c r="BE57" s="3056"/>
      <c r="BF57" s="3056"/>
      <c r="BG57" s="3056"/>
      <c r="BH57" s="3056"/>
      <c r="BI57" s="3057"/>
      <c r="BL57" s="255" t="s">
        <v>275</v>
      </c>
      <c r="BM57" s="255" t="s">
        <v>313</v>
      </c>
      <c r="BR57" s="206"/>
      <c r="BS57" s="3009" t="s">
        <v>395</v>
      </c>
      <c r="BT57" s="3009"/>
      <c r="BU57" s="3009"/>
      <c r="BV57" s="3009"/>
      <c r="CH57" s="338"/>
      <c r="CI57" s="338"/>
      <c r="CJ57" s="338"/>
      <c r="CK57" s="338"/>
      <c r="CP57" s="296"/>
      <c r="CQ57" s="304">
        <f>IF($CV$41=1,CQ37,IF($CV$41=2,CV37,IF($CV$41=3,DA37,IF($CV$41=4,DF37,IF($CV$41=5,DK37,DK37)))))</f>
        <v>0</v>
      </c>
      <c r="CR57" s="304">
        <f>IF($CV$41=1,CR37,IF($CV$41=2,CW37,IF($CV$41=3,DB37,IF($CV$41=4,DG37,IF($CV$41=5,DL37,DL37)))))</f>
        <v>0</v>
      </c>
      <c r="CS57" s="297"/>
      <c r="CT57" s="284"/>
    </row>
    <row r="58" spans="2:117" ht="12.9" customHeight="1" thickBot="1">
      <c r="B58" s="3061"/>
      <c r="C58" s="3056"/>
      <c r="D58" s="3056"/>
      <c r="E58" s="3056"/>
      <c r="F58" s="3056"/>
      <c r="G58" s="3056"/>
      <c r="H58" s="3056"/>
      <c r="I58" s="3056"/>
      <c r="J58" s="3056"/>
      <c r="K58" s="3056"/>
      <c r="L58" s="3056"/>
      <c r="M58" s="3056"/>
      <c r="N58" s="3056"/>
      <c r="O58" s="3056"/>
      <c r="P58" s="3056"/>
      <c r="Q58" s="3056"/>
      <c r="R58" s="3056"/>
      <c r="S58" s="3056"/>
      <c r="T58" s="3056"/>
      <c r="U58" s="3056"/>
      <c r="V58" s="3056"/>
      <c r="W58" s="3056"/>
      <c r="X58" s="3056"/>
      <c r="Y58" s="3056"/>
      <c r="Z58" s="3056"/>
      <c r="AA58" s="3056"/>
      <c r="AB58" s="3056"/>
      <c r="AC58" s="3056"/>
      <c r="AD58" s="3056"/>
      <c r="AE58" s="3056"/>
      <c r="AF58" s="3056"/>
      <c r="AG58" s="3056"/>
      <c r="AH58" s="3056"/>
      <c r="AI58" s="3056"/>
      <c r="AJ58" s="3056"/>
      <c r="AK58" s="3056"/>
      <c r="AL58" s="3056"/>
      <c r="AM58" s="3056"/>
      <c r="AN58" s="3056"/>
      <c r="AO58" s="3056"/>
      <c r="AP58" s="3056"/>
      <c r="AQ58" s="3056"/>
      <c r="AR58" s="3056"/>
      <c r="AS58" s="3056"/>
      <c r="AT58" s="3056"/>
      <c r="AU58" s="3056"/>
      <c r="AV58" s="3056"/>
      <c r="AW58" s="3056"/>
      <c r="AX58" s="3056"/>
      <c r="AY58" s="3056"/>
      <c r="AZ58" s="3056"/>
      <c r="BA58" s="3056"/>
      <c r="BB58" s="3056"/>
      <c r="BC58" s="3056"/>
      <c r="BD58" s="3056"/>
      <c r="BE58" s="3056"/>
      <c r="BF58" s="3056"/>
      <c r="BG58" s="3056"/>
      <c r="BH58" s="3056"/>
      <c r="BI58" s="3057"/>
      <c r="BL58" s="256" t="s">
        <v>274</v>
      </c>
      <c r="BM58" s="257" t="s">
        <v>246</v>
      </c>
      <c r="BR58" s="207"/>
      <c r="CH58" s="338"/>
      <c r="CI58" s="338"/>
      <c r="CJ58" s="338"/>
      <c r="CK58" s="338"/>
      <c r="CP58" s="299"/>
      <c r="CQ58" s="192"/>
      <c r="CR58" s="192"/>
      <c r="CS58" s="300"/>
      <c r="CT58" s="284"/>
      <c r="CU58" s="163">
        <v>1</v>
      </c>
      <c r="CV58" s="163">
        <v>2</v>
      </c>
      <c r="CW58" s="163">
        <v>3</v>
      </c>
      <c r="CX58" s="163">
        <v>4</v>
      </c>
      <c r="CY58" s="163">
        <v>5</v>
      </c>
    </row>
    <row r="59" spans="2:117" ht="12.9" customHeight="1">
      <c r="B59" s="3061"/>
      <c r="C59" s="3056"/>
      <c r="D59" s="3056"/>
      <c r="E59" s="3056"/>
      <c r="F59" s="3056"/>
      <c r="G59" s="3056"/>
      <c r="H59" s="3056"/>
      <c r="I59" s="3056"/>
      <c r="J59" s="3056"/>
      <c r="K59" s="3056"/>
      <c r="L59" s="3056"/>
      <c r="M59" s="3056"/>
      <c r="N59" s="3056"/>
      <c r="O59" s="3056"/>
      <c r="P59" s="3056"/>
      <c r="Q59" s="3056"/>
      <c r="R59" s="3056"/>
      <c r="S59" s="3056"/>
      <c r="T59" s="3056"/>
      <c r="U59" s="3056"/>
      <c r="V59" s="3056"/>
      <c r="W59" s="3056"/>
      <c r="X59" s="3056"/>
      <c r="Y59" s="3056"/>
      <c r="Z59" s="3056"/>
      <c r="AA59" s="3056"/>
      <c r="AB59" s="3056"/>
      <c r="AC59" s="3056"/>
      <c r="AD59" s="3056"/>
      <c r="AE59" s="3056"/>
      <c r="AF59" s="3056"/>
      <c r="AG59" s="3056"/>
      <c r="AH59" s="3056"/>
      <c r="AI59" s="3056"/>
      <c r="AJ59" s="3056"/>
      <c r="AK59" s="3056"/>
      <c r="AL59" s="3056"/>
      <c r="AM59" s="3056"/>
      <c r="AN59" s="3056"/>
      <c r="AO59" s="3056"/>
      <c r="AP59" s="3056"/>
      <c r="AQ59" s="3056"/>
      <c r="AR59" s="3056"/>
      <c r="AS59" s="3056"/>
      <c r="AT59" s="3056"/>
      <c r="AU59" s="3056"/>
      <c r="AV59" s="3056"/>
      <c r="AW59" s="3056"/>
      <c r="AX59" s="3056"/>
      <c r="AY59" s="3056"/>
      <c r="AZ59" s="3056"/>
      <c r="BA59" s="3056"/>
      <c r="BB59" s="3056"/>
      <c r="BC59" s="3056"/>
      <c r="BD59" s="3056"/>
      <c r="BE59" s="3056"/>
      <c r="BF59" s="3056"/>
      <c r="BG59" s="3056"/>
      <c r="BH59" s="3056"/>
      <c r="BI59" s="3057"/>
      <c r="BL59" s="193"/>
      <c r="BS59" s="3010" t="s">
        <v>398</v>
      </c>
      <c r="BT59" s="3010"/>
      <c r="BU59" s="3010"/>
      <c r="BW59" s="163"/>
      <c r="BX59" s="163"/>
      <c r="BY59" s="163"/>
      <c r="BZ59" s="163"/>
      <c r="CA59" s="163"/>
      <c r="CB59" s="163"/>
      <c r="CC59" s="163"/>
      <c r="CD59" s="163"/>
      <c r="CE59" s="163"/>
      <c r="CF59" s="163"/>
      <c r="CH59" s="338"/>
      <c r="CI59" s="338"/>
      <c r="CJ59" s="338"/>
      <c r="CK59" s="338"/>
      <c r="CP59" s="3026" t="s">
        <v>387</v>
      </c>
      <c r="CQ59" s="3026"/>
      <c r="CR59" s="3026"/>
      <c r="CS59" s="3026"/>
      <c r="CT59" s="358" t="s">
        <v>391</v>
      </c>
      <c r="CU59" s="359" t="s">
        <v>376</v>
      </c>
      <c r="CV59" s="359" t="s">
        <v>375</v>
      </c>
      <c r="CW59" s="359" t="s">
        <v>377</v>
      </c>
      <c r="CX59" s="359" t="s">
        <v>378</v>
      </c>
      <c r="CY59" s="359" t="s">
        <v>379</v>
      </c>
    </row>
    <row r="60" spans="2:117" ht="12.9" customHeight="1">
      <c r="B60" s="3061"/>
      <c r="C60" s="3056"/>
      <c r="D60" s="3056"/>
      <c r="E60" s="3056"/>
      <c r="F60" s="3056"/>
      <c r="G60" s="3056"/>
      <c r="H60" s="3056"/>
      <c r="I60" s="3056"/>
      <c r="J60" s="3056"/>
      <c r="K60" s="3056"/>
      <c r="L60" s="3056"/>
      <c r="M60" s="3056"/>
      <c r="N60" s="3056"/>
      <c r="O60" s="3056"/>
      <c r="P60" s="3056"/>
      <c r="Q60" s="3056"/>
      <c r="R60" s="3056"/>
      <c r="S60" s="3056"/>
      <c r="T60" s="3056"/>
      <c r="U60" s="3056"/>
      <c r="V60" s="3056"/>
      <c r="W60" s="3056"/>
      <c r="X60" s="3056"/>
      <c r="Y60" s="3056"/>
      <c r="Z60" s="3056"/>
      <c r="AA60" s="3056"/>
      <c r="AB60" s="3056"/>
      <c r="AC60" s="3056"/>
      <c r="AD60" s="3056"/>
      <c r="AE60" s="3056"/>
      <c r="AF60" s="3056"/>
      <c r="AG60" s="3056"/>
      <c r="AH60" s="3056"/>
      <c r="AI60" s="3056"/>
      <c r="AJ60" s="3056"/>
      <c r="AK60" s="3056"/>
      <c r="AL60" s="3056"/>
      <c r="AM60" s="3056"/>
      <c r="AN60" s="3056"/>
      <c r="AO60" s="3056"/>
      <c r="AP60" s="3056"/>
      <c r="AQ60" s="3056"/>
      <c r="AR60" s="3056"/>
      <c r="AS60" s="3056"/>
      <c r="AT60" s="3056"/>
      <c r="AU60" s="3056"/>
      <c r="AV60" s="3056"/>
      <c r="AW60" s="3056"/>
      <c r="AX60" s="3056"/>
      <c r="AY60" s="3056"/>
      <c r="AZ60" s="3056"/>
      <c r="BA60" s="3056"/>
      <c r="BB60" s="3056"/>
      <c r="BC60" s="3056"/>
      <c r="BD60" s="3056"/>
      <c r="BE60" s="3056"/>
      <c r="BF60" s="3056"/>
      <c r="BG60" s="3056"/>
      <c r="BH60" s="3056"/>
      <c r="BI60" s="3057"/>
      <c r="BL60" s="193"/>
      <c r="BM60" s="266"/>
      <c r="BS60" s="3008" t="s">
        <v>396</v>
      </c>
      <c r="BT60" s="3008"/>
      <c r="BU60" s="3008"/>
      <c r="BV60" s="3008"/>
      <c r="BW60" s="163"/>
      <c r="CA60" s="163"/>
      <c r="CB60" s="163"/>
      <c r="CC60" s="163"/>
      <c r="CD60" s="163"/>
      <c r="CE60" s="163"/>
      <c r="CF60" s="163"/>
      <c r="CH60" s="338"/>
      <c r="CI60" s="338"/>
      <c r="CJ60" s="338"/>
      <c r="CK60" s="338"/>
      <c r="CT60" s="358" t="s">
        <v>392</v>
      </c>
      <c r="CU60" s="334" t="e">
        <f>CQ24</f>
        <v>#DIV/0!</v>
      </c>
      <c r="CV60" s="334"/>
      <c r="CW60" s="334" t="e">
        <f>DA24</f>
        <v>#DIV/0!</v>
      </c>
      <c r="CX60" s="334"/>
      <c r="CY60" s="334"/>
      <c r="DC60" s="289"/>
      <c r="DD60" s="289"/>
    </row>
    <row r="61" spans="2:117" ht="12.9" customHeight="1" thickBot="1">
      <c r="B61" s="3061"/>
      <c r="C61" s="3056"/>
      <c r="D61" s="3056"/>
      <c r="E61" s="3056"/>
      <c r="F61" s="3056"/>
      <c r="G61" s="3056"/>
      <c r="H61" s="3056"/>
      <c r="I61" s="3056"/>
      <c r="J61" s="3056"/>
      <c r="K61" s="3056"/>
      <c r="L61" s="3056"/>
      <c r="M61" s="3056"/>
      <c r="N61" s="3056"/>
      <c r="O61" s="3056"/>
      <c r="P61" s="3056"/>
      <c r="Q61" s="3056"/>
      <c r="R61" s="3056"/>
      <c r="S61" s="3056"/>
      <c r="T61" s="3056"/>
      <c r="U61" s="3056"/>
      <c r="V61" s="3056"/>
      <c r="W61" s="3056"/>
      <c r="X61" s="3056"/>
      <c r="Y61" s="3056"/>
      <c r="Z61" s="3056"/>
      <c r="AA61" s="3056"/>
      <c r="AB61" s="3056"/>
      <c r="AC61" s="3056"/>
      <c r="AD61" s="3056"/>
      <c r="AE61" s="3056"/>
      <c r="AF61" s="3056"/>
      <c r="AG61" s="3056"/>
      <c r="AH61" s="3056"/>
      <c r="AI61" s="3056"/>
      <c r="AJ61" s="3056"/>
      <c r="AK61" s="3056"/>
      <c r="AL61" s="3056"/>
      <c r="AM61" s="3056"/>
      <c r="AN61" s="3056"/>
      <c r="AO61" s="3056"/>
      <c r="AP61" s="3056"/>
      <c r="AQ61" s="3056"/>
      <c r="AR61" s="3056"/>
      <c r="AS61" s="3056"/>
      <c r="AT61" s="3056"/>
      <c r="AU61" s="3056"/>
      <c r="AV61" s="3056"/>
      <c r="AW61" s="3056"/>
      <c r="AX61" s="3056"/>
      <c r="AY61" s="3056"/>
      <c r="AZ61" s="3056"/>
      <c r="BA61" s="3056"/>
      <c r="BB61" s="3056"/>
      <c r="BC61" s="3056"/>
      <c r="BD61" s="3056"/>
      <c r="BE61" s="3056"/>
      <c r="BF61" s="3056"/>
      <c r="BG61" s="3056"/>
      <c r="BH61" s="3056"/>
      <c r="BI61" s="3057"/>
      <c r="BL61" s="193"/>
      <c r="BS61" s="163"/>
      <c r="BT61" s="163"/>
      <c r="BU61" s="163"/>
      <c r="BV61" s="163"/>
      <c r="BW61" s="163"/>
      <c r="CA61" s="163"/>
      <c r="CB61" s="163"/>
      <c r="CC61" s="163"/>
      <c r="CD61" s="163"/>
      <c r="CE61" s="163"/>
      <c r="CF61" s="163"/>
      <c r="CH61" s="338"/>
      <c r="CI61" s="338"/>
      <c r="CJ61" s="338"/>
      <c r="CK61" s="338"/>
      <c r="CR61" s="288" t="s">
        <v>297</v>
      </c>
      <c r="CS61" s="288"/>
      <c r="CT61" s="360">
        <v>25</v>
      </c>
      <c r="CU61" s="335" t="e">
        <f>CQ25</f>
        <v>#DIV/0!</v>
      </c>
      <c r="CV61" s="335"/>
      <c r="CW61" s="335" t="e">
        <f>DA25</f>
        <v>#DIV/0!</v>
      </c>
      <c r="CX61" s="335"/>
      <c r="CY61" s="335"/>
      <c r="DA61" s="290"/>
      <c r="DB61" s="290"/>
      <c r="DC61" s="289"/>
      <c r="DD61" s="289"/>
    </row>
    <row r="62" spans="2:117" ht="12.9" customHeight="1">
      <c r="B62" s="3061"/>
      <c r="C62" s="3056"/>
      <c r="D62" s="3056"/>
      <c r="E62" s="3056"/>
      <c r="F62" s="3056"/>
      <c r="G62" s="3056"/>
      <c r="H62" s="3056"/>
      <c r="I62" s="3056"/>
      <c r="J62" s="3056"/>
      <c r="K62" s="3056"/>
      <c r="L62" s="3056"/>
      <c r="M62" s="3056"/>
      <c r="N62" s="3056"/>
      <c r="O62" s="3056"/>
      <c r="P62" s="3056"/>
      <c r="Q62" s="3056"/>
      <c r="R62" s="3056"/>
      <c r="S62" s="3056"/>
      <c r="T62" s="3056"/>
      <c r="U62" s="3056"/>
      <c r="V62" s="3056"/>
      <c r="W62" s="3056"/>
      <c r="X62" s="3056"/>
      <c r="Y62" s="3056"/>
      <c r="Z62" s="3056"/>
      <c r="AA62" s="3056"/>
      <c r="AB62" s="3056"/>
      <c r="AC62" s="3056"/>
      <c r="AD62" s="3056"/>
      <c r="AE62" s="3056"/>
      <c r="AF62" s="3056"/>
      <c r="AG62" s="3056"/>
      <c r="AH62" s="3056"/>
      <c r="AI62" s="3056"/>
      <c r="AJ62" s="3056"/>
      <c r="AK62" s="3056"/>
      <c r="AL62" s="3056"/>
      <c r="AM62" s="3056"/>
      <c r="AN62" s="3056"/>
      <c r="AO62" s="3056"/>
      <c r="AP62" s="3056"/>
      <c r="AQ62" s="3056"/>
      <c r="AR62" s="3056"/>
      <c r="AS62" s="3056"/>
      <c r="AT62" s="3056"/>
      <c r="AU62" s="3056"/>
      <c r="AV62" s="3056"/>
      <c r="AW62" s="3056"/>
      <c r="AX62" s="3056"/>
      <c r="AY62" s="3056"/>
      <c r="AZ62" s="3056"/>
      <c r="BA62" s="3056"/>
      <c r="BB62" s="3056"/>
      <c r="BC62" s="3056"/>
      <c r="BD62" s="3056"/>
      <c r="BE62" s="3056"/>
      <c r="BF62" s="3056"/>
      <c r="BG62" s="3056"/>
      <c r="BH62" s="3056"/>
      <c r="BI62" s="3057"/>
      <c r="BK62" s="193"/>
      <c r="BS62" s="365" t="s">
        <v>174</v>
      </c>
      <c r="BT62" s="365" t="s">
        <v>399</v>
      </c>
      <c r="BU62" s="365" t="s">
        <v>400</v>
      </c>
      <c r="CH62" s="338"/>
      <c r="CI62" s="338"/>
      <c r="CJ62" s="338"/>
      <c r="CK62" s="338"/>
      <c r="CP62" s="3135" t="s">
        <v>174</v>
      </c>
      <c r="CQ62" s="3135"/>
      <c r="CR62" s="303">
        <f>BU79</f>
        <v>0</v>
      </c>
      <c r="CS62" s="219"/>
      <c r="CT62" s="360">
        <v>28</v>
      </c>
      <c r="CU62" s="336" t="e">
        <f>CQ28</f>
        <v>#DIV/0!</v>
      </c>
      <c r="CV62" s="336" t="e">
        <f>CV28</f>
        <v>#DIV/0!</v>
      </c>
      <c r="CW62" s="336"/>
      <c r="CX62" s="336"/>
      <c r="CY62" s="336"/>
      <c r="DA62" s="290"/>
      <c r="DB62" s="290"/>
    </row>
    <row r="63" spans="2:117" ht="12.9" customHeight="1" thickBot="1">
      <c r="B63" s="3061"/>
      <c r="C63" s="3056"/>
      <c r="D63" s="3056"/>
      <c r="E63" s="3056"/>
      <c r="F63" s="3056"/>
      <c r="G63" s="3056"/>
      <c r="H63" s="3056"/>
      <c r="I63" s="3056"/>
      <c r="J63" s="3056"/>
      <c r="K63" s="3056"/>
      <c r="L63" s="3056"/>
      <c r="M63" s="3056"/>
      <c r="N63" s="3056"/>
      <c r="O63" s="3056"/>
      <c r="P63" s="3056"/>
      <c r="Q63" s="3056"/>
      <c r="R63" s="3056"/>
      <c r="S63" s="3056"/>
      <c r="T63" s="3056"/>
      <c r="U63" s="3056"/>
      <c r="V63" s="3056"/>
      <c r="W63" s="3056"/>
      <c r="X63" s="3056"/>
      <c r="Y63" s="3056"/>
      <c r="Z63" s="3056"/>
      <c r="AA63" s="3056"/>
      <c r="AB63" s="3056"/>
      <c r="AC63" s="3056"/>
      <c r="AD63" s="3056"/>
      <c r="AE63" s="3056"/>
      <c r="AF63" s="3056"/>
      <c r="AG63" s="3056"/>
      <c r="AH63" s="3056"/>
      <c r="AI63" s="3056"/>
      <c r="AJ63" s="3056"/>
      <c r="AK63" s="3056"/>
      <c r="AL63" s="3056"/>
      <c r="AM63" s="3056"/>
      <c r="AN63" s="3056"/>
      <c r="AO63" s="3056"/>
      <c r="AP63" s="3056"/>
      <c r="AQ63" s="3056"/>
      <c r="AR63" s="3056"/>
      <c r="AS63" s="3056"/>
      <c r="AT63" s="3056"/>
      <c r="AU63" s="3056"/>
      <c r="AV63" s="3056"/>
      <c r="AW63" s="3056"/>
      <c r="AX63" s="3056"/>
      <c r="AY63" s="3056"/>
      <c r="AZ63" s="3056"/>
      <c r="BA63" s="3056"/>
      <c r="BB63" s="3056"/>
      <c r="BC63" s="3056"/>
      <c r="BD63" s="3056"/>
      <c r="BE63" s="3056"/>
      <c r="BF63" s="3056"/>
      <c r="BG63" s="3056"/>
      <c r="BH63" s="3056"/>
      <c r="BI63" s="3057"/>
      <c r="BK63" s="193"/>
      <c r="BS63" s="3084">
        <f>BW76</f>
        <v>0</v>
      </c>
      <c r="BT63" s="363" t="s">
        <v>401</v>
      </c>
      <c r="BU63" s="363" t="s">
        <v>401</v>
      </c>
      <c r="CP63" s="3135" t="s">
        <v>27</v>
      </c>
      <c r="CQ63" s="3135"/>
      <c r="CR63" s="303">
        <f>BU80</f>
        <v>0</v>
      </c>
      <c r="CS63" s="219"/>
      <c r="CT63" s="360">
        <v>29</v>
      </c>
      <c r="CU63" s="335" t="e">
        <f>CQ29</f>
        <v>#DIV/0!</v>
      </c>
      <c r="CV63" s="335" t="e">
        <f>CV29</f>
        <v>#DIV/0!</v>
      </c>
      <c r="CW63" s="335"/>
      <c r="CX63" s="335"/>
      <c r="CY63" s="335"/>
    </row>
    <row r="64" spans="2:117" ht="12.9" customHeight="1">
      <c r="B64" s="3061"/>
      <c r="C64" s="3056"/>
      <c r="D64" s="3056"/>
      <c r="E64" s="3056"/>
      <c r="F64" s="3056"/>
      <c r="G64" s="3056"/>
      <c r="H64" s="3056"/>
      <c r="I64" s="3056"/>
      <c r="J64" s="3056"/>
      <c r="K64" s="3056"/>
      <c r="L64" s="3056"/>
      <c r="M64" s="3056"/>
      <c r="N64" s="3056"/>
      <c r="O64" s="3056"/>
      <c r="P64" s="3056"/>
      <c r="Q64" s="3056"/>
      <c r="R64" s="3056"/>
      <c r="S64" s="3056"/>
      <c r="T64" s="3056"/>
      <c r="U64" s="3056"/>
      <c r="V64" s="3056"/>
      <c r="W64" s="3056"/>
      <c r="X64" s="3056"/>
      <c r="Y64" s="3056"/>
      <c r="Z64" s="3056"/>
      <c r="AA64" s="3056"/>
      <c r="AB64" s="3056"/>
      <c r="AC64" s="3056"/>
      <c r="AD64" s="3056"/>
      <c r="AE64" s="3056"/>
      <c r="AF64" s="3056"/>
      <c r="AG64" s="3056"/>
      <c r="AH64" s="3056"/>
      <c r="AI64" s="3056"/>
      <c r="AJ64" s="3056"/>
      <c r="AK64" s="3056"/>
      <c r="AL64" s="3056"/>
      <c r="AM64" s="3056"/>
      <c r="AN64" s="3056"/>
      <c r="AO64" s="3056"/>
      <c r="AP64" s="3056"/>
      <c r="AQ64" s="3056"/>
      <c r="AR64" s="3056"/>
      <c r="AS64" s="3056"/>
      <c r="AT64" s="3056"/>
      <c r="AU64" s="3056"/>
      <c r="AV64" s="3056"/>
      <c r="AW64" s="3056"/>
      <c r="AX64" s="3056"/>
      <c r="AY64" s="3056"/>
      <c r="AZ64" s="3056"/>
      <c r="BA64" s="3056"/>
      <c r="BB64" s="3056"/>
      <c r="BC64" s="3056"/>
      <c r="BD64" s="3056"/>
      <c r="BE64" s="3056"/>
      <c r="BF64" s="3056"/>
      <c r="BG64" s="3056"/>
      <c r="BH64" s="3056"/>
      <c r="BI64" s="3057"/>
      <c r="BK64" s="193"/>
      <c r="BS64" s="3085"/>
      <c r="BT64" s="364" t="s">
        <v>402</v>
      </c>
      <c r="BU64" s="364" t="s">
        <v>403</v>
      </c>
      <c r="CP64" s="3135" t="s">
        <v>28</v>
      </c>
      <c r="CQ64" s="3135"/>
      <c r="CR64" s="303">
        <f>BU82</f>
        <v>0</v>
      </c>
      <c r="CS64" s="219"/>
      <c r="CT64" s="360">
        <v>32</v>
      </c>
      <c r="CU64" s="336" t="e">
        <f>CQ32</f>
        <v>#DIV/0!</v>
      </c>
      <c r="CV64" s="336" t="e">
        <f>CV32</f>
        <v>#DIV/0!</v>
      </c>
      <c r="CW64" s="336" t="e">
        <f>DA32</f>
        <v>#DIV/0!</v>
      </c>
      <c r="CX64" s="336" t="e">
        <f>DF32</f>
        <v>#DIV/0!</v>
      </c>
      <c r="CY64" s="336"/>
    </row>
    <row r="65" spans="2:106" ht="12.9" customHeight="1" thickBot="1">
      <c r="B65" s="3061"/>
      <c r="C65" s="3056"/>
      <c r="D65" s="3056"/>
      <c r="E65" s="3056"/>
      <c r="F65" s="3056"/>
      <c r="G65" s="3056"/>
      <c r="H65" s="3056"/>
      <c r="I65" s="3056"/>
      <c r="J65" s="3056"/>
      <c r="K65" s="3056"/>
      <c r="L65" s="3056"/>
      <c r="M65" s="3056"/>
      <c r="N65" s="3056"/>
      <c r="O65" s="3056"/>
      <c r="P65" s="3056"/>
      <c r="Q65" s="3056"/>
      <c r="R65" s="3056"/>
      <c r="S65" s="3056"/>
      <c r="T65" s="3056"/>
      <c r="U65" s="3056"/>
      <c r="V65" s="3056"/>
      <c r="W65" s="3056"/>
      <c r="X65" s="3056"/>
      <c r="Y65" s="3056"/>
      <c r="Z65" s="3056"/>
      <c r="AA65" s="3056"/>
      <c r="AB65" s="3056"/>
      <c r="AC65" s="3056"/>
      <c r="AD65" s="3056"/>
      <c r="AE65" s="3056"/>
      <c r="AF65" s="3056"/>
      <c r="AG65" s="3056"/>
      <c r="AH65" s="3056"/>
      <c r="AI65" s="3056"/>
      <c r="AJ65" s="3056"/>
      <c r="AK65" s="3056"/>
      <c r="AL65" s="3056"/>
      <c r="AM65" s="3056"/>
      <c r="AN65" s="3056"/>
      <c r="AO65" s="3056"/>
      <c r="AP65" s="3056"/>
      <c r="AQ65" s="3056"/>
      <c r="AR65" s="3056"/>
      <c r="AS65" s="3056"/>
      <c r="AT65" s="3056"/>
      <c r="AU65" s="3056"/>
      <c r="AV65" s="3056"/>
      <c r="AW65" s="3056"/>
      <c r="AX65" s="3056"/>
      <c r="AY65" s="3056"/>
      <c r="AZ65" s="3056"/>
      <c r="BA65" s="3056"/>
      <c r="BB65" s="3056"/>
      <c r="BC65" s="3056"/>
      <c r="BD65" s="3056"/>
      <c r="BE65" s="3056"/>
      <c r="BF65" s="3056"/>
      <c r="BG65" s="3056"/>
      <c r="BH65" s="3056"/>
      <c r="BI65" s="3057"/>
      <c r="BK65" s="193"/>
      <c r="BT65" s="199"/>
      <c r="CA65" s="174"/>
      <c r="CT65" s="360">
        <v>33</v>
      </c>
      <c r="CU65" s="335" t="e">
        <f>CQ33</f>
        <v>#DIV/0!</v>
      </c>
      <c r="CV65" s="335" t="e">
        <f>CV33</f>
        <v>#DIV/0!</v>
      </c>
      <c r="CW65" s="335" t="e">
        <f>DA33</f>
        <v>#DIV/0!</v>
      </c>
      <c r="CX65" s="335" t="e">
        <f>DF33</f>
        <v>#DIV/0!</v>
      </c>
      <c r="CY65" s="335"/>
    </row>
    <row r="66" spans="2:106" ht="12.9" customHeight="1">
      <c r="B66" s="3061"/>
      <c r="C66" s="3056"/>
      <c r="D66" s="3056"/>
      <c r="E66" s="3056"/>
      <c r="F66" s="3056"/>
      <c r="G66" s="3056"/>
      <c r="H66" s="3056"/>
      <c r="I66" s="3056"/>
      <c r="J66" s="3056"/>
      <c r="K66" s="3056"/>
      <c r="L66" s="3056"/>
      <c r="M66" s="3056"/>
      <c r="N66" s="3056"/>
      <c r="O66" s="3056"/>
      <c r="P66" s="3056"/>
      <c r="Q66" s="3056"/>
      <c r="R66" s="3056"/>
      <c r="S66" s="3056"/>
      <c r="T66" s="3056"/>
      <c r="U66" s="3056"/>
      <c r="V66" s="3056"/>
      <c r="W66" s="3056"/>
      <c r="X66" s="3056"/>
      <c r="Y66" s="3056"/>
      <c r="Z66" s="3056"/>
      <c r="AA66" s="3056"/>
      <c r="AB66" s="3056"/>
      <c r="AC66" s="3056"/>
      <c r="AD66" s="3056"/>
      <c r="AE66" s="3056"/>
      <c r="AF66" s="3056"/>
      <c r="AG66" s="3056"/>
      <c r="AH66" s="3056"/>
      <c r="AI66" s="3056"/>
      <c r="AJ66" s="3056"/>
      <c r="AK66" s="3056"/>
      <c r="AL66" s="3056"/>
      <c r="AM66" s="3056"/>
      <c r="AN66" s="3056"/>
      <c r="AO66" s="3056"/>
      <c r="AP66" s="3056"/>
      <c r="AQ66" s="3056"/>
      <c r="AR66" s="3056"/>
      <c r="AS66" s="3056"/>
      <c r="AT66" s="3056"/>
      <c r="AU66" s="3056"/>
      <c r="AV66" s="3056"/>
      <c r="AW66" s="3056"/>
      <c r="AX66" s="3056"/>
      <c r="AY66" s="3056"/>
      <c r="AZ66" s="3056"/>
      <c r="BA66" s="3056"/>
      <c r="BB66" s="3056"/>
      <c r="BC66" s="3056"/>
      <c r="BD66" s="3056"/>
      <c r="BE66" s="3056"/>
      <c r="BF66" s="3056"/>
      <c r="BG66" s="3056"/>
      <c r="BH66" s="3056"/>
      <c r="BI66" s="3057"/>
      <c r="BK66" s="193"/>
      <c r="CP66" s="4"/>
      <c r="CQ66" s="4"/>
      <c r="CR66" s="4"/>
      <c r="CT66" s="360">
        <v>36</v>
      </c>
      <c r="CU66" s="336" t="e">
        <f>CQ36</f>
        <v>#DIV/0!</v>
      </c>
      <c r="CV66" s="336" t="e">
        <f>CV36</f>
        <v>#DIV/0!</v>
      </c>
      <c r="CW66" s="336" t="e">
        <f>DA36</f>
        <v>#DIV/0!</v>
      </c>
      <c r="CX66" s="336" t="e">
        <f>DF36</f>
        <v>#DIV/0!</v>
      </c>
      <c r="CY66" s="336" t="e">
        <f>DK36</f>
        <v>#DIV/0!</v>
      </c>
    </row>
    <row r="67" spans="2:106" ht="12.9" customHeight="1">
      <c r="B67" s="3061"/>
      <c r="C67" s="3056"/>
      <c r="D67" s="3056"/>
      <c r="E67" s="3056"/>
      <c r="F67" s="3056"/>
      <c r="G67" s="3056"/>
      <c r="H67" s="3056"/>
      <c r="I67" s="3056"/>
      <c r="J67" s="3056"/>
      <c r="K67" s="3056"/>
      <c r="L67" s="3056"/>
      <c r="M67" s="3056"/>
      <c r="N67" s="3056"/>
      <c r="O67" s="3056"/>
      <c r="P67" s="3056"/>
      <c r="Q67" s="3056"/>
      <c r="R67" s="3056"/>
      <c r="S67" s="3056"/>
      <c r="T67" s="3056"/>
      <c r="U67" s="3056"/>
      <c r="V67" s="3056"/>
      <c r="W67" s="3056"/>
      <c r="X67" s="3056"/>
      <c r="Y67" s="3056"/>
      <c r="Z67" s="3056"/>
      <c r="AA67" s="3056"/>
      <c r="AB67" s="3056"/>
      <c r="AC67" s="3056"/>
      <c r="AD67" s="3056"/>
      <c r="AE67" s="3056"/>
      <c r="AF67" s="3056"/>
      <c r="AG67" s="3056"/>
      <c r="AH67" s="3056"/>
      <c r="AI67" s="3056"/>
      <c r="AJ67" s="3056"/>
      <c r="AK67" s="3056"/>
      <c r="AL67" s="3056"/>
      <c r="AM67" s="3056"/>
      <c r="AN67" s="3056"/>
      <c r="AO67" s="3056"/>
      <c r="AP67" s="3056"/>
      <c r="AQ67" s="3056"/>
      <c r="AR67" s="3056"/>
      <c r="AS67" s="3056"/>
      <c r="AT67" s="3056"/>
      <c r="AU67" s="3056"/>
      <c r="AV67" s="3056"/>
      <c r="AW67" s="3056"/>
      <c r="AX67" s="3056"/>
      <c r="AY67" s="3056"/>
      <c r="AZ67" s="3056"/>
      <c r="BA67" s="3056"/>
      <c r="BB67" s="3056"/>
      <c r="BC67" s="3056"/>
      <c r="BD67" s="3056"/>
      <c r="BE67" s="3056"/>
      <c r="BF67" s="3056"/>
      <c r="BG67" s="3056"/>
      <c r="BH67" s="3056"/>
      <c r="BI67" s="3057"/>
      <c r="BK67" s="193"/>
      <c r="CP67" s="4"/>
      <c r="CR67" s="163" t="s">
        <v>176</v>
      </c>
      <c r="CS67" s="302"/>
      <c r="CT67" s="360">
        <v>37</v>
      </c>
      <c r="CU67" s="334">
        <f>CQ37</f>
        <v>0</v>
      </c>
      <c r="CV67" s="334">
        <f>CV37</f>
        <v>0</v>
      </c>
      <c r="CW67" s="334">
        <f>DA37</f>
        <v>0</v>
      </c>
      <c r="CX67" s="334">
        <f>DF37</f>
        <v>0</v>
      </c>
      <c r="CY67" s="334">
        <f>DK37</f>
        <v>0</v>
      </c>
    </row>
    <row r="68" spans="2:106" ht="12.9" customHeight="1" thickBot="1">
      <c r="B68" s="3061"/>
      <c r="C68" s="3056"/>
      <c r="D68" s="3056"/>
      <c r="E68" s="3056"/>
      <c r="F68" s="3056"/>
      <c r="G68" s="3056"/>
      <c r="H68" s="3056"/>
      <c r="I68" s="3056"/>
      <c r="J68" s="3056"/>
      <c r="K68" s="3056"/>
      <c r="L68" s="3056"/>
      <c r="M68" s="3056"/>
      <c r="N68" s="3056"/>
      <c r="O68" s="3056"/>
      <c r="P68" s="3056"/>
      <c r="Q68" s="3056"/>
      <c r="R68" s="3056"/>
      <c r="S68" s="3056"/>
      <c r="T68" s="3056"/>
      <c r="U68" s="3056"/>
      <c r="V68" s="3056"/>
      <c r="W68" s="3056"/>
      <c r="X68" s="3056"/>
      <c r="Y68" s="3056"/>
      <c r="Z68" s="3056"/>
      <c r="AA68" s="3056"/>
      <c r="AB68" s="3056"/>
      <c r="AC68" s="3056"/>
      <c r="AD68" s="3056"/>
      <c r="AE68" s="3056"/>
      <c r="AF68" s="3056"/>
      <c r="AG68" s="3056"/>
      <c r="AH68" s="3056"/>
      <c r="AI68" s="3056"/>
      <c r="AJ68" s="3056"/>
      <c r="AK68" s="3056"/>
      <c r="AL68" s="3056"/>
      <c r="AM68" s="3056"/>
      <c r="AN68" s="3056"/>
      <c r="AO68" s="3056"/>
      <c r="AP68" s="3056"/>
      <c r="AQ68" s="3056"/>
      <c r="AR68" s="3056"/>
      <c r="AS68" s="3056"/>
      <c r="AT68" s="3056"/>
      <c r="AU68" s="3056"/>
      <c r="AV68" s="3056"/>
      <c r="AW68" s="3056"/>
      <c r="AX68" s="3056"/>
      <c r="AY68" s="3056"/>
      <c r="AZ68" s="3056"/>
      <c r="BA68" s="3056"/>
      <c r="BB68" s="3056"/>
      <c r="BC68" s="3056"/>
      <c r="BD68" s="3056"/>
      <c r="BE68" s="3056"/>
      <c r="BF68" s="3056"/>
      <c r="BG68" s="3056"/>
      <c r="BH68" s="3056"/>
      <c r="BI68" s="3057"/>
      <c r="BK68" s="193"/>
      <c r="CP68" s="217" t="s">
        <v>180</v>
      </c>
      <c r="CQ68" s="217" t="s">
        <v>179</v>
      </c>
      <c r="CR68" s="304">
        <f>'Concr. Pg 1'!O106</f>
        <v>0</v>
      </c>
      <c r="CS68" s="219"/>
      <c r="CU68" s="219" t="e">
        <f>MAX(CU60:CU67)</f>
        <v>#DIV/0!</v>
      </c>
      <c r="CV68" s="219" t="e">
        <f t="shared" ref="CV68:CY68" si="9">MAX(CV60:CV67)</f>
        <v>#DIV/0!</v>
      </c>
      <c r="CW68" s="219" t="e">
        <f t="shared" si="9"/>
        <v>#DIV/0!</v>
      </c>
      <c r="CX68" s="219" t="e">
        <f t="shared" si="9"/>
        <v>#DIV/0!</v>
      </c>
      <c r="CY68" s="219" t="e">
        <f t="shared" si="9"/>
        <v>#DIV/0!</v>
      </c>
    </row>
    <row r="69" spans="2:106" ht="12.9" customHeight="1" thickBot="1">
      <c r="B69" s="3061"/>
      <c r="C69" s="3056"/>
      <c r="D69" s="3056"/>
      <c r="E69" s="3056"/>
      <c r="F69" s="3056"/>
      <c r="G69" s="3056"/>
      <c r="H69" s="3056"/>
      <c r="I69" s="3056"/>
      <c r="J69" s="3056"/>
      <c r="K69" s="3056"/>
      <c r="L69" s="3056"/>
      <c r="M69" s="3056"/>
      <c r="N69" s="3056"/>
      <c r="O69" s="3056"/>
      <c r="P69" s="3056"/>
      <c r="Q69" s="3056"/>
      <c r="R69" s="3056"/>
      <c r="S69" s="3056"/>
      <c r="T69" s="3056"/>
      <c r="U69" s="3056"/>
      <c r="V69" s="3056"/>
      <c r="W69" s="3056"/>
      <c r="X69" s="3056"/>
      <c r="Y69" s="3056"/>
      <c r="Z69" s="3056"/>
      <c r="AA69" s="3056"/>
      <c r="AB69" s="3056"/>
      <c r="AC69" s="3056"/>
      <c r="AD69" s="3056"/>
      <c r="AE69" s="3056"/>
      <c r="AF69" s="3056"/>
      <c r="AG69" s="3056"/>
      <c r="AH69" s="3056"/>
      <c r="AI69" s="3056"/>
      <c r="AJ69" s="3056"/>
      <c r="AK69" s="3056"/>
      <c r="AL69" s="3056"/>
      <c r="AM69" s="3056"/>
      <c r="AN69" s="3056"/>
      <c r="AO69" s="3056"/>
      <c r="AP69" s="3056"/>
      <c r="AQ69" s="3056"/>
      <c r="AR69" s="3056"/>
      <c r="AS69" s="3056"/>
      <c r="AT69" s="3056"/>
      <c r="AU69" s="3056"/>
      <c r="AV69" s="3056"/>
      <c r="AW69" s="3056"/>
      <c r="AX69" s="3056"/>
      <c r="AY69" s="3056"/>
      <c r="AZ69" s="3056"/>
      <c r="BA69" s="3056"/>
      <c r="BB69" s="3056"/>
      <c r="BC69" s="3056"/>
      <c r="BD69" s="3056"/>
      <c r="BE69" s="3056"/>
      <c r="BF69" s="3056"/>
      <c r="BG69" s="3056"/>
      <c r="BH69" s="3056"/>
      <c r="BI69" s="3057"/>
      <c r="BK69" s="193"/>
      <c r="CP69" s="217" t="s">
        <v>177</v>
      </c>
      <c r="CQ69" s="217" t="s">
        <v>182</v>
      </c>
      <c r="CR69" s="304">
        <f>'Concr. Pg 1'!V106</f>
        <v>0</v>
      </c>
      <c r="CS69" s="219"/>
      <c r="CU69" s="330" t="e">
        <f>IF(CV41=1,CU68,IF(CV41=2,CV68,IF(CV41=3,CW68,IF(CV41=4,CX68,IF(CV41=5,CY68,CY68)))))</f>
        <v>#DIV/0!</v>
      </c>
      <c r="CV69" s="344" t="s">
        <v>384</v>
      </c>
      <c r="DB69" s="290"/>
    </row>
    <row r="70" spans="2:106" ht="12.9" customHeight="1">
      <c r="B70" s="3061"/>
      <c r="C70" s="3056"/>
      <c r="D70" s="3056"/>
      <c r="E70" s="3056"/>
      <c r="F70" s="3056"/>
      <c r="G70" s="3056"/>
      <c r="H70" s="3056"/>
      <c r="I70" s="3056"/>
      <c r="J70" s="3056"/>
      <c r="K70" s="3056"/>
      <c r="L70" s="3056"/>
      <c r="M70" s="3056"/>
      <c r="N70" s="3056"/>
      <c r="O70" s="3056"/>
      <c r="P70" s="3056"/>
      <c r="Q70" s="3056"/>
      <c r="R70" s="3056"/>
      <c r="S70" s="3056"/>
      <c r="T70" s="3056"/>
      <c r="U70" s="3056"/>
      <c r="V70" s="3056"/>
      <c r="W70" s="3056"/>
      <c r="X70" s="3056"/>
      <c r="Y70" s="3056"/>
      <c r="Z70" s="3056"/>
      <c r="AA70" s="3056"/>
      <c r="AB70" s="3056"/>
      <c r="AC70" s="3056"/>
      <c r="AD70" s="3056"/>
      <c r="AE70" s="3056"/>
      <c r="AF70" s="3056"/>
      <c r="AG70" s="3056"/>
      <c r="AH70" s="3056"/>
      <c r="AI70" s="3056"/>
      <c r="AJ70" s="3056"/>
      <c r="AK70" s="3056"/>
      <c r="AL70" s="3056"/>
      <c r="AM70" s="3056"/>
      <c r="AN70" s="3056"/>
      <c r="AO70" s="3056"/>
      <c r="AP70" s="3056"/>
      <c r="AQ70" s="3056"/>
      <c r="AR70" s="3056"/>
      <c r="AS70" s="3056"/>
      <c r="AT70" s="3056"/>
      <c r="AU70" s="3056"/>
      <c r="AV70" s="3056"/>
      <c r="AW70" s="3056"/>
      <c r="AX70" s="3056"/>
      <c r="AY70" s="3056"/>
      <c r="AZ70" s="3056"/>
      <c r="BA70" s="3056"/>
      <c r="BB70" s="3056"/>
      <c r="BC70" s="3056"/>
      <c r="BD70" s="3056"/>
      <c r="BE70" s="3056"/>
      <c r="BF70" s="3056"/>
      <c r="BG70" s="3056"/>
      <c r="BH70" s="3056"/>
      <c r="BI70" s="3057"/>
      <c r="CP70" s="217" t="s">
        <v>184</v>
      </c>
      <c r="CQ70" s="217" t="s">
        <v>186</v>
      </c>
      <c r="CR70" s="304">
        <f>BW126</f>
        <v>0</v>
      </c>
      <c r="CS70" s="219"/>
      <c r="CU70" s="3139" t="s">
        <v>380</v>
      </c>
      <c r="CV70" s="3139"/>
      <c r="CW70" s="3139"/>
      <c r="CX70" s="3139"/>
      <c r="CY70" s="3139"/>
      <c r="DB70" s="290"/>
    </row>
    <row r="71" spans="2:106" ht="12.9" customHeight="1">
      <c r="B71" s="3061"/>
      <c r="C71" s="3056"/>
      <c r="D71" s="3056"/>
      <c r="E71" s="3056"/>
      <c r="F71" s="3056"/>
      <c r="G71" s="3056"/>
      <c r="H71" s="3056"/>
      <c r="I71" s="3056"/>
      <c r="J71" s="3056"/>
      <c r="K71" s="3056"/>
      <c r="L71" s="3056"/>
      <c r="M71" s="3056"/>
      <c r="N71" s="3056"/>
      <c r="O71" s="3056"/>
      <c r="P71" s="3056"/>
      <c r="Q71" s="3056"/>
      <c r="R71" s="3056"/>
      <c r="S71" s="3056"/>
      <c r="T71" s="3056"/>
      <c r="U71" s="3056"/>
      <c r="V71" s="3056"/>
      <c r="W71" s="3056"/>
      <c r="X71" s="3056"/>
      <c r="Y71" s="3056"/>
      <c r="Z71" s="3056"/>
      <c r="AA71" s="3056"/>
      <c r="AB71" s="3056"/>
      <c r="AC71" s="3056"/>
      <c r="AD71" s="3056"/>
      <c r="AE71" s="3056"/>
      <c r="AF71" s="3056"/>
      <c r="AG71" s="3056"/>
      <c r="AH71" s="3056"/>
      <c r="AI71" s="3056"/>
      <c r="AJ71" s="3056"/>
      <c r="AK71" s="3056"/>
      <c r="AL71" s="3056"/>
      <c r="AM71" s="3056"/>
      <c r="AN71" s="3056"/>
      <c r="AO71" s="3056"/>
      <c r="AP71" s="3056"/>
      <c r="AQ71" s="3056"/>
      <c r="AR71" s="3056"/>
      <c r="AS71" s="3056"/>
      <c r="AT71" s="3056"/>
      <c r="AU71" s="3056"/>
      <c r="AV71" s="3056"/>
      <c r="AW71" s="3056"/>
      <c r="AX71" s="3056"/>
      <c r="AY71" s="3056"/>
      <c r="AZ71" s="3056"/>
      <c r="BA71" s="3056"/>
      <c r="BB71" s="3056"/>
      <c r="BC71" s="3056"/>
      <c r="BD71" s="3056"/>
      <c r="BE71" s="3056"/>
      <c r="BF71" s="3056"/>
      <c r="BG71" s="3056"/>
      <c r="BH71" s="3056"/>
      <c r="BI71" s="3057"/>
      <c r="CR71" s="4"/>
    </row>
    <row r="72" spans="2:106" ht="12.9" customHeight="1">
      <c r="B72" s="3061"/>
      <c r="C72" s="3056"/>
      <c r="D72" s="3056"/>
      <c r="E72" s="3056"/>
      <c r="F72" s="3056"/>
      <c r="G72" s="3056"/>
      <c r="H72" s="3056"/>
      <c r="I72" s="3056"/>
      <c r="J72" s="3056"/>
      <c r="K72" s="3056"/>
      <c r="L72" s="3056"/>
      <c r="M72" s="3056"/>
      <c r="N72" s="3056"/>
      <c r="O72" s="3056"/>
      <c r="P72" s="3056"/>
      <c r="Q72" s="3056"/>
      <c r="R72" s="3056"/>
      <c r="S72" s="3056"/>
      <c r="T72" s="3056"/>
      <c r="U72" s="3056"/>
      <c r="V72" s="3056"/>
      <c r="W72" s="3056"/>
      <c r="X72" s="3056"/>
      <c r="Y72" s="3056"/>
      <c r="Z72" s="3056"/>
      <c r="AA72" s="3056"/>
      <c r="AB72" s="3056"/>
      <c r="AC72" s="3056"/>
      <c r="AD72" s="3056"/>
      <c r="AE72" s="3056"/>
      <c r="AF72" s="3056"/>
      <c r="AG72" s="3056"/>
      <c r="AH72" s="3056"/>
      <c r="AI72" s="3056"/>
      <c r="AJ72" s="3056"/>
      <c r="AK72" s="3056"/>
      <c r="AL72" s="3056"/>
      <c r="AM72" s="3056"/>
      <c r="AN72" s="3056"/>
      <c r="AO72" s="3056"/>
      <c r="AP72" s="3056"/>
      <c r="AQ72" s="3056"/>
      <c r="AR72" s="3056"/>
      <c r="AS72" s="3056"/>
      <c r="AT72" s="3056"/>
      <c r="AU72" s="3056"/>
      <c r="AV72" s="3056"/>
      <c r="AW72" s="3056"/>
      <c r="AX72" s="3056"/>
      <c r="AY72" s="3056"/>
      <c r="AZ72" s="3056"/>
      <c r="BA72" s="3056"/>
      <c r="BB72" s="3056"/>
      <c r="BC72" s="3056"/>
      <c r="BD72" s="3056"/>
      <c r="BE72" s="3056"/>
      <c r="BF72" s="3056"/>
      <c r="BG72" s="3056"/>
      <c r="BH72" s="3056"/>
      <c r="BI72" s="3057"/>
      <c r="CP72" s="4"/>
      <c r="CR72" s="163" t="s">
        <v>175</v>
      </c>
      <c r="CS72" s="302"/>
    </row>
    <row r="73" spans="2:106" ht="12.9" customHeight="1">
      <c r="B73" s="3061"/>
      <c r="C73" s="3056"/>
      <c r="D73" s="3056"/>
      <c r="E73" s="3056"/>
      <c r="F73" s="3056"/>
      <c r="G73" s="3056"/>
      <c r="H73" s="3056"/>
      <c r="I73" s="3056"/>
      <c r="J73" s="3056"/>
      <c r="K73" s="3056"/>
      <c r="L73" s="3056"/>
      <c r="M73" s="3056"/>
      <c r="N73" s="3056"/>
      <c r="O73" s="3056"/>
      <c r="P73" s="3056"/>
      <c r="Q73" s="3056"/>
      <c r="R73" s="3056"/>
      <c r="S73" s="3056"/>
      <c r="T73" s="3056"/>
      <c r="U73" s="3056"/>
      <c r="V73" s="3056"/>
      <c r="W73" s="3056"/>
      <c r="X73" s="3056"/>
      <c r="Y73" s="3056"/>
      <c r="Z73" s="3056"/>
      <c r="AA73" s="3056"/>
      <c r="AB73" s="3056"/>
      <c r="AC73" s="3056"/>
      <c r="AD73" s="3056"/>
      <c r="AE73" s="3056"/>
      <c r="AF73" s="3056"/>
      <c r="AG73" s="3056"/>
      <c r="AH73" s="3056"/>
      <c r="AI73" s="3056"/>
      <c r="AJ73" s="3056"/>
      <c r="AK73" s="3056"/>
      <c r="AL73" s="3056"/>
      <c r="AM73" s="3056"/>
      <c r="AN73" s="3056"/>
      <c r="AO73" s="3056"/>
      <c r="AP73" s="3056"/>
      <c r="AQ73" s="3056"/>
      <c r="AR73" s="3056"/>
      <c r="AS73" s="3056"/>
      <c r="AT73" s="3056"/>
      <c r="AU73" s="3056"/>
      <c r="AV73" s="3056"/>
      <c r="AW73" s="3056"/>
      <c r="AX73" s="3056"/>
      <c r="AY73" s="3056"/>
      <c r="AZ73" s="3056"/>
      <c r="BA73" s="3056"/>
      <c r="BB73" s="3056"/>
      <c r="BC73" s="3056"/>
      <c r="BD73" s="3056"/>
      <c r="BE73" s="3056"/>
      <c r="BF73" s="3056"/>
      <c r="BG73" s="3056"/>
      <c r="BH73" s="3056"/>
      <c r="BI73" s="3057"/>
      <c r="BS73" s="166"/>
      <c r="BT73" s="164"/>
      <c r="BU73" s="164"/>
      <c r="BV73" s="164"/>
      <c r="BW73" s="164"/>
      <c r="BX73" s="164"/>
      <c r="BY73" s="214"/>
      <c r="BZ73" s="164"/>
      <c r="CA73" s="164"/>
      <c r="CB73" s="164"/>
      <c r="CC73" s="164"/>
      <c r="CD73" s="164"/>
      <c r="CE73" s="215"/>
      <c r="CF73" s="216"/>
      <c r="CG73" s="216"/>
      <c r="CH73" s="203"/>
      <c r="CP73" s="217" t="s">
        <v>180</v>
      </c>
      <c r="CQ73" s="217" t="s">
        <v>178</v>
      </c>
      <c r="CR73" s="305">
        <f>'Concr. Pg 1'!O102</f>
        <v>0</v>
      </c>
      <c r="CS73" s="219"/>
    </row>
    <row r="74" spans="2:106" ht="12.9" customHeight="1">
      <c r="B74" s="3061"/>
      <c r="C74" s="3056"/>
      <c r="D74" s="3056"/>
      <c r="E74" s="3056"/>
      <c r="F74" s="3056"/>
      <c r="G74" s="3056"/>
      <c r="H74" s="3056"/>
      <c r="I74" s="3056"/>
      <c r="J74" s="3056"/>
      <c r="K74" s="3056"/>
      <c r="L74" s="3056"/>
      <c r="M74" s="3056"/>
      <c r="N74" s="3056"/>
      <c r="O74" s="3056"/>
      <c r="P74" s="3056"/>
      <c r="Q74" s="3056"/>
      <c r="R74" s="3056"/>
      <c r="S74" s="3056"/>
      <c r="T74" s="3056"/>
      <c r="U74" s="3056"/>
      <c r="V74" s="3056"/>
      <c r="W74" s="3056"/>
      <c r="X74" s="3056"/>
      <c r="Y74" s="3056"/>
      <c r="Z74" s="3056"/>
      <c r="AA74" s="3056"/>
      <c r="AB74" s="3056"/>
      <c r="AC74" s="3056"/>
      <c r="AD74" s="3056"/>
      <c r="AE74" s="3056"/>
      <c r="AF74" s="3056"/>
      <c r="AG74" s="3056"/>
      <c r="AH74" s="3056"/>
      <c r="AI74" s="3056"/>
      <c r="AJ74" s="3056"/>
      <c r="AK74" s="3056"/>
      <c r="AL74" s="3056"/>
      <c r="AM74" s="3056"/>
      <c r="AN74" s="3056"/>
      <c r="AO74" s="3056"/>
      <c r="AP74" s="3056"/>
      <c r="AQ74" s="3056"/>
      <c r="AR74" s="3056"/>
      <c r="AS74" s="3056"/>
      <c r="AT74" s="3056"/>
      <c r="AU74" s="3056"/>
      <c r="AV74" s="3056"/>
      <c r="AW74" s="3056"/>
      <c r="AX74" s="3056"/>
      <c r="AY74" s="3056"/>
      <c r="AZ74" s="3056"/>
      <c r="BA74" s="3056"/>
      <c r="BB74" s="3056"/>
      <c r="BC74" s="3056"/>
      <c r="BD74" s="3056"/>
      <c r="BE74" s="3056"/>
      <c r="BF74" s="3056"/>
      <c r="BG74" s="3056"/>
      <c r="BH74" s="3056"/>
      <c r="BI74" s="3057"/>
      <c r="BS74" s="169"/>
      <c r="BU74" s="220" t="s">
        <v>250</v>
      </c>
      <c r="BY74" s="163"/>
      <c r="CE74" s="176"/>
      <c r="CF74" s="176"/>
      <c r="CG74" s="176"/>
      <c r="CH74" s="204"/>
      <c r="CP74" s="217" t="s">
        <v>177</v>
      </c>
      <c r="CQ74" s="217" t="s">
        <v>181</v>
      </c>
      <c r="CR74" s="304">
        <f>'Concr. Pg 1'!V102</f>
        <v>0</v>
      </c>
      <c r="CS74" s="219"/>
    </row>
    <row r="75" spans="2:106" ht="12.9" customHeight="1">
      <c r="B75" s="3061"/>
      <c r="C75" s="3056"/>
      <c r="D75" s="3056"/>
      <c r="E75" s="3056"/>
      <c r="F75" s="3056"/>
      <c r="G75" s="3056"/>
      <c r="H75" s="3056"/>
      <c r="I75" s="3056"/>
      <c r="J75" s="3056"/>
      <c r="K75" s="3056"/>
      <c r="L75" s="3056"/>
      <c r="M75" s="3056"/>
      <c r="N75" s="3056"/>
      <c r="O75" s="3056"/>
      <c r="P75" s="3056"/>
      <c r="Q75" s="3056"/>
      <c r="R75" s="3056"/>
      <c r="S75" s="3056"/>
      <c r="T75" s="3056"/>
      <c r="U75" s="3056"/>
      <c r="V75" s="3056"/>
      <c r="W75" s="3056"/>
      <c r="X75" s="3056"/>
      <c r="Y75" s="3056"/>
      <c r="Z75" s="3056"/>
      <c r="AA75" s="3056"/>
      <c r="AB75" s="3056"/>
      <c r="AC75" s="3056"/>
      <c r="AD75" s="3056"/>
      <c r="AE75" s="3056"/>
      <c r="AF75" s="3056"/>
      <c r="AG75" s="3056"/>
      <c r="AH75" s="3056"/>
      <c r="AI75" s="3056"/>
      <c r="AJ75" s="3056"/>
      <c r="AK75" s="3056"/>
      <c r="AL75" s="3056"/>
      <c r="AM75" s="3056"/>
      <c r="AN75" s="3056"/>
      <c r="AO75" s="3056"/>
      <c r="AP75" s="3056"/>
      <c r="AQ75" s="3056"/>
      <c r="AR75" s="3056"/>
      <c r="AS75" s="3056"/>
      <c r="AT75" s="3056"/>
      <c r="AU75" s="3056"/>
      <c r="AV75" s="3056"/>
      <c r="AW75" s="3056"/>
      <c r="AX75" s="3056"/>
      <c r="AY75" s="3056"/>
      <c r="AZ75" s="3056"/>
      <c r="BA75" s="3056"/>
      <c r="BB75" s="3056"/>
      <c r="BC75" s="3056"/>
      <c r="BD75" s="3056"/>
      <c r="BE75" s="3056"/>
      <c r="BF75" s="3056"/>
      <c r="BG75" s="3056"/>
      <c r="BH75" s="3056"/>
      <c r="BI75" s="3057"/>
      <c r="BS75" s="169"/>
      <c r="BU75" s="194" t="s">
        <v>269</v>
      </c>
      <c r="BV75" s="194" t="s">
        <v>270</v>
      </c>
      <c r="BW75" s="194" t="s">
        <v>270</v>
      </c>
      <c r="BY75" s="163"/>
      <c r="CE75" s="174"/>
      <c r="CF75" s="176"/>
      <c r="CG75" s="176"/>
      <c r="CH75" s="170"/>
      <c r="CP75" s="217" t="s">
        <v>184</v>
      </c>
      <c r="CQ75" s="217" t="s">
        <v>185</v>
      </c>
      <c r="CR75" s="304">
        <f>BW124</f>
        <v>0</v>
      </c>
      <c r="CS75" s="219"/>
    </row>
    <row r="76" spans="2:106" ht="12.9" customHeight="1">
      <c r="B76" s="3061"/>
      <c r="C76" s="3056"/>
      <c r="D76" s="3056"/>
      <c r="E76" s="3056"/>
      <c r="F76" s="3056"/>
      <c r="G76" s="3056"/>
      <c r="H76" s="3056"/>
      <c r="I76" s="3056"/>
      <c r="J76" s="3056"/>
      <c r="K76" s="3056"/>
      <c r="L76" s="3056"/>
      <c r="M76" s="3056"/>
      <c r="N76" s="3056"/>
      <c r="O76" s="3056"/>
      <c r="P76" s="3056"/>
      <c r="Q76" s="3056"/>
      <c r="R76" s="3056"/>
      <c r="S76" s="3056"/>
      <c r="T76" s="3056"/>
      <c r="U76" s="3056"/>
      <c r="V76" s="3056"/>
      <c r="W76" s="3056"/>
      <c r="X76" s="3056"/>
      <c r="Y76" s="3056"/>
      <c r="Z76" s="3056"/>
      <c r="AA76" s="3056"/>
      <c r="AB76" s="3056"/>
      <c r="AC76" s="3056"/>
      <c r="AD76" s="3056"/>
      <c r="AE76" s="3056"/>
      <c r="AF76" s="3056"/>
      <c r="AG76" s="3056"/>
      <c r="AH76" s="3056"/>
      <c r="AI76" s="3056"/>
      <c r="AJ76" s="3056"/>
      <c r="AK76" s="3056"/>
      <c r="AL76" s="3056"/>
      <c r="AM76" s="3056"/>
      <c r="AN76" s="3056"/>
      <c r="AO76" s="3056"/>
      <c r="AP76" s="3056"/>
      <c r="AQ76" s="3056"/>
      <c r="AR76" s="3056"/>
      <c r="AS76" s="3056"/>
      <c r="AT76" s="3056"/>
      <c r="AU76" s="3056"/>
      <c r="AV76" s="3056"/>
      <c r="AW76" s="3056"/>
      <c r="AX76" s="3056"/>
      <c r="AY76" s="3056"/>
      <c r="AZ76" s="3056"/>
      <c r="BA76" s="3056"/>
      <c r="BB76" s="3056"/>
      <c r="BC76" s="3056"/>
      <c r="BD76" s="3056"/>
      <c r="BE76" s="3056"/>
      <c r="BF76" s="3056"/>
      <c r="BG76" s="3056"/>
      <c r="BH76" s="3056"/>
      <c r="BI76" s="3057"/>
      <c r="BS76" s="169"/>
      <c r="BT76" s="196" t="s">
        <v>174</v>
      </c>
      <c r="BU76" s="178" t="str">
        <f>'Concr. Pg 1'!Q25</f>
        <v xml:space="preserve">*(ft) </v>
      </c>
      <c r="BV76" s="219">
        <f>'Concr. Pg 1'!L25</f>
        <v>0</v>
      </c>
      <c r="BW76" s="304">
        <f>IF('Concr. Pg 1'!Q25="*(in)",'Concr. Pg 1'!L25/12,'Concr. Pg 1'!L25)</f>
        <v>0</v>
      </c>
      <c r="BX76" s="218" t="s">
        <v>246</v>
      </c>
      <c r="BY76" s="195"/>
      <c r="CE76" s="174"/>
      <c r="CF76" s="174"/>
      <c r="CG76" s="174"/>
      <c r="CH76" s="170"/>
      <c r="CV76" s="356"/>
      <c r="CW76" s="356"/>
      <c r="CX76" s="356"/>
    </row>
    <row r="77" spans="2:106" ht="12.9" customHeight="1">
      <c r="B77" s="3061"/>
      <c r="C77" s="3056"/>
      <c r="D77" s="3056"/>
      <c r="E77" s="3056"/>
      <c r="F77" s="3056"/>
      <c r="G77" s="3056"/>
      <c r="H77" s="3056"/>
      <c r="I77" s="3056"/>
      <c r="J77" s="3056"/>
      <c r="K77" s="3056"/>
      <c r="L77" s="3056"/>
      <c r="M77" s="3056"/>
      <c r="N77" s="3056"/>
      <c r="O77" s="3056"/>
      <c r="P77" s="3056"/>
      <c r="Q77" s="3056"/>
      <c r="R77" s="3056"/>
      <c r="S77" s="3056"/>
      <c r="T77" s="3056"/>
      <c r="U77" s="3056"/>
      <c r="V77" s="3056"/>
      <c r="W77" s="3056"/>
      <c r="X77" s="3056"/>
      <c r="Y77" s="3056"/>
      <c r="Z77" s="3056"/>
      <c r="AA77" s="3056"/>
      <c r="AB77" s="3056"/>
      <c r="AC77" s="3056"/>
      <c r="AD77" s="3056"/>
      <c r="AE77" s="3056"/>
      <c r="AF77" s="3056"/>
      <c r="AG77" s="3056"/>
      <c r="AH77" s="3056"/>
      <c r="AI77" s="3056"/>
      <c r="AJ77" s="3056"/>
      <c r="AK77" s="3056"/>
      <c r="AL77" s="3056"/>
      <c r="AM77" s="3056"/>
      <c r="AN77" s="3056"/>
      <c r="AO77" s="3056"/>
      <c r="AP77" s="3056"/>
      <c r="AQ77" s="3056"/>
      <c r="AR77" s="3056"/>
      <c r="AS77" s="3056"/>
      <c r="AT77" s="3056"/>
      <c r="AU77" s="3056"/>
      <c r="AV77" s="3056"/>
      <c r="AW77" s="3056"/>
      <c r="AX77" s="3056"/>
      <c r="AY77" s="3056"/>
      <c r="AZ77" s="3056"/>
      <c r="BA77" s="3056"/>
      <c r="BB77" s="3056"/>
      <c r="BC77" s="3056"/>
      <c r="BD77" s="3056"/>
      <c r="BE77" s="3056"/>
      <c r="BF77" s="3056"/>
      <c r="BG77" s="3056"/>
      <c r="BH77" s="3056"/>
      <c r="BI77" s="3057"/>
      <c r="BS77" s="169"/>
      <c r="BY77" s="163"/>
      <c r="CA77" s="177"/>
      <c r="CB77" s="174"/>
      <c r="CH77" s="170"/>
      <c r="CV77" s="357"/>
      <c r="CW77" s="356"/>
      <c r="CX77" s="356"/>
      <c r="DB77" s="290"/>
    </row>
    <row r="78" spans="2:106" ht="12.9" customHeight="1">
      <c r="B78" s="3061"/>
      <c r="C78" s="3056"/>
      <c r="D78" s="3056"/>
      <c r="E78" s="3056"/>
      <c r="F78" s="3056"/>
      <c r="G78" s="3056"/>
      <c r="H78" s="3056"/>
      <c r="I78" s="3056"/>
      <c r="J78" s="3056"/>
      <c r="K78" s="3056"/>
      <c r="L78" s="3056"/>
      <c r="M78" s="3056"/>
      <c r="N78" s="3056"/>
      <c r="O78" s="3056"/>
      <c r="P78" s="3056"/>
      <c r="Q78" s="3056"/>
      <c r="R78" s="3056"/>
      <c r="S78" s="3056"/>
      <c r="T78" s="3056"/>
      <c r="U78" s="3056"/>
      <c r="V78" s="3056"/>
      <c r="W78" s="3056"/>
      <c r="X78" s="3056"/>
      <c r="Y78" s="3056"/>
      <c r="Z78" s="3056"/>
      <c r="AA78" s="3056"/>
      <c r="AB78" s="3056"/>
      <c r="AC78" s="3056"/>
      <c r="AD78" s="3056"/>
      <c r="AE78" s="3056"/>
      <c r="AF78" s="3056"/>
      <c r="AG78" s="3056"/>
      <c r="AH78" s="3056"/>
      <c r="AI78" s="3056"/>
      <c r="AJ78" s="3056"/>
      <c r="AK78" s="3056"/>
      <c r="AL78" s="3056"/>
      <c r="AM78" s="3056"/>
      <c r="AN78" s="3056"/>
      <c r="AO78" s="3056"/>
      <c r="AP78" s="3056"/>
      <c r="AQ78" s="3056"/>
      <c r="AR78" s="3056"/>
      <c r="AS78" s="3056"/>
      <c r="AT78" s="3056"/>
      <c r="AU78" s="3056"/>
      <c r="AV78" s="3056"/>
      <c r="AW78" s="3056"/>
      <c r="AX78" s="3056"/>
      <c r="AY78" s="3056"/>
      <c r="AZ78" s="3056"/>
      <c r="BA78" s="3056"/>
      <c r="BB78" s="3056"/>
      <c r="BC78" s="3056"/>
      <c r="BD78" s="3056"/>
      <c r="BE78" s="3056"/>
      <c r="BF78" s="3056"/>
      <c r="BG78" s="3056"/>
      <c r="BH78" s="3056"/>
      <c r="BI78" s="3057"/>
      <c r="BS78" s="169"/>
      <c r="BT78" s="172" t="s">
        <v>236</v>
      </c>
      <c r="CH78" s="170"/>
      <c r="CR78" s="248"/>
      <c r="CV78" s="357"/>
      <c r="CW78" s="356"/>
      <c r="CX78" s="356"/>
    </row>
    <row r="79" spans="2:106" ht="12.9" customHeight="1">
      <c r="B79" s="3061"/>
      <c r="C79" s="3056"/>
      <c r="D79" s="3056"/>
      <c r="E79" s="3056"/>
      <c r="F79" s="3056"/>
      <c r="G79" s="3056"/>
      <c r="H79" s="3056"/>
      <c r="I79" s="3056"/>
      <c r="J79" s="3056"/>
      <c r="K79" s="3056"/>
      <c r="L79" s="3056"/>
      <c r="M79" s="3056"/>
      <c r="N79" s="3056"/>
      <c r="O79" s="3056"/>
      <c r="P79" s="3056"/>
      <c r="Q79" s="3056"/>
      <c r="R79" s="3056"/>
      <c r="S79" s="3056"/>
      <c r="T79" s="3056"/>
      <c r="U79" s="3056"/>
      <c r="V79" s="3056"/>
      <c r="W79" s="3056"/>
      <c r="X79" s="3056"/>
      <c r="Y79" s="3056"/>
      <c r="Z79" s="3056"/>
      <c r="AA79" s="3056"/>
      <c r="AB79" s="3056"/>
      <c r="AC79" s="3056"/>
      <c r="AD79" s="3056"/>
      <c r="AE79" s="3056"/>
      <c r="AF79" s="3056"/>
      <c r="AG79" s="3056"/>
      <c r="AH79" s="3056"/>
      <c r="AI79" s="3056"/>
      <c r="AJ79" s="3056"/>
      <c r="AK79" s="3056"/>
      <c r="AL79" s="3056"/>
      <c r="AM79" s="3056"/>
      <c r="AN79" s="3056"/>
      <c r="AO79" s="3056"/>
      <c r="AP79" s="3056"/>
      <c r="AQ79" s="3056"/>
      <c r="AR79" s="3056"/>
      <c r="AS79" s="3056"/>
      <c r="AT79" s="3056"/>
      <c r="AU79" s="3056"/>
      <c r="AV79" s="3056"/>
      <c r="AW79" s="3056"/>
      <c r="AX79" s="3056"/>
      <c r="AY79" s="3056"/>
      <c r="AZ79" s="3056"/>
      <c r="BA79" s="3056"/>
      <c r="BB79" s="3056"/>
      <c r="BC79" s="3056"/>
      <c r="BD79" s="3056"/>
      <c r="BE79" s="3056"/>
      <c r="BF79" s="3056"/>
      <c r="BG79" s="3056"/>
      <c r="BH79" s="3056"/>
      <c r="BI79" s="3057"/>
      <c r="BS79" s="169"/>
      <c r="BT79" s="160" t="s">
        <v>233</v>
      </c>
      <c r="BU79" s="304">
        <f>BW76</f>
        <v>0</v>
      </c>
      <c r="BV79" s="163" t="s">
        <v>13</v>
      </c>
      <c r="CH79" s="170"/>
      <c r="CV79" s="357"/>
      <c r="CW79" s="356"/>
      <c r="CX79" s="356"/>
    </row>
    <row r="80" spans="2:106" ht="12.9" customHeight="1">
      <c r="B80" s="3061"/>
      <c r="C80" s="3056"/>
      <c r="D80" s="3056"/>
      <c r="E80" s="3056"/>
      <c r="F80" s="3056"/>
      <c r="G80" s="3056"/>
      <c r="H80" s="3056"/>
      <c r="I80" s="3056"/>
      <c r="J80" s="3056"/>
      <c r="K80" s="3056"/>
      <c r="L80" s="3056"/>
      <c r="M80" s="3056"/>
      <c r="N80" s="3056"/>
      <c r="O80" s="3056"/>
      <c r="P80" s="3056"/>
      <c r="Q80" s="3056"/>
      <c r="R80" s="3056"/>
      <c r="S80" s="3056"/>
      <c r="T80" s="3056"/>
      <c r="U80" s="3056"/>
      <c r="V80" s="3056"/>
      <c r="W80" s="3056"/>
      <c r="X80" s="3056"/>
      <c r="Y80" s="3056"/>
      <c r="Z80" s="3056"/>
      <c r="AA80" s="3056"/>
      <c r="AB80" s="3056"/>
      <c r="AC80" s="3056"/>
      <c r="AD80" s="3056"/>
      <c r="AE80" s="3056"/>
      <c r="AF80" s="3056"/>
      <c r="AG80" s="3056"/>
      <c r="AH80" s="3056"/>
      <c r="AI80" s="3056"/>
      <c r="AJ80" s="3056"/>
      <c r="AK80" s="3056"/>
      <c r="AL80" s="3056"/>
      <c r="AM80" s="3056"/>
      <c r="AN80" s="3056"/>
      <c r="AO80" s="3056"/>
      <c r="AP80" s="3056"/>
      <c r="AQ80" s="3056"/>
      <c r="AR80" s="3056"/>
      <c r="AS80" s="3056"/>
      <c r="AT80" s="3056"/>
      <c r="AU80" s="3056"/>
      <c r="AV80" s="3056"/>
      <c r="AW80" s="3056"/>
      <c r="AX80" s="3056"/>
      <c r="AY80" s="3056"/>
      <c r="AZ80" s="3056"/>
      <c r="BA80" s="3056"/>
      <c r="BB80" s="3056"/>
      <c r="BC80" s="3056"/>
      <c r="BD80" s="3056"/>
      <c r="BE80" s="3056"/>
      <c r="BF80" s="3056"/>
      <c r="BG80" s="3056"/>
      <c r="BH80" s="3056"/>
      <c r="BI80" s="3057"/>
      <c r="BS80" s="169"/>
      <c r="BT80" s="160" t="s">
        <v>232</v>
      </c>
      <c r="BU80" s="304">
        <f>'Concr. Pg 1'!L28</f>
        <v>0</v>
      </c>
      <c r="BV80" s="163" t="s">
        <v>13</v>
      </c>
      <c r="CC80" s="172" t="s">
        <v>284</v>
      </c>
      <c r="CD80" s="172"/>
      <c r="CE80" s="172"/>
      <c r="CH80" s="170"/>
      <c r="CV80" s="357"/>
      <c r="CW80" s="356"/>
      <c r="CX80" s="356"/>
    </row>
    <row r="81" spans="2:111" ht="12.9" customHeight="1">
      <c r="B81" s="3061"/>
      <c r="C81" s="3056"/>
      <c r="D81" s="3056"/>
      <c r="E81" s="3056"/>
      <c r="F81" s="3056"/>
      <c r="G81" s="3056"/>
      <c r="H81" s="3056"/>
      <c r="I81" s="3056"/>
      <c r="J81" s="3056"/>
      <c r="K81" s="3056"/>
      <c r="L81" s="3056"/>
      <c r="M81" s="3056"/>
      <c r="N81" s="3056"/>
      <c r="O81" s="3056"/>
      <c r="P81" s="3056"/>
      <c r="Q81" s="3056"/>
      <c r="R81" s="3056"/>
      <c r="S81" s="3056"/>
      <c r="T81" s="3056"/>
      <c r="U81" s="3056"/>
      <c r="V81" s="3056"/>
      <c r="W81" s="3056"/>
      <c r="X81" s="3056"/>
      <c r="Y81" s="3056"/>
      <c r="Z81" s="3056"/>
      <c r="AA81" s="3056"/>
      <c r="AB81" s="3056"/>
      <c r="AC81" s="3056"/>
      <c r="AD81" s="3056"/>
      <c r="AE81" s="3056"/>
      <c r="AF81" s="3056"/>
      <c r="AG81" s="3056"/>
      <c r="AH81" s="3056"/>
      <c r="AI81" s="3056"/>
      <c r="AJ81" s="3056"/>
      <c r="AK81" s="3056"/>
      <c r="AL81" s="3056"/>
      <c r="AM81" s="3056"/>
      <c r="AN81" s="3056"/>
      <c r="AO81" s="3056"/>
      <c r="AP81" s="3056"/>
      <c r="AQ81" s="3056"/>
      <c r="AR81" s="3056"/>
      <c r="AS81" s="3056"/>
      <c r="AT81" s="3056"/>
      <c r="AU81" s="3056"/>
      <c r="AV81" s="3056"/>
      <c r="AW81" s="3056"/>
      <c r="AX81" s="3056"/>
      <c r="AY81" s="3056"/>
      <c r="AZ81" s="3056"/>
      <c r="BA81" s="3056"/>
      <c r="BB81" s="3056"/>
      <c r="BC81" s="3056"/>
      <c r="BD81" s="3056"/>
      <c r="BE81" s="3056"/>
      <c r="BF81" s="3056"/>
      <c r="BG81" s="3056"/>
      <c r="BH81" s="3056"/>
      <c r="BI81" s="3057"/>
      <c r="BS81" s="169"/>
      <c r="BT81" s="160" t="s">
        <v>60</v>
      </c>
      <c r="BU81" s="162">
        <f>'Concr. Pg 1'!L31</f>
        <v>0</v>
      </c>
      <c r="BV81" s="163" t="s">
        <v>13</v>
      </c>
      <c r="CC81" s="3131" t="s">
        <v>289</v>
      </c>
      <c r="CD81" s="3132"/>
      <c r="CE81" s="2996" t="s">
        <v>58</v>
      </c>
      <c r="CF81" s="2997"/>
      <c r="CH81" s="170"/>
    </row>
    <row r="82" spans="2:111" ht="12.9" customHeight="1">
      <c r="B82" s="3061"/>
      <c r="C82" s="3056"/>
      <c r="D82" s="3056"/>
      <c r="E82" s="3056"/>
      <c r="F82" s="3056"/>
      <c r="G82" s="3056"/>
      <c r="H82" s="3056"/>
      <c r="I82" s="3056"/>
      <c r="J82" s="3056"/>
      <c r="K82" s="3056"/>
      <c r="L82" s="3056"/>
      <c r="M82" s="3056"/>
      <c r="N82" s="3056"/>
      <c r="O82" s="3056"/>
      <c r="P82" s="3056"/>
      <c r="Q82" s="3056"/>
      <c r="R82" s="3056"/>
      <c r="S82" s="3056"/>
      <c r="T82" s="3056"/>
      <c r="U82" s="3056"/>
      <c r="V82" s="3056"/>
      <c r="W82" s="3056"/>
      <c r="X82" s="3056"/>
      <c r="Y82" s="3056"/>
      <c r="Z82" s="3056"/>
      <c r="AA82" s="3056"/>
      <c r="AB82" s="3056"/>
      <c r="AC82" s="3056"/>
      <c r="AD82" s="3056"/>
      <c r="AE82" s="3056"/>
      <c r="AF82" s="3056"/>
      <c r="AG82" s="3056"/>
      <c r="AH82" s="3056"/>
      <c r="AI82" s="3056"/>
      <c r="AJ82" s="3056"/>
      <c r="AK82" s="3056"/>
      <c r="AL82" s="3056"/>
      <c r="AM82" s="3056"/>
      <c r="AN82" s="3056"/>
      <c r="AO82" s="3056"/>
      <c r="AP82" s="3056"/>
      <c r="AQ82" s="3056"/>
      <c r="AR82" s="3056"/>
      <c r="AS82" s="3056"/>
      <c r="AT82" s="3056"/>
      <c r="AU82" s="3056"/>
      <c r="AV82" s="3056"/>
      <c r="AW82" s="3056"/>
      <c r="AX82" s="3056"/>
      <c r="AY82" s="3056"/>
      <c r="AZ82" s="3056"/>
      <c r="BA82" s="3056"/>
      <c r="BB82" s="3056"/>
      <c r="BC82" s="3056"/>
      <c r="BD82" s="3056"/>
      <c r="BE82" s="3056"/>
      <c r="BF82" s="3056"/>
      <c r="BG82" s="3056"/>
      <c r="BH82" s="3056"/>
      <c r="BI82" s="3057"/>
      <c r="BS82" s="169"/>
      <c r="BT82" s="160" t="s">
        <v>59</v>
      </c>
      <c r="BU82" s="304">
        <f>'Concr. Pg 1'!L34</f>
        <v>0</v>
      </c>
      <c r="BV82" s="163" t="s">
        <v>13</v>
      </c>
      <c r="CA82" s="177"/>
      <c r="CB82" s="174"/>
      <c r="CC82" s="3131" t="s">
        <v>33</v>
      </c>
      <c r="CD82" s="3132"/>
      <c r="CE82" s="2996"/>
      <c r="CF82" s="2997"/>
      <c r="CH82" s="170"/>
    </row>
    <row r="83" spans="2:111" ht="12.9" customHeight="1">
      <c r="B83" s="3061"/>
      <c r="C83" s="3056"/>
      <c r="D83" s="3056"/>
      <c r="E83" s="3056"/>
      <c r="F83" s="3056"/>
      <c r="G83" s="3056"/>
      <c r="H83" s="3056"/>
      <c r="I83" s="3056"/>
      <c r="J83" s="3056"/>
      <c r="K83" s="3056"/>
      <c r="L83" s="3056"/>
      <c r="M83" s="3056"/>
      <c r="N83" s="3056"/>
      <c r="O83" s="3056"/>
      <c r="P83" s="3056"/>
      <c r="Q83" s="3056"/>
      <c r="R83" s="3056"/>
      <c r="S83" s="3056"/>
      <c r="T83" s="3056"/>
      <c r="U83" s="3056"/>
      <c r="V83" s="3056"/>
      <c r="W83" s="3056"/>
      <c r="X83" s="3056"/>
      <c r="Y83" s="3056"/>
      <c r="Z83" s="3056"/>
      <c r="AA83" s="3056"/>
      <c r="AB83" s="3056"/>
      <c r="AC83" s="3056"/>
      <c r="AD83" s="3056"/>
      <c r="AE83" s="3056"/>
      <c r="AF83" s="3056"/>
      <c r="AG83" s="3056"/>
      <c r="AH83" s="3056"/>
      <c r="AI83" s="3056"/>
      <c r="AJ83" s="3056"/>
      <c r="AK83" s="3056"/>
      <c r="AL83" s="3056"/>
      <c r="AM83" s="3056"/>
      <c r="AN83" s="3056"/>
      <c r="AO83" s="3056"/>
      <c r="AP83" s="3056"/>
      <c r="AQ83" s="3056"/>
      <c r="AR83" s="3056"/>
      <c r="AS83" s="3056"/>
      <c r="AT83" s="3056"/>
      <c r="AU83" s="3056"/>
      <c r="AV83" s="3056"/>
      <c r="AW83" s="3056"/>
      <c r="AX83" s="3056"/>
      <c r="AY83" s="3056"/>
      <c r="AZ83" s="3056"/>
      <c r="BA83" s="3056"/>
      <c r="BB83" s="3056"/>
      <c r="BC83" s="3056"/>
      <c r="BD83" s="3056"/>
      <c r="BE83" s="3056"/>
      <c r="BF83" s="3056"/>
      <c r="BG83" s="3056"/>
      <c r="BH83" s="3056"/>
      <c r="BI83" s="3057"/>
      <c r="BS83" s="169"/>
      <c r="CA83" s="177"/>
      <c r="CC83" s="240" t="s">
        <v>285</v>
      </c>
      <c r="CD83" s="238"/>
      <c r="CE83" s="239"/>
      <c r="CF83" s="2998" t="s">
        <v>286</v>
      </c>
      <c r="CH83" s="170"/>
      <c r="DB83" s="290"/>
    </row>
    <row r="84" spans="2:111" ht="12.9" customHeight="1" thickBot="1">
      <c r="B84" s="3061"/>
      <c r="C84" s="3056"/>
      <c r="D84" s="3056"/>
      <c r="E84" s="3056"/>
      <c r="F84" s="3056"/>
      <c r="G84" s="3056"/>
      <c r="H84" s="3056"/>
      <c r="I84" s="3056"/>
      <c r="J84" s="3056"/>
      <c r="K84" s="3056"/>
      <c r="L84" s="3056"/>
      <c r="M84" s="3056"/>
      <c r="N84" s="3056"/>
      <c r="O84" s="3056"/>
      <c r="P84" s="3056"/>
      <c r="Q84" s="3056"/>
      <c r="R84" s="3056"/>
      <c r="S84" s="3056"/>
      <c r="T84" s="3056"/>
      <c r="U84" s="3056"/>
      <c r="V84" s="3056"/>
      <c r="W84" s="3056"/>
      <c r="X84" s="3056"/>
      <c r="Y84" s="3056"/>
      <c r="Z84" s="3056"/>
      <c r="AA84" s="3056"/>
      <c r="AB84" s="3056"/>
      <c r="AC84" s="3056"/>
      <c r="AD84" s="3056"/>
      <c r="AE84" s="3056"/>
      <c r="AF84" s="3056"/>
      <c r="AG84" s="3056"/>
      <c r="AH84" s="3056"/>
      <c r="AI84" s="3056"/>
      <c r="AJ84" s="3056"/>
      <c r="AK84" s="3056"/>
      <c r="AL84" s="3056"/>
      <c r="AM84" s="3056"/>
      <c r="AN84" s="3056"/>
      <c r="AO84" s="3056"/>
      <c r="AP84" s="3056"/>
      <c r="AQ84" s="3056"/>
      <c r="AR84" s="3056"/>
      <c r="AS84" s="3056"/>
      <c r="AT84" s="3056"/>
      <c r="AU84" s="3056"/>
      <c r="AV84" s="3056"/>
      <c r="AW84" s="3056"/>
      <c r="AX84" s="3056"/>
      <c r="AY84" s="3056"/>
      <c r="AZ84" s="3056"/>
      <c r="BA84" s="3056"/>
      <c r="BB84" s="3056"/>
      <c r="BC84" s="3056"/>
      <c r="BD84" s="3056"/>
      <c r="BE84" s="3056"/>
      <c r="BF84" s="3056"/>
      <c r="BG84" s="3056"/>
      <c r="BH84" s="3056"/>
      <c r="BI84" s="3057"/>
      <c r="BQ84" s="161"/>
      <c r="BR84" s="173"/>
      <c r="BS84" s="169"/>
      <c r="CA84" s="177"/>
      <c r="CC84" s="241" t="s">
        <v>85</v>
      </c>
      <c r="CD84" s="164"/>
      <c r="CE84" s="167"/>
      <c r="CF84" s="2998"/>
      <c r="CH84" s="170"/>
      <c r="DB84" s="290"/>
    </row>
    <row r="85" spans="2:111" ht="12.9" customHeight="1" thickBot="1">
      <c r="B85" s="3062"/>
      <c r="C85" s="3063"/>
      <c r="D85" s="3063"/>
      <c r="E85" s="3063"/>
      <c r="F85" s="3063"/>
      <c r="G85" s="3063"/>
      <c r="H85" s="3063"/>
      <c r="I85" s="3063"/>
      <c r="J85" s="3063"/>
      <c r="K85" s="3063"/>
      <c r="L85" s="3063"/>
      <c r="M85" s="3063"/>
      <c r="N85" s="3063"/>
      <c r="O85" s="3063"/>
      <c r="P85" s="3063"/>
      <c r="Q85" s="3063"/>
      <c r="R85" s="3063"/>
      <c r="S85" s="3063"/>
      <c r="T85" s="3063"/>
      <c r="U85" s="3063"/>
      <c r="V85" s="3063"/>
      <c r="W85" s="3063"/>
      <c r="X85" s="3063"/>
      <c r="Y85" s="3063"/>
      <c r="Z85" s="3063"/>
      <c r="AA85" s="3063"/>
      <c r="AB85" s="3063"/>
      <c r="AC85" s="3063"/>
      <c r="AD85" s="3063"/>
      <c r="AE85" s="3063"/>
      <c r="AF85" s="3063"/>
      <c r="AG85" s="3063"/>
      <c r="AH85" s="3063"/>
      <c r="AI85" s="3063"/>
      <c r="AJ85" s="3063"/>
      <c r="AK85" s="3063"/>
      <c r="AL85" s="3063"/>
      <c r="AM85" s="3063"/>
      <c r="AN85" s="3063"/>
      <c r="AO85" s="3063"/>
      <c r="AP85" s="3063"/>
      <c r="AQ85" s="3063"/>
      <c r="AR85" s="3063"/>
      <c r="AS85" s="3063"/>
      <c r="AT85" s="3063"/>
      <c r="AU85" s="3063"/>
      <c r="AV85" s="3063"/>
      <c r="AW85" s="3063"/>
      <c r="AX85" s="3063"/>
      <c r="AY85" s="3063"/>
      <c r="AZ85" s="3063"/>
      <c r="BA85" s="3063"/>
      <c r="BB85" s="3063"/>
      <c r="BC85" s="3063"/>
      <c r="BD85" s="3063"/>
      <c r="BE85" s="3063"/>
      <c r="BF85" s="3063"/>
      <c r="BG85" s="3063"/>
      <c r="BH85" s="3063"/>
      <c r="BI85" s="3064"/>
      <c r="BQ85" s="163"/>
      <c r="BR85" s="173"/>
      <c r="BS85" s="169"/>
      <c r="BT85" s="3107" t="s">
        <v>235</v>
      </c>
      <c r="BU85" s="3108"/>
      <c r="BV85" s="3108"/>
      <c r="BW85" s="3108"/>
      <c r="BX85" s="3108"/>
      <c r="BY85" s="3108"/>
      <c r="BZ85" s="3109"/>
      <c r="CA85" s="177"/>
      <c r="CC85" s="244" t="str">
        <f>IF(AB7="Elev.",CC84,CC83)</f>
        <v>ELEVATION  (ft)</v>
      </c>
      <c r="CD85" s="242"/>
      <c r="CE85" s="243"/>
      <c r="CF85" s="246" t="s">
        <v>287</v>
      </c>
      <c r="CH85" s="170"/>
      <c r="DB85" s="290"/>
    </row>
    <row r="86" spans="2:111" ht="15.9" customHeight="1">
      <c r="B86" s="3124"/>
      <c r="C86" s="3125"/>
      <c r="D86" s="3125"/>
      <c r="E86" s="3125"/>
      <c r="F86" s="3125"/>
      <c r="G86" s="3125"/>
      <c r="H86" s="3125"/>
      <c r="I86" s="3125"/>
      <c r="J86" s="3125"/>
      <c r="K86" s="3125"/>
      <c r="L86" s="3125"/>
      <c r="M86" s="3125"/>
      <c r="N86" s="3125"/>
      <c r="O86" s="3125"/>
      <c r="P86" s="3125"/>
      <c r="Q86" s="3125"/>
      <c r="R86" s="3125"/>
      <c r="S86" s="3125"/>
      <c r="T86" s="3125"/>
      <c r="U86" s="3125"/>
      <c r="V86" s="3125"/>
      <c r="W86" s="3125"/>
      <c r="X86" s="3125"/>
      <c r="Y86" s="3125"/>
      <c r="Z86" s="3125"/>
      <c r="AA86" s="3125"/>
      <c r="AB86" s="3125"/>
      <c r="AC86" s="3125"/>
      <c r="AD86" s="3125"/>
      <c r="AE86" s="3125"/>
      <c r="AF86" s="3125"/>
      <c r="AG86" s="3125"/>
      <c r="AH86" s="3125"/>
      <c r="AI86" s="3125"/>
      <c r="AJ86" s="3125"/>
      <c r="AK86" s="3125"/>
      <c r="AL86" s="3125"/>
      <c r="AM86" s="3125"/>
      <c r="AN86" s="3125"/>
      <c r="AO86" s="3125"/>
      <c r="AP86" s="3125"/>
      <c r="AQ86" s="3125"/>
      <c r="AR86" s="3125"/>
      <c r="AS86" s="3125"/>
      <c r="AT86" s="3125"/>
      <c r="AU86" s="3125"/>
      <c r="AV86" s="3125"/>
      <c r="AW86" s="3125"/>
      <c r="AX86" s="3125"/>
      <c r="AY86" s="3125"/>
      <c r="AZ86" s="3125"/>
      <c r="BA86" s="3125"/>
      <c r="BB86" s="3125"/>
      <c r="BC86" s="3125"/>
      <c r="BD86" s="3125"/>
      <c r="BE86" s="3125"/>
      <c r="BF86" s="3125"/>
      <c r="BG86" s="3125"/>
      <c r="BH86" s="3125"/>
      <c r="BI86" s="3126"/>
      <c r="BQ86" s="163"/>
      <c r="BR86" s="173"/>
      <c r="BS86" s="169"/>
      <c r="BV86" s="163" t="s">
        <v>175</v>
      </c>
      <c r="BY86" s="163" t="s">
        <v>176</v>
      </c>
      <c r="CH86" s="170"/>
      <c r="CK86" s="174"/>
      <c r="CL86" s="174"/>
      <c r="CM86" s="174"/>
    </row>
    <row r="87" spans="2:111" ht="21.9" customHeight="1">
      <c r="B87" s="3065" t="s">
        <v>104</v>
      </c>
      <c r="C87" s="3067"/>
      <c r="D87" s="3067"/>
      <c r="E87" s="3067"/>
      <c r="F87" s="3067"/>
      <c r="G87" s="3067"/>
      <c r="H87" s="3067"/>
      <c r="I87" s="3067"/>
      <c r="J87" s="3067"/>
      <c r="K87" s="3067"/>
      <c r="L87" s="3067"/>
      <c r="M87" s="3067"/>
      <c r="N87" s="3067"/>
      <c r="O87" s="3067"/>
      <c r="P87" s="3067"/>
      <c r="Q87" s="3067"/>
      <c r="R87" s="3067"/>
      <c r="S87" s="3067"/>
      <c r="T87" s="3067"/>
      <c r="U87" s="3067"/>
      <c r="V87" s="3067"/>
      <c r="W87" s="3067"/>
      <c r="X87" s="3067"/>
      <c r="Y87" s="3067"/>
      <c r="Z87" s="3067"/>
      <c r="AA87" s="3067"/>
      <c r="AB87" s="3067"/>
      <c r="AC87" s="3067"/>
      <c r="AD87" s="3067"/>
      <c r="AE87" s="3067"/>
      <c r="AF87" s="3067"/>
      <c r="AG87" s="3067"/>
      <c r="AH87" s="3067"/>
      <c r="AI87" s="3067"/>
      <c r="AJ87" s="3067"/>
      <c r="AK87" s="3067"/>
      <c r="AL87" s="3067"/>
      <c r="AM87" s="3067"/>
      <c r="AN87" s="3067"/>
      <c r="AO87" s="3067"/>
      <c r="AP87" s="3067"/>
      <c r="AQ87" s="3067"/>
      <c r="AR87" s="3067"/>
      <c r="AS87" s="3067"/>
      <c r="AT87" s="3067"/>
      <c r="AU87" s="3067"/>
      <c r="AV87" s="3067"/>
      <c r="AW87" s="3067"/>
      <c r="AX87" s="3067"/>
      <c r="AY87" s="3067"/>
      <c r="AZ87" s="3067"/>
      <c r="BA87" s="3067"/>
      <c r="BB87" s="3067"/>
      <c r="BC87" s="3067"/>
      <c r="BD87" s="3067"/>
      <c r="BE87" s="3067"/>
      <c r="BF87" s="3067"/>
      <c r="BG87" s="3067"/>
      <c r="BH87" s="3067"/>
      <c r="BI87" s="200"/>
      <c r="BR87" s="173"/>
      <c r="BS87" s="169"/>
      <c r="BT87" s="217" t="s">
        <v>180</v>
      </c>
      <c r="BU87" s="217" t="s">
        <v>178</v>
      </c>
      <c r="BV87" s="304">
        <f>'Concr. Pg 1'!O102</f>
        <v>0</v>
      </c>
      <c r="BW87" s="160" t="s">
        <v>13</v>
      </c>
      <c r="BX87" s="217" t="s">
        <v>179</v>
      </c>
      <c r="BY87" s="304">
        <f>'Concr. Pg 1'!O106</f>
        <v>0</v>
      </c>
      <c r="BZ87" s="160" t="s">
        <v>13</v>
      </c>
      <c r="CH87" s="170"/>
      <c r="CK87" s="175"/>
      <c r="CL87" s="175"/>
      <c r="CM87" s="174"/>
    </row>
    <row r="88" spans="2:111" ht="21.9" customHeight="1">
      <c r="B88" s="3065"/>
      <c r="C88" s="3067"/>
      <c r="D88" s="3067"/>
      <c r="E88" s="3067"/>
      <c r="F88" s="3067"/>
      <c r="G88" s="3067"/>
      <c r="H88" s="3067"/>
      <c r="I88" s="3067"/>
      <c r="J88" s="3067"/>
      <c r="K88" s="3067"/>
      <c r="L88" s="3067"/>
      <c r="M88" s="3067"/>
      <c r="N88" s="3067"/>
      <c r="O88" s="3067"/>
      <c r="P88" s="3067"/>
      <c r="Q88" s="3067"/>
      <c r="R88" s="3067"/>
      <c r="S88" s="3067"/>
      <c r="T88" s="3067"/>
      <c r="U88" s="3067"/>
      <c r="V88" s="3067"/>
      <c r="W88" s="3067"/>
      <c r="X88" s="3067"/>
      <c r="Y88" s="3067"/>
      <c r="Z88" s="3067"/>
      <c r="AA88" s="3067"/>
      <c r="AB88" s="3067"/>
      <c r="AC88" s="3067"/>
      <c r="AD88" s="3067"/>
      <c r="AE88" s="3067"/>
      <c r="AF88" s="3067"/>
      <c r="AG88" s="3067"/>
      <c r="AH88" s="3067"/>
      <c r="AI88" s="3067"/>
      <c r="AJ88" s="3067"/>
      <c r="AK88" s="3067"/>
      <c r="AL88" s="3067"/>
      <c r="AM88" s="3067"/>
      <c r="AN88" s="3067"/>
      <c r="AO88" s="3067"/>
      <c r="AP88" s="3067"/>
      <c r="AQ88" s="3067"/>
      <c r="AR88" s="3067"/>
      <c r="AS88" s="3067"/>
      <c r="AT88" s="3067"/>
      <c r="AU88" s="3067"/>
      <c r="AV88" s="3067"/>
      <c r="AW88" s="3067"/>
      <c r="AX88" s="3067"/>
      <c r="AY88" s="3067"/>
      <c r="AZ88" s="3067"/>
      <c r="BA88" s="3067"/>
      <c r="BB88" s="3067"/>
      <c r="BC88" s="3067"/>
      <c r="BD88" s="3067"/>
      <c r="BE88" s="3067"/>
      <c r="BF88" s="3067"/>
      <c r="BG88" s="3067"/>
      <c r="BH88" s="3067"/>
      <c r="BI88" s="96"/>
      <c r="BR88" s="173"/>
      <c r="BS88" s="169"/>
      <c r="BT88" s="217" t="s">
        <v>177</v>
      </c>
      <c r="BU88" s="217" t="s">
        <v>181</v>
      </c>
      <c r="BV88" s="304">
        <f>'Concr. Pg 1'!V102</f>
        <v>0</v>
      </c>
      <c r="BW88" s="160" t="s">
        <v>13</v>
      </c>
      <c r="BX88" s="217" t="s">
        <v>182</v>
      </c>
      <c r="BY88" s="304">
        <f>'Concr. Pg 1'!V106</f>
        <v>0</v>
      </c>
      <c r="BZ88" s="160" t="s">
        <v>13</v>
      </c>
      <c r="CH88" s="170"/>
      <c r="CK88" s="175"/>
      <c r="CL88" s="175"/>
      <c r="CM88" s="174"/>
    </row>
    <row r="89" spans="2:111" ht="21.9" customHeight="1">
      <c r="B89" s="3065"/>
      <c r="C89" s="3067"/>
      <c r="D89" s="3067"/>
      <c r="E89" s="3067"/>
      <c r="F89" s="3067"/>
      <c r="G89" s="3067"/>
      <c r="H89" s="3067"/>
      <c r="I89" s="3067"/>
      <c r="J89" s="3067"/>
      <c r="K89" s="3067"/>
      <c r="L89" s="3067"/>
      <c r="M89" s="3067"/>
      <c r="N89" s="3067"/>
      <c r="O89" s="3067"/>
      <c r="P89" s="3067"/>
      <c r="Q89" s="3067"/>
      <c r="R89" s="3067"/>
      <c r="S89" s="3067"/>
      <c r="T89" s="3067"/>
      <c r="U89" s="3067"/>
      <c r="V89" s="3067"/>
      <c r="W89" s="3067"/>
      <c r="X89" s="3067"/>
      <c r="Y89" s="3067"/>
      <c r="Z89" s="3067"/>
      <c r="AA89" s="3067"/>
      <c r="AB89" s="3067"/>
      <c r="AC89" s="3067"/>
      <c r="AD89" s="3067"/>
      <c r="AE89" s="3067"/>
      <c r="AF89" s="3067"/>
      <c r="AG89" s="3067"/>
      <c r="AH89" s="3067"/>
      <c r="AI89" s="3067"/>
      <c r="AJ89" s="3067"/>
      <c r="AK89" s="3067"/>
      <c r="AL89" s="3067"/>
      <c r="AM89" s="3067"/>
      <c r="AN89" s="3067"/>
      <c r="AO89" s="3067"/>
      <c r="AP89" s="3067"/>
      <c r="AQ89" s="3067"/>
      <c r="AR89" s="3067"/>
      <c r="AS89" s="3067"/>
      <c r="AT89" s="3067"/>
      <c r="AU89" s="3067"/>
      <c r="AV89" s="3067"/>
      <c r="AW89" s="3067"/>
      <c r="AX89" s="3067"/>
      <c r="AY89" s="3067"/>
      <c r="AZ89" s="3067"/>
      <c r="BA89" s="3067"/>
      <c r="BB89" s="3067"/>
      <c r="BC89" s="3067"/>
      <c r="BD89" s="3067"/>
      <c r="BE89" s="3067"/>
      <c r="BF89" s="3067"/>
      <c r="BG89" s="3067"/>
      <c r="BH89" s="3067"/>
      <c r="BI89" s="201"/>
      <c r="BR89" s="173"/>
      <c r="BS89" s="169"/>
      <c r="BT89" s="217" t="s">
        <v>184</v>
      </c>
      <c r="BU89" s="217" t="s">
        <v>185</v>
      </c>
      <c r="BV89" s="304">
        <f>BW124</f>
        <v>0</v>
      </c>
      <c r="BW89" s="160" t="s">
        <v>13</v>
      </c>
      <c r="BX89" s="217" t="s">
        <v>186</v>
      </c>
      <c r="BY89" s="304">
        <f>BW126</f>
        <v>0</v>
      </c>
      <c r="BZ89" s="160" t="s">
        <v>13</v>
      </c>
      <c r="CH89" s="170"/>
      <c r="CK89" s="175"/>
      <c r="CL89" s="175"/>
      <c r="CM89" s="174"/>
      <c r="DA89" s="3136" t="s">
        <v>382</v>
      </c>
      <c r="DB89" s="3136"/>
      <c r="DC89" s="3136"/>
      <c r="DD89" s="3136"/>
      <c r="DE89" s="3136"/>
      <c r="DF89" s="3136"/>
      <c r="DG89" s="3136"/>
    </row>
    <row r="90" spans="2:111" ht="9.9" customHeight="1">
      <c r="B90" s="3066"/>
      <c r="C90" s="3063"/>
      <c r="D90" s="3063"/>
      <c r="E90" s="3063"/>
      <c r="F90" s="3063"/>
      <c r="G90" s="3063"/>
      <c r="H90" s="3063"/>
      <c r="I90" s="3063"/>
      <c r="J90" s="3063"/>
      <c r="K90" s="3063"/>
      <c r="L90" s="3063"/>
      <c r="M90" s="3063"/>
      <c r="N90" s="3063"/>
      <c r="O90" s="3063"/>
      <c r="P90" s="3063"/>
      <c r="Q90" s="3063"/>
      <c r="R90" s="3063"/>
      <c r="S90" s="3063"/>
      <c r="T90" s="3063"/>
      <c r="U90" s="3063"/>
      <c r="V90" s="3063"/>
      <c r="W90" s="3063"/>
      <c r="X90" s="3063"/>
      <c r="Y90" s="3063"/>
      <c r="Z90" s="3063"/>
      <c r="AA90" s="3063"/>
      <c r="AB90" s="3063"/>
      <c r="AC90" s="3063"/>
      <c r="AD90" s="3063"/>
      <c r="AE90" s="3063"/>
      <c r="AF90" s="3063"/>
      <c r="AG90" s="3063"/>
      <c r="AH90" s="3063"/>
      <c r="AI90" s="3063"/>
      <c r="AJ90" s="3063"/>
      <c r="AK90" s="3063"/>
      <c r="AL90" s="3063"/>
      <c r="AM90" s="3063"/>
      <c r="AN90" s="3063"/>
      <c r="AO90" s="3063"/>
      <c r="AP90" s="3063"/>
      <c r="AQ90" s="3063"/>
      <c r="AR90" s="3063"/>
      <c r="AS90" s="3063"/>
      <c r="AT90" s="3063"/>
      <c r="AU90" s="3063"/>
      <c r="AV90" s="3063"/>
      <c r="AW90" s="3063"/>
      <c r="AX90" s="3063"/>
      <c r="AY90" s="3063"/>
      <c r="AZ90" s="3063"/>
      <c r="BA90" s="3063"/>
      <c r="BB90" s="3063"/>
      <c r="BC90" s="3063"/>
      <c r="BD90" s="3063"/>
      <c r="BE90" s="3063"/>
      <c r="BF90" s="3063"/>
      <c r="BG90" s="3063"/>
      <c r="BH90" s="3063"/>
      <c r="BI90" s="105"/>
      <c r="BR90" s="173"/>
      <c r="BS90" s="169"/>
      <c r="BV90" s="329">
        <f>(BV87-BV88)+BV89</f>
        <v>0</v>
      </c>
      <c r="BW90" s="3128" t="s">
        <v>264</v>
      </c>
      <c r="BX90" s="3128"/>
      <c r="BY90" s="329">
        <f>(BY87-BY88)+BY89</f>
        <v>0</v>
      </c>
      <c r="CH90" s="170"/>
      <c r="CK90" s="175"/>
      <c r="CL90" s="175"/>
      <c r="CM90" s="174"/>
    </row>
    <row r="91" spans="2:111">
      <c r="BS91" s="169"/>
      <c r="BV91" s="194"/>
      <c r="BW91" s="161"/>
      <c r="BX91" s="161"/>
      <c r="BY91" s="194"/>
      <c r="CH91" s="170"/>
    </row>
    <row r="92" spans="2:111">
      <c r="BS92" s="169"/>
      <c r="CH92" s="170"/>
    </row>
    <row r="93" spans="2:111">
      <c r="BS93" s="169"/>
      <c r="BY93" s="260"/>
      <c r="CH93" s="170"/>
    </row>
    <row r="94" spans="2:111" ht="12.75" customHeight="1">
      <c r="BS94" s="169"/>
      <c r="BT94" s="174"/>
      <c r="BU94" s="174"/>
      <c r="BV94" s="174"/>
      <c r="BW94" s="174"/>
      <c r="BX94" s="174"/>
      <c r="BY94" s="174"/>
      <c r="BZ94" s="174"/>
      <c r="CA94" s="174"/>
      <c r="CB94" s="174"/>
      <c r="CC94" s="173"/>
      <c r="CD94" s="174"/>
      <c r="CE94" s="174"/>
      <c r="CF94" s="174"/>
      <c r="CH94" s="170"/>
    </row>
    <row r="95" spans="2:111">
      <c r="BS95" s="169"/>
      <c r="BT95" s="174"/>
      <c r="BU95" s="174"/>
      <c r="BV95" s="174"/>
      <c r="BW95" s="174"/>
      <c r="BX95" s="174"/>
      <c r="BY95" s="174"/>
      <c r="BZ95" s="174"/>
      <c r="CA95" s="339"/>
      <c r="CB95" s="339"/>
      <c r="CC95" s="174"/>
      <c r="CD95" s="174"/>
      <c r="CE95" s="174"/>
      <c r="CF95" s="174"/>
      <c r="CH95" s="170"/>
    </row>
    <row r="96" spans="2:111">
      <c r="BS96" s="169"/>
      <c r="BT96" s="174"/>
      <c r="BU96" s="174"/>
      <c r="BV96" s="174"/>
      <c r="BW96" s="174"/>
      <c r="BX96" s="174"/>
      <c r="BY96" s="174"/>
      <c r="BZ96" s="174"/>
      <c r="CA96" s="339"/>
      <c r="CB96" s="339"/>
      <c r="CC96" s="174"/>
      <c r="CD96" s="174"/>
      <c r="CE96" s="174"/>
      <c r="CF96" s="174"/>
      <c r="CH96" s="170"/>
    </row>
    <row r="97" spans="71:91" ht="12.75" customHeight="1">
      <c r="BS97" s="169"/>
      <c r="BT97" s="202" t="s">
        <v>271</v>
      </c>
      <c r="BU97" s="202"/>
      <c r="BV97" s="174"/>
      <c r="BW97" s="173"/>
      <c r="BX97" s="173"/>
      <c r="BY97" s="174"/>
      <c r="BZ97" s="174"/>
      <c r="CA97" s="339"/>
      <c r="CB97" s="339"/>
      <c r="CC97" s="174"/>
      <c r="CD97" s="174"/>
      <c r="CE97" s="174"/>
      <c r="CF97" s="174"/>
      <c r="CH97" s="170"/>
      <c r="CJ97" s="199"/>
      <c r="CK97" s="175"/>
      <c r="CL97" s="175"/>
      <c r="CM97" s="174"/>
    </row>
    <row r="98" spans="71:91" ht="14.4">
      <c r="BS98" s="169"/>
      <c r="BT98" s="2274">
        <f>'Concr. Pg 1'!DX120</f>
        <v>0</v>
      </c>
      <c r="BU98" s="2276"/>
      <c r="BV98" s="174"/>
      <c r="BW98" s="339"/>
      <c r="BX98" s="339"/>
      <c r="BY98" s="174"/>
      <c r="BZ98" s="174"/>
      <c r="CA98" s="339"/>
      <c r="CB98" s="339"/>
      <c r="CC98" s="174"/>
      <c r="CD98" s="174"/>
      <c r="CE98" s="174"/>
      <c r="CF98" s="174"/>
      <c r="CH98" s="170"/>
      <c r="CJ98" s="175"/>
      <c r="CK98" s="175"/>
      <c r="CL98" s="175"/>
      <c r="CM98" s="174"/>
    </row>
    <row r="99" spans="71:91" ht="14.4">
      <c r="BS99" s="169"/>
      <c r="BT99" s="3110">
        <f>'Concr. Pg 1'!DX121</f>
        <v>0</v>
      </c>
      <c r="BU99" s="3110"/>
      <c r="BV99" s="174"/>
      <c r="BW99" s="173"/>
      <c r="BX99" s="3133" t="s">
        <v>234</v>
      </c>
      <c r="BY99" s="3133"/>
      <c r="BZ99" s="3133"/>
      <c r="CD99" s="174"/>
      <c r="CE99" s="174"/>
      <c r="CF99" s="174"/>
      <c r="CH99" s="170"/>
      <c r="CJ99" s="199"/>
      <c r="CK99" s="175"/>
      <c r="CL99" s="175"/>
      <c r="CM99" s="174"/>
    </row>
    <row r="100" spans="71:91" ht="14.4">
      <c r="BS100" s="169"/>
      <c r="BT100" s="3074">
        <f>'Concr. Pg 1'!DX122</f>
        <v>0</v>
      </c>
      <c r="BU100" s="3074"/>
      <c r="BV100" s="174"/>
      <c r="BW100" s="174"/>
      <c r="BX100" s="3121" t="s">
        <v>245</v>
      </c>
      <c r="BY100" s="3122"/>
      <c r="BZ100" s="3122"/>
      <c r="CA100" s="3122"/>
      <c r="CB100" s="3122"/>
      <c r="CC100" s="3123"/>
      <c r="CD100" s="173"/>
      <c r="CE100" s="173"/>
      <c r="CF100" s="3134" t="s">
        <v>390</v>
      </c>
      <c r="CG100" s="3134"/>
      <c r="CH100" s="170"/>
      <c r="CK100" s="175"/>
      <c r="CL100" s="175"/>
      <c r="CM100" s="174"/>
    </row>
    <row r="101" spans="71:91" ht="14.4">
      <c r="BS101" s="169"/>
      <c r="BT101" s="3110">
        <f>'Concr. Pg 1'!DX123</f>
        <v>0</v>
      </c>
      <c r="BU101" s="3110"/>
      <c r="BV101" s="174"/>
      <c r="BW101" s="174"/>
      <c r="BX101" s="3054" t="str">
        <f>'Concr. Pg 1'!J11</f>
        <v/>
      </c>
      <c r="BY101" s="3052"/>
      <c r="BZ101" s="3052" t="str">
        <f>'Concr. Pg 1'!J8</f>
        <v/>
      </c>
      <c r="CA101" s="3052"/>
      <c r="CB101" s="3052" t="str">
        <f>'Concr. Pg 1'!AK11</f>
        <v/>
      </c>
      <c r="CC101" s="3053"/>
      <c r="CD101" s="339"/>
      <c r="CE101" s="339"/>
      <c r="CF101" s="237" t="s">
        <v>314</v>
      </c>
      <c r="CH101" s="170"/>
      <c r="CM101" s="174"/>
    </row>
    <row r="102" spans="71:91" ht="14.4">
      <c r="BS102" s="169"/>
      <c r="BT102" s="3074">
        <f>'Concr. Pg 1'!DX124</f>
        <v>0</v>
      </c>
      <c r="BU102" s="3074"/>
      <c r="BV102" s="174"/>
      <c r="BW102" s="174"/>
      <c r="BX102" s="3129" t="str">
        <f>IF(AND(BX101=0,CB101=0),"Project No.  -  Shaft No. (input on Pg. 1)",CONCATENATE(BX101,"    ",BZ101,"    ",CB101))</f>
        <v xml:space="preserve">        </v>
      </c>
      <c r="BY102" s="3130"/>
      <c r="BZ102" s="3130"/>
      <c r="CA102" s="3130"/>
      <c r="CB102" s="3130"/>
      <c r="CC102" s="2992"/>
      <c r="CD102" s="339"/>
      <c r="CE102" s="339"/>
      <c r="CF102" s="237" t="s">
        <v>315</v>
      </c>
      <c r="CH102" s="170"/>
      <c r="CM102" s="174"/>
    </row>
    <row r="103" spans="71:91" ht="14.4">
      <c r="BS103" s="169"/>
      <c r="BT103" s="3075">
        <f>'Concr. Pg 1'!L28</f>
        <v>0</v>
      </c>
      <c r="BU103" s="3075"/>
      <c r="BV103" s="174" t="s">
        <v>232</v>
      </c>
      <c r="BW103" s="173"/>
      <c r="BX103" s="173"/>
      <c r="BY103" s="174"/>
      <c r="BZ103" s="174"/>
      <c r="CA103" s="339"/>
      <c r="CB103" s="339"/>
      <c r="CC103" s="174"/>
      <c r="CD103" s="339"/>
      <c r="CE103" s="339"/>
      <c r="CF103" s="174"/>
      <c r="CH103" s="170"/>
      <c r="CM103" s="174"/>
    </row>
    <row r="104" spans="71:91" ht="14.4">
      <c r="BS104" s="169"/>
      <c r="BT104" s="3075">
        <f>'Concr. Pg 1'!L31</f>
        <v>0</v>
      </c>
      <c r="BU104" s="3075"/>
      <c r="BV104" s="174" t="s">
        <v>437</v>
      </c>
      <c r="BW104" s="174"/>
      <c r="BX104" s="174"/>
      <c r="BY104" s="174"/>
      <c r="BZ104" s="174"/>
      <c r="CA104" s="339"/>
      <c r="CB104" s="339"/>
      <c r="CC104" s="174"/>
      <c r="CD104" s="339"/>
      <c r="CE104" s="339"/>
      <c r="CF104" s="174"/>
      <c r="CH104" s="170"/>
      <c r="CM104" s="174"/>
    </row>
    <row r="105" spans="71:91" ht="14.4">
      <c r="BS105" s="169"/>
      <c r="BT105" s="3075">
        <f>'Concr. Pg 1'!L34</f>
        <v>0</v>
      </c>
      <c r="BU105" s="3075"/>
      <c r="BV105" s="174" t="s">
        <v>438</v>
      </c>
      <c r="BW105" s="339"/>
      <c r="BX105" s="339"/>
      <c r="BY105" s="174"/>
      <c r="BZ105" s="174"/>
      <c r="CA105" s="339"/>
      <c r="CB105" s="339"/>
      <c r="CC105" s="174"/>
      <c r="CD105" s="339"/>
      <c r="CE105" s="339"/>
      <c r="CF105" s="174"/>
      <c r="CH105" s="170"/>
      <c r="CM105" s="174"/>
    </row>
    <row r="106" spans="71:91" ht="12.75" customHeight="1">
      <c r="BS106" s="169"/>
      <c r="BT106" s="174"/>
      <c r="BU106" s="174"/>
      <c r="BV106" s="174"/>
      <c r="BW106" s="339"/>
      <c r="BX106" s="339"/>
      <c r="BY106" s="174"/>
      <c r="BZ106" s="174"/>
      <c r="CA106" s="173"/>
      <c r="CB106" s="173"/>
      <c r="CC106" s="174"/>
      <c r="CD106" s="338"/>
      <c r="CE106" s="338"/>
      <c r="CF106" s="2986" t="s">
        <v>70</v>
      </c>
      <c r="CH106" s="170"/>
      <c r="CM106" s="174"/>
    </row>
    <row r="107" spans="71:91">
      <c r="BS107" s="169"/>
      <c r="BT107" s="174"/>
      <c r="BU107" s="174"/>
      <c r="BV107" s="174"/>
      <c r="BW107" s="173"/>
      <c r="BX107" s="173"/>
      <c r="BY107" s="174"/>
      <c r="BZ107" s="174"/>
      <c r="CA107" s="174"/>
      <c r="CB107" s="174"/>
      <c r="CC107" s="174"/>
      <c r="CD107" s="338"/>
      <c r="CE107" s="338"/>
      <c r="CF107" s="2987"/>
      <c r="CH107" s="170"/>
      <c r="CM107" s="174"/>
    </row>
    <row r="108" spans="71:91">
      <c r="BS108" s="169"/>
      <c r="BT108" s="174"/>
      <c r="BU108" s="174"/>
      <c r="BV108" s="174"/>
      <c r="BW108" s="174"/>
      <c r="BX108" s="174"/>
      <c r="BY108" s="174"/>
      <c r="BZ108" s="174"/>
      <c r="CA108" s="174"/>
      <c r="CB108" s="174"/>
      <c r="CC108" s="174"/>
      <c r="CD108" s="176"/>
      <c r="CE108" s="174"/>
      <c r="CF108" s="2988"/>
      <c r="CH108" s="170"/>
      <c r="CM108" s="174"/>
    </row>
    <row r="109" spans="71:91">
      <c r="BS109" s="169"/>
      <c r="BT109" s="174"/>
      <c r="BU109" s="174"/>
      <c r="BV109" s="174"/>
      <c r="BW109" s="174"/>
      <c r="BX109" s="174"/>
      <c r="BY109" s="174"/>
      <c r="BZ109" s="174"/>
      <c r="CA109" s="339"/>
      <c r="CB109" s="339"/>
      <c r="CC109" s="174"/>
      <c r="CD109" s="176"/>
      <c r="CE109" s="174"/>
      <c r="CF109" s="40"/>
      <c r="CH109" s="170"/>
    </row>
    <row r="110" spans="71:91">
      <c r="BS110" s="169"/>
      <c r="BT110" s="174"/>
      <c r="BU110" s="174"/>
      <c r="BV110" s="174"/>
      <c r="BW110" s="339"/>
      <c r="BX110" s="339"/>
      <c r="BY110" s="174"/>
      <c r="BZ110" s="174"/>
      <c r="CA110" s="339"/>
      <c r="CB110" s="339"/>
      <c r="CC110" s="174"/>
      <c r="CD110" s="338"/>
      <c r="CE110" s="338"/>
      <c r="CF110" s="40">
        <v>1</v>
      </c>
      <c r="CH110" s="170"/>
    </row>
    <row r="111" spans="71:91">
      <c r="BS111" s="169"/>
      <c r="BT111" s="174"/>
      <c r="BU111" s="174"/>
      <c r="BV111" s="174"/>
      <c r="BW111" s="339"/>
      <c r="BX111" s="339"/>
      <c r="BY111" s="174"/>
      <c r="BZ111" s="174"/>
      <c r="CA111" s="339"/>
      <c r="CB111" s="339"/>
      <c r="CC111" s="174"/>
      <c r="CD111" s="338"/>
      <c r="CE111" s="338"/>
      <c r="CF111" s="40">
        <v>2</v>
      </c>
      <c r="CH111" s="170"/>
    </row>
    <row r="112" spans="71:91">
      <c r="BS112" s="169"/>
      <c r="BT112" s="174"/>
      <c r="BU112" s="174"/>
      <c r="BV112" s="174"/>
      <c r="BW112" s="339"/>
      <c r="BX112" s="339"/>
      <c r="BY112" s="174"/>
      <c r="BZ112" s="174"/>
      <c r="CA112" s="339"/>
      <c r="CB112" s="339"/>
      <c r="CC112" s="174"/>
      <c r="CD112" s="338"/>
      <c r="CE112" s="338"/>
      <c r="CF112" s="40">
        <v>3</v>
      </c>
      <c r="CH112" s="170"/>
    </row>
    <row r="113" spans="71:86">
      <c r="BS113" s="169"/>
      <c r="BT113" s="174"/>
      <c r="BU113" s="174"/>
      <c r="BV113" s="174"/>
      <c r="BW113" s="173"/>
      <c r="BX113" s="173"/>
      <c r="BY113" s="174"/>
      <c r="BZ113" s="174"/>
      <c r="CA113" s="173"/>
      <c r="CB113" s="173"/>
      <c r="CC113" s="174"/>
      <c r="CD113" s="338"/>
      <c r="CE113" s="338"/>
      <c r="CF113" s="40">
        <v>4</v>
      </c>
      <c r="CH113" s="170"/>
    </row>
    <row r="114" spans="71:86" ht="12.75" customHeight="1">
      <c r="BS114" s="169"/>
      <c r="CA114" s="338"/>
      <c r="CB114" s="337"/>
      <c r="CD114" s="337"/>
      <c r="CE114" s="337"/>
      <c r="CF114" s="40">
        <v>5</v>
      </c>
      <c r="CH114" s="170"/>
    </row>
    <row r="115" spans="71:86">
      <c r="BS115" s="169"/>
      <c r="BT115" s="208" t="s">
        <v>253</v>
      </c>
      <c r="BU115" s="220" t="s">
        <v>250</v>
      </c>
      <c r="BY115" s="172" t="s">
        <v>249</v>
      </c>
      <c r="CA115" s="337"/>
      <c r="CB115" s="337"/>
      <c r="CD115" s="337"/>
      <c r="CE115" s="337"/>
      <c r="CF115" s="40">
        <v>6</v>
      </c>
      <c r="CH115" s="170"/>
    </row>
    <row r="116" spans="71:86">
      <c r="BS116" s="169"/>
      <c r="BT116" s="209" t="s">
        <v>247</v>
      </c>
      <c r="BU116" s="194" t="s">
        <v>259</v>
      </c>
      <c r="BV116" s="194" t="s">
        <v>258</v>
      </c>
      <c r="BW116" s="194" t="s">
        <v>258</v>
      </c>
      <c r="BY116" s="172" t="s">
        <v>246</v>
      </c>
      <c r="BZ116" s="3087" t="s">
        <v>248</v>
      </c>
      <c r="CA116" s="337"/>
      <c r="CB116" s="337"/>
      <c r="CF116" s="40">
        <v>7</v>
      </c>
      <c r="CH116" s="170"/>
    </row>
    <row r="117" spans="71:86">
      <c r="BS117" s="169"/>
      <c r="BT117" s="210" t="s">
        <v>255</v>
      </c>
      <c r="BU117" s="197" t="str">
        <f>'Concr. Pg 1'!CA25</f>
        <v>*(in)</v>
      </c>
      <c r="BV117" s="219">
        <f>'Concr. Pg 1'!CC25</f>
        <v>0</v>
      </c>
      <c r="BW117" s="162">
        <f>IF('Concr. Pg 1'!CA25="*(in)",'Concr. Pg 1'!CC25/12,'Concr. Pg 1'!CC25)</f>
        <v>0</v>
      </c>
      <c r="BX117" s="218" t="s">
        <v>246</v>
      </c>
      <c r="BY117" s="162">
        <f>IF(BW117=0,BU79,BW117)</f>
        <v>0</v>
      </c>
      <c r="BZ117" s="3087"/>
      <c r="CA117" s="337"/>
      <c r="CB117" s="337"/>
      <c r="CF117" s="40">
        <v>8</v>
      </c>
      <c r="CH117" s="170"/>
    </row>
    <row r="118" spans="71:86">
      <c r="BS118" s="169"/>
      <c r="BT118" s="211"/>
      <c r="BV118" s="178"/>
      <c r="BX118" s="193"/>
      <c r="BY118" s="194"/>
      <c r="BZ118" s="3087"/>
      <c r="CA118" s="337"/>
      <c r="CB118" s="337"/>
      <c r="CE118" s="199"/>
      <c r="CF118" s="40">
        <v>9</v>
      </c>
      <c r="CH118" s="170"/>
    </row>
    <row r="119" spans="71:86">
      <c r="BS119" s="169"/>
      <c r="BT119" s="212" t="s">
        <v>256</v>
      </c>
      <c r="BU119" s="194" t="s">
        <v>260</v>
      </c>
      <c r="BV119" s="194" t="s">
        <v>261</v>
      </c>
      <c r="BW119" s="194" t="s">
        <v>261</v>
      </c>
      <c r="BZ119" s="3087"/>
      <c r="CA119" s="337"/>
      <c r="CB119" s="337"/>
      <c r="CF119" s="40">
        <v>10</v>
      </c>
      <c r="CH119" s="170"/>
    </row>
    <row r="120" spans="71:86" ht="12.75" customHeight="1">
      <c r="BS120" s="169"/>
      <c r="BT120" s="213" t="s">
        <v>254</v>
      </c>
      <c r="BU120" s="197" t="str">
        <f>'Concr. Pg 1'!CA28</f>
        <v xml:space="preserve">*(ft) </v>
      </c>
      <c r="BV120" s="219">
        <f>'Concr. Pg 1'!CC28</f>
        <v>0</v>
      </c>
      <c r="BW120" s="198">
        <f>IF('Concr. Pg 1'!CA28="*(in)",'Concr. Pg 1'!CC28/12,'Concr. Pg 1'!CC28)</f>
        <v>0</v>
      </c>
      <c r="BX120" s="218" t="s">
        <v>251</v>
      </c>
      <c r="BY120" s="199"/>
      <c r="BZ120" s="179"/>
      <c r="CA120" s="337"/>
      <c r="CB120" s="337"/>
      <c r="CH120" s="170"/>
    </row>
    <row r="121" spans="71:86">
      <c r="BS121" s="169"/>
      <c r="BW121" s="3127" t="s">
        <v>252</v>
      </c>
      <c r="BX121" s="3127"/>
      <c r="BY121" s="3127"/>
      <c r="CA121" s="337"/>
      <c r="CB121" s="337"/>
      <c r="CH121" s="170"/>
    </row>
    <row r="122" spans="71:86">
      <c r="BS122" s="169"/>
      <c r="BU122" s="220" t="s">
        <v>250</v>
      </c>
      <c r="CA122" s="337"/>
      <c r="CB122" s="337"/>
      <c r="CH122" s="170"/>
    </row>
    <row r="123" spans="71:86">
      <c r="BS123" s="169"/>
      <c r="BU123" s="194" t="s">
        <v>257</v>
      </c>
      <c r="BV123" s="194" t="s">
        <v>262</v>
      </c>
      <c r="BW123" s="194" t="s">
        <v>262</v>
      </c>
      <c r="BX123" s="193"/>
      <c r="CA123" s="337"/>
      <c r="CB123" s="337"/>
      <c r="CH123" s="170"/>
    </row>
    <row r="124" spans="71:86">
      <c r="BS124" s="169"/>
      <c r="BT124" s="209" t="s">
        <v>112</v>
      </c>
      <c r="BU124" s="197" t="str">
        <f>'Concr. Pg 1'!K99</f>
        <v xml:space="preserve">*(ft) </v>
      </c>
      <c r="BV124" s="219">
        <f>'Concr. Pg 1'!I102</f>
        <v>0</v>
      </c>
      <c r="BW124" s="304">
        <f>IF('Concr. Pg 1'!K99="*(in)",'Concr. Pg 1'!I102/12,'Concr. Pg 1'!I102)</f>
        <v>0</v>
      </c>
      <c r="BX124" s="218" t="s">
        <v>246</v>
      </c>
      <c r="BY124" s="195"/>
      <c r="CH124" s="170"/>
    </row>
    <row r="125" spans="71:86">
      <c r="BS125" s="169"/>
      <c r="BU125" s="194" t="s">
        <v>257</v>
      </c>
      <c r="BV125" s="194" t="s">
        <v>263</v>
      </c>
      <c r="BW125" s="194" t="s">
        <v>263</v>
      </c>
      <c r="BX125" s="193"/>
      <c r="BY125" s="193"/>
      <c r="CH125" s="170"/>
    </row>
    <row r="126" spans="71:86">
      <c r="BS126" s="169"/>
      <c r="BT126" s="209" t="s">
        <v>113</v>
      </c>
      <c r="BU126" s="197" t="str">
        <f>'Concr. Pg 1'!K99</f>
        <v xml:space="preserve">*(ft) </v>
      </c>
      <c r="BV126" s="219">
        <f>'Concr. Pg 1'!I106</f>
        <v>0</v>
      </c>
      <c r="BW126" s="304">
        <f>IF('Concr. Pg 1'!K99="*(in)",'Concr. Pg 1'!I106/12,'Concr. Pg 1'!I106)</f>
        <v>0</v>
      </c>
      <c r="BX126" s="218" t="s">
        <v>246</v>
      </c>
      <c r="BY126" s="195"/>
      <c r="CH126" s="170"/>
    </row>
    <row r="127" spans="71:86">
      <c r="BS127" s="169"/>
      <c r="CH127" s="170"/>
    </row>
    <row r="128" spans="71:86">
      <c r="BS128" s="169"/>
      <c r="CH128" s="170"/>
    </row>
    <row r="129" spans="71:86">
      <c r="BS129" s="169"/>
      <c r="CH129" s="170"/>
    </row>
    <row r="130" spans="71:86">
      <c r="BS130" s="168"/>
      <c r="BT130" s="171"/>
      <c r="BU130" s="171"/>
      <c r="BV130" s="171"/>
      <c r="BW130" s="171"/>
      <c r="BX130" s="171"/>
      <c r="BY130" s="171"/>
      <c r="BZ130" s="171"/>
      <c r="CA130" s="171"/>
      <c r="CB130" s="171"/>
      <c r="CC130" s="171"/>
      <c r="CD130" s="171"/>
      <c r="CE130" s="171"/>
      <c r="CF130" s="171"/>
      <c r="CG130" s="171"/>
      <c r="CH130" s="165"/>
    </row>
    <row r="134" spans="71:86" ht="12.75" customHeight="1"/>
  </sheetData>
  <sheetProtection algorithmName="SHA-512" hashValue="lfNnvSeWzKUDbCFmNdVmfGH8nAabxNxQdatdgehkqSkKGs1sWLQBAdLrFSRgoIGlwrotBVsGqYRsuOUX6ipVGQ==" saltValue="RxuDYsmaGs3AKRiWCeN5eA==" spinCount="100000" sheet="1" selectLockedCells="1"/>
  <mergeCells count="211">
    <mergeCell ref="DK17:DL17"/>
    <mergeCell ref="DI48:DJ48"/>
    <mergeCell ref="DI49:DJ49"/>
    <mergeCell ref="DI50:DJ50"/>
    <mergeCell ref="DL48:DM48"/>
    <mergeCell ref="DL49:DM49"/>
    <mergeCell ref="BW121:BY121"/>
    <mergeCell ref="BW90:BX90"/>
    <mergeCell ref="BX102:CC102"/>
    <mergeCell ref="CC81:CD81"/>
    <mergeCell ref="CC82:CD82"/>
    <mergeCell ref="BX99:BZ99"/>
    <mergeCell ref="CF100:CG100"/>
    <mergeCell ref="CP62:CQ62"/>
    <mergeCell ref="CP63:CQ63"/>
    <mergeCell ref="CP64:CQ64"/>
    <mergeCell ref="DA89:DG89"/>
    <mergeCell ref="CU49:CW53"/>
    <mergeCell ref="CU55:CW55"/>
    <mergeCell ref="CU70:CY70"/>
    <mergeCell ref="CZ48:DA48"/>
    <mergeCell ref="CZ49:DA49"/>
    <mergeCell ref="CZ50:DA50"/>
    <mergeCell ref="DC48:DD48"/>
    <mergeCell ref="B4:BI4"/>
    <mergeCell ref="C5:H5"/>
    <mergeCell ref="I5:V5"/>
    <mergeCell ref="BX100:CC100"/>
    <mergeCell ref="BS21:BU21"/>
    <mergeCell ref="BS22:BU22"/>
    <mergeCell ref="BB8:BF8"/>
    <mergeCell ref="DF48:DG48"/>
    <mergeCell ref="DF49:DG49"/>
    <mergeCell ref="DF50:DG50"/>
    <mergeCell ref="DA23:DB23"/>
    <mergeCell ref="DA27:DB27"/>
    <mergeCell ref="DA31:DB31"/>
    <mergeCell ref="DA35:DB35"/>
    <mergeCell ref="DC50:DD50"/>
    <mergeCell ref="DE23:DH23"/>
    <mergeCell ref="CZ20:DC20"/>
    <mergeCell ref="CU23:CX23"/>
    <mergeCell ref="CU20:CX20"/>
    <mergeCell ref="CV19:CW19"/>
    <mergeCell ref="DA17:DB17"/>
    <mergeCell ref="DF17:DG17"/>
    <mergeCell ref="B86:BI86"/>
    <mergeCell ref="C7:H7"/>
    <mergeCell ref="B1:N1"/>
    <mergeCell ref="O1:AV1"/>
    <mergeCell ref="AW1:BI1"/>
    <mergeCell ref="B2:N2"/>
    <mergeCell ref="O2:AV2"/>
    <mergeCell ref="AW2:BI2"/>
    <mergeCell ref="B3:N3"/>
    <mergeCell ref="O3:AV3"/>
    <mergeCell ref="AW3:BI3"/>
    <mergeCell ref="BT104:BU104"/>
    <mergeCell ref="BZ116:BZ119"/>
    <mergeCell ref="C8:H8"/>
    <mergeCell ref="I9:V9"/>
    <mergeCell ref="AN9:AS9"/>
    <mergeCell ref="AW9:BA9"/>
    <mergeCell ref="Z8:AI8"/>
    <mergeCell ref="W9:AI9"/>
    <mergeCell ref="B10:AT10"/>
    <mergeCell ref="BT105:BU105"/>
    <mergeCell ref="BS17:BU17"/>
    <mergeCell ref="BS18:BU18"/>
    <mergeCell ref="C9:H9"/>
    <mergeCell ref="BN15:BO15"/>
    <mergeCell ref="BO10:BQ14"/>
    <mergeCell ref="BZ13:CA13"/>
    <mergeCell ref="BZ12:CA12"/>
    <mergeCell ref="BK8:CB8"/>
    <mergeCell ref="BT85:BZ85"/>
    <mergeCell ref="BT98:BU98"/>
    <mergeCell ref="BT99:BU99"/>
    <mergeCell ref="BT100:BU100"/>
    <mergeCell ref="BG8:BH8"/>
    <mergeCell ref="BT101:BU101"/>
    <mergeCell ref="BT102:BU102"/>
    <mergeCell ref="BT103:BU103"/>
    <mergeCell ref="I8:V8"/>
    <mergeCell ref="W8:Y8"/>
    <mergeCell ref="AJ8:AM8"/>
    <mergeCell ref="AO7:AT7"/>
    <mergeCell ref="AN8:AS8"/>
    <mergeCell ref="AW8:BA8"/>
    <mergeCell ref="BL3:BQ6"/>
    <mergeCell ref="BB7:BF7"/>
    <mergeCell ref="BA5:BC5"/>
    <mergeCell ref="I7:V7"/>
    <mergeCell ref="BG7:BH7"/>
    <mergeCell ref="W7:AA7"/>
    <mergeCell ref="AB7:AF7"/>
    <mergeCell ref="AJ9:AM9"/>
    <mergeCell ref="BS63:BS64"/>
    <mergeCell ref="BS32:BU32"/>
    <mergeCell ref="BS50:BU50"/>
    <mergeCell ref="BS43:BU43"/>
    <mergeCell ref="BS44:BU44"/>
    <mergeCell ref="BS45:BU45"/>
    <mergeCell ref="BS46:BU46"/>
    <mergeCell ref="BS56:BU56"/>
    <mergeCell ref="CB101:CC101"/>
    <mergeCell ref="BZ101:CA101"/>
    <mergeCell ref="BX101:BY101"/>
    <mergeCell ref="BB9:BF9"/>
    <mergeCell ref="BS41:BU41"/>
    <mergeCell ref="BS47:BU47"/>
    <mergeCell ref="BS51:BU51"/>
    <mergeCell ref="BS52:BU52"/>
    <mergeCell ref="BS53:BU53"/>
    <mergeCell ref="AW10:BI10"/>
    <mergeCell ref="B11:BI85"/>
    <mergeCell ref="BS54:BU54"/>
    <mergeCell ref="B87:B90"/>
    <mergeCell ref="C87:BH87"/>
    <mergeCell ref="C88:BH88"/>
    <mergeCell ref="C89:BH89"/>
    <mergeCell ref="C90:BH90"/>
    <mergeCell ref="BP9:BQ9"/>
    <mergeCell ref="BS19:BU19"/>
    <mergeCell ref="BS20:BU20"/>
    <mergeCell ref="AU7:AV10"/>
    <mergeCell ref="AW7:BA7"/>
    <mergeCell ref="BG9:BH9"/>
    <mergeCell ref="AG7:AN7"/>
    <mergeCell ref="C6:H6"/>
    <mergeCell ref="I6:V6"/>
    <mergeCell ref="W6:AA6"/>
    <mergeCell ref="AB6:AF6"/>
    <mergeCell ref="AG6:AL6"/>
    <mergeCell ref="AM6:AT6"/>
    <mergeCell ref="AU6:AX6"/>
    <mergeCell ref="AY6:BH6"/>
    <mergeCell ref="BD5:BE5"/>
    <mergeCell ref="BF5:BH5"/>
    <mergeCell ref="CD16:CE29"/>
    <mergeCell ref="BS40:BU40"/>
    <mergeCell ref="BS31:BU31"/>
    <mergeCell ref="CP59:CS59"/>
    <mergeCell ref="W5:AA5"/>
    <mergeCell ref="AB5:AF5"/>
    <mergeCell ref="AG5:AN5"/>
    <mergeCell ref="AO5:AV5"/>
    <mergeCell ref="AW5:AZ5"/>
    <mergeCell ref="BS42:BU42"/>
    <mergeCell ref="BS23:BU23"/>
    <mergeCell ref="BS24:BU24"/>
    <mergeCell ref="BV10:BX13"/>
    <mergeCell ref="BS10:BU15"/>
    <mergeCell ref="BS34:BU34"/>
    <mergeCell ref="BS35:BU35"/>
    <mergeCell ref="BS25:BU25"/>
    <mergeCell ref="BS33:BU33"/>
    <mergeCell ref="BS36:BU36"/>
    <mergeCell ref="BS37:BU37"/>
    <mergeCell ref="BS38:BU38"/>
    <mergeCell ref="BL11:BL15"/>
    <mergeCell ref="BM11:BM15"/>
    <mergeCell ref="BS39:BU39"/>
    <mergeCell ref="BS60:BV60"/>
    <mergeCell ref="BS57:BV57"/>
    <mergeCell ref="BS59:BU59"/>
    <mergeCell ref="CV17:CW17"/>
    <mergeCell ref="CQ14:CR14"/>
    <mergeCell ref="DF27:DG27"/>
    <mergeCell ref="DK27:DL27"/>
    <mergeCell ref="CQ23:CR23"/>
    <mergeCell ref="CQ27:CR27"/>
    <mergeCell ref="CQ31:CR31"/>
    <mergeCell ref="CQ35:CR35"/>
    <mergeCell ref="BS55:BU55"/>
    <mergeCell ref="BS48:BU48"/>
    <mergeCell ref="BS49:BU49"/>
    <mergeCell ref="CU44:CW44"/>
    <mergeCell ref="CQ43:CR43"/>
    <mergeCell ref="CQ47:CR47"/>
    <mergeCell ref="CQ51:CR51"/>
    <mergeCell ref="CQ55:CR55"/>
    <mergeCell ref="CQ17:CR17"/>
    <mergeCell ref="CP40:CS40"/>
    <mergeCell ref="BS26:BU26"/>
    <mergeCell ref="BS27:BU27"/>
    <mergeCell ref="BS28:BU28"/>
    <mergeCell ref="BS29:BU29"/>
    <mergeCell ref="BS30:BU30"/>
    <mergeCell ref="BS16:BU16"/>
    <mergeCell ref="CF106:CF108"/>
    <mergeCell ref="DF31:DG31"/>
    <mergeCell ref="DK31:DL31"/>
    <mergeCell ref="DF35:DG35"/>
    <mergeCell ref="DK35:DL35"/>
    <mergeCell ref="CV27:CW27"/>
    <mergeCell ref="CV31:CW31"/>
    <mergeCell ref="CV35:CW35"/>
    <mergeCell ref="CQ19:CR19"/>
    <mergeCell ref="CP20:CS20"/>
    <mergeCell ref="DJ23:DM23"/>
    <mergeCell ref="DA19:DB19"/>
    <mergeCell ref="DF19:DG19"/>
    <mergeCell ref="DK19:DL19"/>
    <mergeCell ref="DE20:DH20"/>
    <mergeCell ref="DJ20:DM20"/>
    <mergeCell ref="CE81:CF82"/>
    <mergeCell ref="CF83:CF84"/>
    <mergeCell ref="CH22:CK23"/>
    <mergeCell ref="CI24:CO24"/>
    <mergeCell ref="DC49:DD49"/>
  </mergeCells>
  <conditionalFormatting sqref="I8:V8">
    <cfRule type="expression" dxfId="35" priority="9">
      <formula>I8=BT98</formula>
    </cfRule>
  </conditionalFormatting>
  <conditionalFormatting sqref="I9:V9">
    <cfRule type="expression" dxfId="34" priority="8">
      <formula>I9=BT101</formula>
    </cfRule>
  </conditionalFormatting>
  <conditionalFormatting sqref="Z8:AI8">
    <cfRule type="expression" dxfId="33" priority="7">
      <formula>Z8=BT99</formula>
    </cfRule>
  </conditionalFormatting>
  <conditionalFormatting sqref="AN8:AS8">
    <cfRule type="expression" dxfId="32" priority="6">
      <formula>AN8=BT100</formula>
    </cfRule>
  </conditionalFormatting>
  <conditionalFormatting sqref="AN9:AS9">
    <cfRule type="expression" dxfId="31" priority="5">
      <formula>AN9=BT102</formula>
    </cfRule>
  </conditionalFormatting>
  <conditionalFormatting sqref="BK8">
    <cfRule type="expression" dxfId="30" priority="1">
      <formula>AND(I8=BT98,Z8=BT99,AN8=BT100,I9=BT101,AN9=BT102)</formula>
    </cfRule>
  </conditionalFormatting>
  <conditionalFormatting sqref="BL16:BL55">
    <cfRule type="expression" dxfId="29" priority="11">
      <formula>AND(BM16&gt;$BW$76,BM16&lt;CC16)</formula>
    </cfRule>
    <cfRule type="expression" dxfId="28" priority="219">
      <formula>BM16&lt;$BW$76</formula>
    </cfRule>
  </conditionalFormatting>
  <conditionalFormatting sqref="BM16:BM55 BV16:BV56">
    <cfRule type="expression" dxfId="27" priority="218">
      <formula>BM16&lt;$BW$76</formula>
    </cfRule>
  </conditionalFormatting>
  <conditionalFormatting sqref="BM16:BM55">
    <cfRule type="expression" dxfId="26" priority="12">
      <formula>AND(BM16&gt;$BW$76,BM16&lt;CC16)</formula>
    </cfRule>
  </conditionalFormatting>
  <conditionalFormatting sqref="BS16:BU55">
    <cfRule type="expression" dxfId="25" priority="14">
      <formula>BM16&gt;$BW$76</formula>
    </cfRule>
  </conditionalFormatting>
  <conditionalFormatting sqref="BV16:BV55">
    <cfRule type="expression" dxfId="24" priority="10">
      <formula>AND(BM16&gt;$BW$76,BM16&lt;CC16)</formula>
    </cfRule>
  </conditionalFormatting>
  <dataValidations count="4">
    <dataValidation type="list" allowBlank="1" showInputMessage="1" sqref="BL7" xr:uid="{00000000-0002-0000-0C00-000000000000}">
      <formula1>$CF$101:$CF$102</formula1>
    </dataValidation>
    <dataValidation type="list" allowBlank="1" showInputMessage="1" sqref="AN8:AS8" xr:uid="{00000000-0002-0000-0C00-000001000000}">
      <formula1>$BT$100</formula1>
    </dataValidation>
    <dataValidation type="list" allowBlank="1" showInputMessage="1" sqref="AN9:AS9" xr:uid="{00000000-0002-0000-0C00-000002000000}">
      <formula1>$BT$102</formula1>
    </dataValidation>
    <dataValidation type="list" allowBlank="1" showInputMessage="1" errorTitle="Y-axix Title" error="The Y-axis must be either &quot;LENGTH ...&quot;, or ELEVATION ...&quot;.  This input determines the Y-axis title applied, and revises the equations to process the data accordingly, as either Length or Elevation (ft)." sqref="AB7:AF7" xr:uid="{00000000-0002-0000-0C00-000003000000}">
      <formula1>$CC$82:$CC$82</formula1>
    </dataValidation>
  </dataValidations>
  <printOptions horizontalCentered="1"/>
  <pageMargins left="0" right="0" top="0" bottom="0" header="0" footer="0"/>
  <pageSetup scale="63" orientation="portrait" r:id="rId1"/>
  <ignoredErrors>
    <ignoredError sqref="CJ34" formula="1"/>
    <ignoredError sqref="BO53 BO39" twoDigitTextYear="1"/>
    <ignoredError sqref="DK26:DL27 CQ15 CV24:CW25 DA28:DB29 DF24:DG25 DF28:DG29 DK24:DL25 DK30:DL31 DK28:DL29 DK34:DL35 DK32:DL33 CQ44:CR45 CQ48:CR49 CQ52:CR53" evalError="1"/>
    <ignoredError sqref="BB7" unlockedFormula="1"/>
  </ignoredErrors>
  <drawing r:id="rId2"/>
  <legacyDrawing r:id="rId3"/>
  <extLst>
    <ext xmlns:x14="http://schemas.microsoft.com/office/spreadsheetml/2009/9/main" uri="{CCE6A557-97BC-4b89-ADB6-D9C93CAAB3DF}">
      <x14:dataValidations xmlns:xm="http://schemas.microsoft.com/office/excel/2006/main" count="6">
        <x14:dataValidation type="list" allowBlank="1" showInputMessage="1" xr:uid="{00000000-0002-0000-0C00-000004000000}">
          <x14:formula1>
            <xm:f>List!$F$25:$F$32</xm:f>
          </x14:formula1>
          <xm:sqref>BA5:BC5</xm:sqref>
        </x14:dataValidation>
        <x14:dataValidation type="list" allowBlank="1" showInputMessage="1" xr:uid="{00000000-0002-0000-0C00-000005000000}">
          <x14:formula1>
            <xm:f>List!$H$2:$H$4</xm:f>
          </x14:formula1>
          <xm:sqref>I8:V8</xm:sqref>
        </x14:dataValidation>
        <x14:dataValidation type="list" showInputMessage="1" xr:uid="{00000000-0002-0000-0C00-000006000000}">
          <x14:formula1>
            <xm:f>List!$B$17:$B$18</xm:f>
          </x14:formula1>
          <xm:sqref>I9:V9</xm:sqref>
        </x14:dataValidation>
        <x14:dataValidation type="list" showInputMessage="1" xr:uid="{00000000-0002-0000-0C00-000007000000}">
          <x14:formula1>
            <xm:f>List!$I$2:$I$4</xm:f>
          </x14:formula1>
          <xm:sqref>Z8:AI8</xm:sqref>
        </x14:dataValidation>
        <x14:dataValidation type="list" showInputMessage="1" xr:uid="{00000000-0002-0000-0C00-000008000000}">
          <x14:formula1>
            <xm:f>List!$F$36:$F$43</xm:f>
          </x14:formula1>
          <xm:sqref>BF5:BH5</xm:sqref>
        </x14:dataValidation>
        <x14:dataValidation type="list" allowBlank="1" showInputMessage="1" xr:uid="{00000000-0002-0000-0C00-000009000000}">
          <x14:formula1>
            <xm:f>List!$B$26</xm:f>
          </x14:formula1>
          <xm:sqref>AO7:AT7</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1">
    <tabColor rgb="FF92D050"/>
  </sheetPr>
  <dimension ref="A1:DK163"/>
  <sheetViews>
    <sheetView zoomScale="83" zoomScaleNormal="83" workbookViewId="0">
      <selection activeCell="I8" sqref="I8:V8"/>
    </sheetView>
  </sheetViews>
  <sheetFormatPr defaultColWidth="9.109375" defaultRowHeight="13.2"/>
  <cols>
    <col min="1" max="1" width="1.6640625" style="30" customWidth="1"/>
    <col min="2" max="76" width="2.6640625" style="30" customWidth="1"/>
    <col min="77" max="84" width="9.109375" style="30"/>
    <col min="85" max="85" width="11.5546875" style="30" bestFit="1" customWidth="1"/>
    <col min="86" max="16384" width="9.109375" style="30"/>
  </cols>
  <sheetData>
    <row r="1" spans="1:115" ht="15.9" customHeight="1">
      <c r="A1" s="3056"/>
      <c r="B1" s="3111"/>
      <c r="C1" s="3111"/>
      <c r="D1" s="3111"/>
      <c r="E1" s="3111"/>
      <c r="F1" s="3111"/>
      <c r="G1" s="3111"/>
      <c r="H1" s="3111"/>
      <c r="I1" s="3111"/>
      <c r="J1" s="3111"/>
      <c r="K1" s="3111"/>
      <c r="L1" s="3111"/>
      <c r="M1" s="3111"/>
      <c r="N1" s="3111"/>
      <c r="O1" s="3112" t="s">
        <v>98</v>
      </c>
      <c r="P1" s="3112"/>
      <c r="Q1" s="3112"/>
      <c r="R1" s="3112"/>
      <c r="S1" s="3112"/>
      <c r="T1" s="3112"/>
      <c r="U1" s="3112"/>
      <c r="V1" s="3112"/>
      <c r="W1" s="3112"/>
      <c r="X1" s="3112"/>
      <c r="Y1" s="3112"/>
      <c r="Z1" s="3112"/>
      <c r="AA1" s="3112"/>
      <c r="AB1" s="3112"/>
      <c r="AC1" s="3112"/>
      <c r="AD1" s="3112"/>
      <c r="AE1" s="3112"/>
      <c r="AF1" s="3112"/>
      <c r="AG1" s="3112"/>
      <c r="AH1" s="3112"/>
      <c r="AI1" s="3112"/>
      <c r="AJ1" s="3112"/>
      <c r="AK1" s="3112"/>
      <c r="AL1" s="3112"/>
      <c r="AM1" s="3112"/>
      <c r="AN1" s="3112"/>
      <c r="AO1" s="3112"/>
      <c r="AP1" s="3112"/>
      <c r="AQ1" s="3112"/>
      <c r="AR1" s="3112"/>
      <c r="AS1" s="3112"/>
      <c r="AT1" s="3112"/>
      <c r="AU1" s="3112"/>
      <c r="AV1" s="3112"/>
      <c r="AW1" s="3113" t="str">
        <f>'Concr. Pg 1'!CB1</f>
        <v>700-010-84</v>
      </c>
      <c r="AX1" s="3113"/>
      <c r="AY1" s="3113"/>
      <c r="AZ1" s="3113"/>
      <c r="BA1" s="3113"/>
      <c r="BB1" s="3113"/>
      <c r="BC1" s="3113"/>
      <c r="BD1" s="3113"/>
      <c r="BE1" s="3113"/>
      <c r="BF1" s="3113"/>
      <c r="BG1" s="3113"/>
      <c r="BH1" s="3113"/>
      <c r="BI1" s="3113"/>
      <c r="BY1" s="366"/>
      <c r="BZ1" s="366"/>
      <c r="CA1" s="366"/>
      <c r="CB1" s="366"/>
      <c r="CC1" s="366"/>
      <c r="CD1" s="366"/>
      <c r="CE1" s="366"/>
      <c r="CF1" s="366"/>
      <c r="CG1" s="366"/>
      <c r="CH1" s="366"/>
      <c r="CI1" s="366"/>
      <c r="CJ1" s="366"/>
      <c r="CK1" s="366"/>
      <c r="CL1" s="366"/>
      <c r="CM1" s="366"/>
      <c r="CN1" s="366"/>
      <c r="CO1" s="366"/>
      <c r="CP1" s="366"/>
      <c r="CQ1" s="366"/>
      <c r="CR1" s="366"/>
      <c r="CS1" s="366"/>
      <c r="CT1" s="366"/>
      <c r="CU1" s="366"/>
      <c r="CV1" s="366"/>
      <c r="CW1" s="366"/>
      <c r="CX1" s="366"/>
      <c r="CY1" s="366"/>
      <c r="CZ1" s="366"/>
      <c r="DA1" s="366"/>
      <c r="DB1" s="366"/>
      <c r="DC1" s="366"/>
      <c r="DD1" s="366"/>
      <c r="DE1" s="366"/>
      <c r="DF1" s="366"/>
      <c r="DG1" s="366"/>
      <c r="DH1" s="366"/>
      <c r="DI1" s="366"/>
      <c r="DJ1" s="366"/>
      <c r="DK1" s="366"/>
    </row>
    <row r="2" spans="1:115" ht="20.100000000000001" customHeight="1">
      <c r="A2" s="3056"/>
      <c r="B2" s="3056"/>
      <c r="C2" s="3056"/>
      <c r="D2" s="3056"/>
      <c r="E2" s="3056"/>
      <c r="F2" s="3056"/>
      <c r="G2" s="3056"/>
      <c r="H2" s="3056"/>
      <c r="I2" s="3056"/>
      <c r="J2" s="3056"/>
      <c r="K2" s="3056"/>
      <c r="L2" s="3056"/>
      <c r="M2" s="3056"/>
      <c r="N2" s="3056"/>
      <c r="O2" s="3114" t="s">
        <v>93</v>
      </c>
      <c r="P2" s="3114"/>
      <c r="Q2" s="3114"/>
      <c r="R2" s="3114"/>
      <c r="S2" s="3114"/>
      <c r="T2" s="3114"/>
      <c r="U2" s="3114"/>
      <c r="V2" s="3114"/>
      <c r="W2" s="3114"/>
      <c r="X2" s="3114"/>
      <c r="Y2" s="3114"/>
      <c r="Z2" s="3114"/>
      <c r="AA2" s="3114"/>
      <c r="AB2" s="3114"/>
      <c r="AC2" s="3114"/>
      <c r="AD2" s="3114"/>
      <c r="AE2" s="3114"/>
      <c r="AF2" s="3114"/>
      <c r="AG2" s="3114"/>
      <c r="AH2" s="3114"/>
      <c r="AI2" s="3114"/>
      <c r="AJ2" s="3114"/>
      <c r="AK2" s="3114"/>
      <c r="AL2" s="3114"/>
      <c r="AM2" s="3114"/>
      <c r="AN2" s="3114"/>
      <c r="AO2" s="3114"/>
      <c r="AP2" s="3114"/>
      <c r="AQ2" s="3114"/>
      <c r="AR2" s="3114"/>
      <c r="AS2" s="3114"/>
      <c r="AT2" s="3114"/>
      <c r="AU2" s="3114"/>
      <c r="AV2" s="3114"/>
      <c r="AW2" s="3113" t="s">
        <v>8</v>
      </c>
      <c r="AX2" s="3113"/>
      <c r="AY2" s="3113"/>
      <c r="AZ2" s="3113"/>
      <c r="BA2" s="3113"/>
      <c r="BB2" s="3113"/>
      <c r="BC2" s="3113"/>
      <c r="BD2" s="3113"/>
      <c r="BE2" s="3113"/>
      <c r="BF2" s="3113"/>
      <c r="BG2" s="3113"/>
      <c r="BH2" s="3113"/>
      <c r="BI2" s="3113"/>
      <c r="BY2" s="366"/>
      <c r="BZ2" s="366"/>
      <c r="CA2" s="366"/>
      <c r="CB2" s="366"/>
      <c r="CC2" s="366"/>
      <c r="CD2" s="366"/>
      <c r="CE2" s="366"/>
      <c r="CF2" s="366"/>
      <c r="CG2" s="366"/>
      <c r="CH2" s="366"/>
      <c r="CI2" s="366"/>
      <c r="CJ2" s="366"/>
      <c r="CK2" s="366"/>
      <c r="CL2" s="366"/>
      <c r="CM2" s="366"/>
      <c r="CN2" s="366"/>
      <c r="CO2" s="366"/>
      <c r="CP2" s="366"/>
      <c r="CQ2" s="366"/>
      <c r="CR2" s="366"/>
      <c r="CS2" s="366"/>
      <c r="CT2" s="366"/>
      <c r="CU2" s="366"/>
      <c r="CV2" s="366"/>
      <c r="CW2" s="366"/>
      <c r="CX2" s="366"/>
      <c r="CY2" s="366"/>
      <c r="CZ2" s="366"/>
      <c r="DA2" s="366"/>
      <c r="DB2" s="366"/>
      <c r="DC2" s="366"/>
      <c r="DD2" s="366"/>
      <c r="DE2" s="366"/>
      <c r="DF2" s="366"/>
      <c r="DG2" s="366"/>
      <c r="DH2" s="366"/>
      <c r="DI2" s="366"/>
      <c r="DJ2" s="366"/>
      <c r="DK2" s="366"/>
    </row>
    <row r="3" spans="1:115" ht="15.9" customHeight="1">
      <c r="A3" s="3056"/>
      <c r="B3" s="3115"/>
      <c r="C3" s="3115"/>
      <c r="D3" s="3115"/>
      <c r="E3" s="3115"/>
      <c r="F3" s="3115"/>
      <c r="G3" s="3115"/>
      <c r="H3" s="3115"/>
      <c r="I3" s="3115"/>
      <c r="J3" s="3115"/>
      <c r="K3" s="3115"/>
      <c r="L3" s="3115"/>
      <c r="M3" s="3115"/>
      <c r="N3" s="3115"/>
      <c r="O3" s="3116" t="s">
        <v>272</v>
      </c>
      <c r="P3" s="3116"/>
      <c r="Q3" s="3116"/>
      <c r="R3" s="3116"/>
      <c r="S3" s="3116"/>
      <c r="T3" s="3116"/>
      <c r="U3" s="3116"/>
      <c r="V3" s="3116"/>
      <c r="W3" s="3116"/>
      <c r="X3" s="3116"/>
      <c r="Y3" s="3116"/>
      <c r="Z3" s="3116"/>
      <c r="AA3" s="3116"/>
      <c r="AB3" s="3116"/>
      <c r="AC3" s="3116"/>
      <c r="AD3" s="3116"/>
      <c r="AE3" s="3116"/>
      <c r="AF3" s="3116"/>
      <c r="AG3" s="3116"/>
      <c r="AH3" s="3116"/>
      <c r="AI3" s="3116"/>
      <c r="AJ3" s="3116"/>
      <c r="AK3" s="3116"/>
      <c r="AL3" s="3116"/>
      <c r="AM3" s="3116"/>
      <c r="AN3" s="3116"/>
      <c r="AO3" s="3116"/>
      <c r="AP3" s="3116"/>
      <c r="AQ3" s="3116"/>
      <c r="AR3" s="3116"/>
      <c r="AS3" s="3116"/>
      <c r="AT3" s="3116"/>
      <c r="AU3" s="3116"/>
      <c r="AV3" s="3116"/>
      <c r="AW3" s="3117">
        <f>'Concr. Pg 1'!CB5</f>
        <v>45222</v>
      </c>
      <c r="AX3" s="3117"/>
      <c r="AY3" s="3117"/>
      <c r="AZ3" s="3117"/>
      <c r="BA3" s="3117"/>
      <c r="BB3" s="3117"/>
      <c r="BC3" s="3117"/>
      <c r="BD3" s="3117"/>
      <c r="BE3" s="3117"/>
      <c r="BF3" s="3117"/>
      <c r="BG3" s="3117"/>
      <c r="BH3" s="3117"/>
      <c r="BI3" s="3117"/>
      <c r="BY3" s="366"/>
      <c r="BZ3" s="366"/>
      <c r="CA3" s="366"/>
      <c r="CB3" s="366"/>
      <c r="CC3" s="366"/>
      <c r="CD3" s="366"/>
      <c r="CE3" s="366"/>
      <c r="CF3" s="366"/>
      <c r="CG3" s="366"/>
      <c r="CH3" s="366"/>
      <c r="CI3" s="366"/>
      <c r="CJ3" s="366"/>
      <c r="CK3" s="366"/>
      <c r="CL3" s="366"/>
      <c r="CM3" s="366"/>
      <c r="CN3" s="366"/>
      <c r="CO3" s="366"/>
      <c r="CP3" s="366"/>
      <c r="CQ3" s="366"/>
      <c r="CR3" s="366"/>
      <c r="CS3" s="366"/>
      <c r="CT3" s="366"/>
      <c r="CU3" s="366"/>
      <c r="CV3" s="366"/>
      <c r="CW3" s="366"/>
      <c r="CX3" s="366"/>
      <c r="CY3" s="366"/>
      <c r="CZ3" s="366"/>
      <c r="DA3" s="366"/>
      <c r="DB3" s="366"/>
      <c r="DC3" s="366"/>
      <c r="DD3" s="366"/>
      <c r="DE3" s="366"/>
      <c r="DF3" s="366"/>
      <c r="DG3" s="366"/>
      <c r="DH3" s="366"/>
      <c r="DI3" s="366"/>
      <c r="DJ3" s="366"/>
      <c r="DK3" s="366"/>
    </row>
    <row r="4" spans="1:115" ht="9.9" customHeight="1">
      <c r="A4" s="3057"/>
      <c r="B4" s="3058"/>
      <c r="C4" s="3059"/>
      <c r="D4" s="3059"/>
      <c r="E4" s="3059"/>
      <c r="F4" s="3059"/>
      <c r="G4" s="3059"/>
      <c r="H4" s="3059"/>
      <c r="I4" s="3059"/>
      <c r="J4" s="3059"/>
      <c r="K4" s="3059"/>
      <c r="L4" s="3059"/>
      <c r="M4" s="3059"/>
      <c r="N4" s="3059"/>
      <c r="O4" s="3059"/>
      <c r="P4" s="3059"/>
      <c r="Q4" s="3059"/>
      <c r="R4" s="3059"/>
      <c r="S4" s="3059"/>
      <c r="T4" s="3059"/>
      <c r="U4" s="3059"/>
      <c r="V4" s="3059"/>
      <c r="W4" s="3059"/>
      <c r="X4" s="3059"/>
      <c r="Y4" s="3059"/>
      <c r="Z4" s="3059"/>
      <c r="AA4" s="3059"/>
      <c r="AB4" s="3059"/>
      <c r="AC4" s="3059"/>
      <c r="AD4" s="3059"/>
      <c r="AE4" s="3059"/>
      <c r="AF4" s="3059"/>
      <c r="AG4" s="3059"/>
      <c r="AH4" s="3059"/>
      <c r="AI4" s="3059"/>
      <c r="AJ4" s="3059"/>
      <c r="AK4" s="3059"/>
      <c r="AL4" s="3059"/>
      <c r="AM4" s="3059"/>
      <c r="AN4" s="3059"/>
      <c r="AO4" s="3059"/>
      <c r="AP4" s="3059"/>
      <c r="AQ4" s="3059"/>
      <c r="AR4" s="3059"/>
      <c r="AS4" s="3059"/>
      <c r="AT4" s="3059"/>
      <c r="AU4" s="3059"/>
      <c r="AV4" s="3059"/>
      <c r="AW4" s="3059"/>
      <c r="AX4" s="3059"/>
      <c r="AY4" s="3059"/>
      <c r="AZ4" s="3059"/>
      <c r="BA4" s="3059"/>
      <c r="BB4" s="3059"/>
      <c r="BC4" s="3059"/>
      <c r="BD4" s="3059"/>
      <c r="BE4" s="3059"/>
      <c r="BF4" s="3059"/>
      <c r="BG4" s="3059"/>
      <c r="BH4" s="3059"/>
      <c r="BI4" s="3060"/>
    </row>
    <row r="5" spans="1:115" ht="20.100000000000001" customHeight="1">
      <c r="A5" s="3057"/>
      <c r="B5" s="98"/>
      <c r="C5" s="3088" t="s">
        <v>78</v>
      </c>
      <c r="D5" s="3088"/>
      <c r="E5" s="3088"/>
      <c r="F5" s="3088"/>
      <c r="G5" s="3088"/>
      <c r="H5" s="3088"/>
      <c r="I5" s="3082" t="str">
        <f>IF('Concr. Pg 1'!J8="","",'Concr. Pg 1'!J8)</f>
        <v/>
      </c>
      <c r="J5" s="3082"/>
      <c r="K5" s="3082"/>
      <c r="L5" s="3082"/>
      <c r="M5" s="3082"/>
      <c r="N5" s="3082"/>
      <c r="O5" s="3082"/>
      <c r="P5" s="3082"/>
      <c r="Q5" s="3082"/>
      <c r="R5" s="3082"/>
      <c r="S5" s="3082"/>
      <c r="T5" s="3082"/>
      <c r="U5" s="3082"/>
      <c r="V5" s="3082"/>
      <c r="W5" s="3088" t="s">
        <v>155</v>
      </c>
      <c r="X5" s="3088"/>
      <c r="Y5" s="3088"/>
      <c r="Z5" s="3088"/>
      <c r="AA5" s="3088"/>
      <c r="AB5" s="3172" t="str">
        <f>IF('Concr. Pg 1'!AK8="","",'Concr. Pg 1'!AK8)</f>
        <v/>
      </c>
      <c r="AC5" s="3172"/>
      <c r="AD5" s="3172"/>
      <c r="AE5" s="3172"/>
      <c r="AF5" s="3172"/>
      <c r="AG5" s="3071" t="s">
        <v>157</v>
      </c>
      <c r="AH5" s="3071"/>
      <c r="AI5" s="3071"/>
      <c r="AJ5" s="3071"/>
      <c r="AK5" s="3071"/>
      <c r="AL5" s="3071"/>
      <c r="AM5" s="3071"/>
      <c r="AN5" s="3071"/>
      <c r="AO5" s="3172" t="str">
        <f>IF('Concr. Pg 1'!BE8="","",'Concr. Pg 1'!BE8)</f>
        <v/>
      </c>
      <c r="AP5" s="3172"/>
      <c r="AQ5" s="3172"/>
      <c r="AR5" s="3172"/>
      <c r="AS5" s="3172"/>
      <c r="AT5" s="3172"/>
      <c r="AU5" s="3172"/>
      <c r="AV5" s="3172"/>
      <c r="AW5" s="3088" t="s">
        <v>159</v>
      </c>
      <c r="AX5" s="3088"/>
      <c r="AY5" s="3088"/>
      <c r="AZ5" s="3088"/>
      <c r="BA5" s="3177"/>
      <c r="BB5" s="3177"/>
      <c r="BC5" s="3177"/>
      <c r="BD5" s="3049"/>
      <c r="BE5" s="3049"/>
      <c r="BF5" s="3179"/>
      <c r="BG5" s="3179"/>
      <c r="BH5" s="3179"/>
      <c r="BI5" s="97"/>
      <c r="BW5" s="32"/>
      <c r="BX5" s="32"/>
      <c r="BY5" s="33"/>
      <c r="BZ5" s="34"/>
      <c r="CA5" s="3171" t="s">
        <v>88</v>
      </c>
      <c r="CB5" s="3171"/>
      <c r="CC5" s="34"/>
      <c r="CD5" s="35"/>
      <c r="CE5" s="35"/>
      <c r="CF5" s="35"/>
      <c r="CG5" s="35"/>
      <c r="CH5" s="35"/>
      <c r="CI5" s="35"/>
      <c r="CJ5" s="35"/>
      <c r="CK5" s="35"/>
      <c r="CL5" s="35"/>
      <c r="CM5" s="35"/>
      <c r="CN5" s="35"/>
      <c r="CO5" s="35"/>
      <c r="CP5" s="35"/>
      <c r="CQ5" s="35"/>
      <c r="CR5" s="35"/>
      <c r="CS5" s="36"/>
    </row>
    <row r="6" spans="1:115" ht="20.100000000000001" customHeight="1">
      <c r="A6" s="3057"/>
      <c r="B6" s="98"/>
      <c r="C6" s="3088" t="s">
        <v>79</v>
      </c>
      <c r="D6" s="3088"/>
      <c r="E6" s="3088"/>
      <c r="F6" s="3088"/>
      <c r="G6" s="3088"/>
      <c r="H6" s="3088"/>
      <c r="I6" s="3082" t="str">
        <f>IF('Concr. Pg 1'!J11="","",'Concr. Pg 1'!J11)</f>
        <v/>
      </c>
      <c r="J6" s="3082"/>
      <c r="K6" s="3082"/>
      <c r="L6" s="3082"/>
      <c r="M6" s="3082"/>
      <c r="N6" s="3082"/>
      <c r="O6" s="3082"/>
      <c r="P6" s="3082"/>
      <c r="Q6" s="3082"/>
      <c r="R6" s="3082"/>
      <c r="S6" s="3082"/>
      <c r="T6" s="3082"/>
      <c r="U6" s="3082"/>
      <c r="V6" s="3082"/>
      <c r="W6" s="3088" t="s">
        <v>156</v>
      </c>
      <c r="X6" s="3088"/>
      <c r="Y6" s="3088"/>
      <c r="Z6" s="3088"/>
      <c r="AA6" s="3088"/>
      <c r="AB6" s="3172" t="str">
        <f>IF('Concr. Pg 1'!AK11="","",'Concr. Pg 1'!AK11)</f>
        <v/>
      </c>
      <c r="AC6" s="3172"/>
      <c r="AD6" s="3172"/>
      <c r="AE6" s="3172"/>
      <c r="AF6" s="3172"/>
      <c r="AG6" s="3088" t="s">
        <v>158</v>
      </c>
      <c r="AH6" s="3088"/>
      <c r="AI6" s="3088"/>
      <c r="AJ6" s="3088"/>
      <c r="AK6" s="3088"/>
      <c r="AL6" s="3088"/>
      <c r="AM6" s="3172" t="str">
        <f>IF('Concr. Pg 1'!BA11="","",'Concr. Pg 1'!BA11)</f>
        <v/>
      </c>
      <c r="AN6" s="3172"/>
      <c r="AO6" s="3172"/>
      <c r="AP6" s="3172"/>
      <c r="AQ6" s="3172"/>
      <c r="AR6" s="3172"/>
      <c r="AS6" s="3172"/>
      <c r="AT6" s="3172"/>
      <c r="AU6" s="3088" t="s">
        <v>154</v>
      </c>
      <c r="AV6" s="3088"/>
      <c r="AW6" s="3088"/>
      <c r="AX6" s="3088"/>
      <c r="AY6" s="3172" t="str">
        <f>IF('Concr. Pg 1'!BV11="","",'Concr. Pg 1'!BV11)</f>
        <v/>
      </c>
      <c r="AZ6" s="3172"/>
      <c r="BA6" s="3172"/>
      <c r="BB6" s="3172"/>
      <c r="BC6" s="3172"/>
      <c r="BD6" s="3172"/>
      <c r="BE6" s="3172"/>
      <c r="BF6" s="3172"/>
      <c r="BG6" s="3172"/>
      <c r="BH6" s="3172"/>
      <c r="BI6" s="97"/>
      <c r="BW6" s="32"/>
      <c r="BX6" s="32"/>
      <c r="BY6" s="37"/>
      <c r="BZ6" s="99"/>
      <c r="CA6" s="3171"/>
      <c r="CB6" s="3171"/>
      <c r="CC6" s="32"/>
      <c r="CD6" s="32"/>
      <c r="CE6" s="32"/>
      <c r="CF6" s="32"/>
      <c r="CG6" s="32"/>
      <c r="CH6" s="32"/>
      <c r="CI6" s="32"/>
      <c r="CS6" s="100"/>
    </row>
    <row r="7" spans="1:115" ht="20.100000000000001" customHeight="1">
      <c r="A7" s="3057"/>
      <c r="B7" s="98"/>
      <c r="C7" s="3088" t="s">
        <v>82</v>
      </c>
      <c r="D7" s="3088"/>
      <c r="E7" s="3088"/>
      <c r="F7" s="3088"/>
      <c r="G7" s="3088"/>
      <c r="H7" s="3088"/>
      <c r="I7" s="3082" t="str">
        <f>IF('Concr. Pg 1'!J17="","",'Concr. Pg 1'!J17)</f>
        <v/>
      </c>
      <c r="J7" s="3082"/>
      <c r="K7" s="3082"/>
      <c r="L7" s="3082"/>
      <c r="M7" s="3082"/>
      <c r="N7" s="3082"/>
      <c r="O7" s="3082"/>
      <c r="P7" s="3082"/>
      <c r="Q7" s="3082"/>
      <c r="R7" s="3082"/>
      <c r="S7" s="3082"/>
      <c r="T7" s="3082"/>
      <c r="U7" s="3082"/>
      <c r="V7" s="3082"/>
      <c r="W7" s="3176"/>
      <c r="X7" s="3176"/>
      <c r="Y7" s="3176"/>
      <c r="Z7" s="3176"/>
      <c r="AA7" s="3176"/>
      <c r="AB7" s="3176"/>
      <c r="AC7" s="3176"/>
      <c r="AD7" s="3176"/>
      <c r="AE7" s="3176"/>
      <c r="AF7" s="3176"/>
      <c r="AG7" s="3176"/>
      <c r="AH7" s="3176"/>
      <c r="AI7" s="3176"/>
      <c r="AJ7" s="3176"/>
      <c r="AK7" s="3176"/>
      <c r="AL7" s="3176"/>
      <c r="AM7" s="3176"/>
      <c r="AN7" s="3176"/>
      <c r="AO7" s="3176"/>
      <c r="AP7" s="3176"/>
      <c r="AQ7" s="3176"/>
      <c r="AR7" s="3176"/>
      <c r="AS7" s="3176"/>
      <c r="AT7" s="3176"/>
      <c r="AU7" s="3070" t="s">
        <v>95</v>
      </c>
      <c r="AV7" s="3070"/>
      <c r="AW7" s="3071" t="s">
        <v>94</v>
      </c>
      <c r="AX7" s="3071"/>
      <c r="AY7" s="3071"/>
      <c r="AZ7" s="3071"/>
      <c r="BA7" s="3071"/>
      <c r="BB7" s="3178"/>
      <c r="BC7" s="3178"/>
      <c r="BD7" s="3178"/>
      <c r="BE7" s="3178"/>
      <c r="BF7" s="3178"/>
      <c r="BG7" s="3072" t="s">
        <v>56</v>
      </c>
      <c r="BH7" s="3072"/>
      <c r="BI7" s="104"/>
      <c r="BR7" s="31"/>
      <c r="BW7" s="32"/>
      <c r="BX7" s="32"/>
      <c r="BY7" s="37"/>
      <c r="CA7" s="111">
        <f>'Concr. Pg 1'!L34</f>
        <v>0</v>
      </c>
      <c r="CS7" s="100"/>
    </row>
    <row r="8" spans="1:115" ht="20.100000000000001" customHeight="1">
      <c r="A8" s="3057"/>
      <c r="B8" s="98"/>
      <c r="C8" s="3088" t="s">
        <v>83</v>
      </c>
      <c r="D8" s="3088"/>
      <c r="E8" s="3088"/>
      <c r="F8" s="3088"/>
      <c r="G8" s="3088"/>
      <c r="H8" s="3088"/>
      <c r="I8" s="3076"/>
      <c r="J8" s="3076"/>
      <c r="K8" s="3076"/>
      <c r="L8" s="3076"/>
      <c r="M8" s="3076"/>
      <c r="N8" s="3076"/>
      <c r="O8" s="3076"/>
      <c r="P8" s="3076"/>
      <c r="Q8" s="3076"/>
      <c r="R8" s="3076"/>
      <c r="S8" s="3076"/>
      <c r="T8" s="3076"/>
      <c r="U8" s="3076"/>
      <c r="V8" s="3076"/>
      <c r="W8" s="3077" t="s">
        <v>54</v>
      </c>
      <c r="X8" s="3077"/>
      <c r="Y8" s="3077"/>
      <c r="Z8" s="3091"/>
      <c r="AA8" s="3091"/>
      <c r="AB8" s="3091"/>
      <c r="AC8" s="3091"/>
      <c r="AD8" s="3091"/>
      <c r="AE8" s="3091"/>
      <c r="AF8" s="3091"/>
      <c r="AG8" s="3091"/>
      <c r="AH8" s="3091"/>
      <c r="AI8" s="3091"/>
      <c r="AJ8" s="3077" t="s">
        <v>99</v>
      </c>
      <c r="AK8" s="3077"/>
      <c r="AL8" s="3077"/>
      <c r="AM8" s="3077"/>
      <c r="AN8" s="3079"/>
      <c r="AO8" s="3079"/>
      <c r="AP8" s="3079"/>
      <c r="AQ8" s="3079"/>
      <c r="AR8" s="3079"/>
      <c r="AS8" s="3079"/>
      <c r="AT8" s="42"/>
      <c r="AU8" s="3070"/>
      <c r="AV8" s="3070"/>
      <c r="AW8" s="3071" t="s">
        <v>96</v>
      </c>
      <c r="AX8" s="3071"/>
      <c r="AY8" s="3071"/>
      <c r="AZ8" s="3071"/>
      <c r="BA8" s="3071"/>
      <c r="BB8" s="3178"/>
      <c r="BC8" s="3178"/>
      <c r="BD8" s="3178"/>
      <c r="BE8" s="3178"/>
      <c r="BF8" s="3178"/>
      <c r="BG8" s="3072" t="s">
        <v>56</v>
      </c>
      <c r="BH8" s="3072"/>
      <c r="BI8" s="104"/>
      <c r="BL8" s="3173" t="str">
        <f>IF(AND(I8=CE63,Z8=CE64,AN8=CE65,I9=CE66,AN9=CE67,BB7=CE68,BB8=CE69,BB9=CE70),"","Note:  Fyi - 1 or more inputs (green font) to left, on rows 7, 8 &amp; 9, do not match the corresponding cell drop-down inputs (which are based upon the Pg. 1 tab sheet input data).")</f>
        <v/>
      </c>
      <c r="BM8" s="3173"/>
      <c r="BN8" s="3173"/>
      <c r="BO8" s="3173"/>
      <c r="BP8" s="3173"/>
      <c r="BQ8" s="3173"/>
      <c r="BR8" s="3173"/>
      <c r="BS8" s="3173"/>
      <c r="BT8" s="3173"/>
      <c r="BU8" s="3173"/>
      <c r="BV8" s="3173"/>
      <c r="BW8" s="3173"/>
      <c r="BX8" s="3173"/>
      <c r="BY8" s="3173"/>
      <c r="BZ8" s="3173"/>
      <c r="CA8" s="3173"/>
      <c r="CB8" s="3173"/>
      <c r="CC8" s="3173"/>
      <c r="CD8" s="3173"/>
      <c r="CE8" s="3173"/>
      <c r="CF8" s="3173"/>
      <c r="CG8" s="3173"/>
      <c r="CH8" s="3173"/>
      <c r="CI8" s="3173"/>
      <c r="CJ8" s="3173"/>
      <c r="CK8" s="3173"/>
      <c r="CS8" s="38"/>
    </row>
    <row r="9" spans="1:115" ht="20.100000000000001" customHeight="1">
      <c r="A9" s="3057"/>
      <c r="B9" s="98"/>
      <c r="C9" s="3088" t="s">
        <v>84</v>
      </c>
      <c r="D9" s="3088"/>
      <c r="E9" s="3088"/>
      <c r="F9" s="3088"/>
      <c r="G9" s="3088"/>
      <c r="H9" s="3088"/>
      <c r="I9" s="3076"/>
      <c r="J9" s="3076"/>
      <c r="K9" s="3076"/>
      <c r="L9" s="3076"/>
      <c r="M9" s="3076"/>
      <c r="N9" s="3076"/>
      <c r="O9" s="3076"/>
      <c r="P9" s="3076"/>
      <c r="Q9" s="3076"/>
      <c r="R9" s="3076"/>
      <c r="S9" s="3076"/>
      <c r="T9" s="3076"/>
      <c r="U9" s="3076"/>
      <c r="V9" s="3076"/>
      <c r="W9" s="3092"/>
      <c r="X9" s="3092"/>
      <c r="Y9" s="3092"/>
      <c r="Z9" s="3092"/>
      <c r="AA9" s="3092"/>
      <c r="AB9" s="3092"/>
      <c r="AC9" s="3092"/>
      <c r="AD9" s="3092"/>
      <c r="AE9" s="3092"/>
      <c r="AF9" s="3092"/>
      <c r="AG9" s="3092"/>
      <c r="AH9" s="3092"/>
      <c r="AI9" s="3092"/>
      <c r="AJ9" s="3077" t="s">
        <v>99</v>
      </c>
      <c r="AK9" s="3077"/>
      <c r="AL9" s="3077"/>
      <c r="AM9" s="3077"/>
      <c r="AN9" s="3089"/>
      <c r="AO9" s="3089"/>
      <c r="AP9" s="3089"/>
      <c r="AQ9" s="3089"/>
      <c r="AR9" s="3089"/>
      <c r="AS9" s="3089"/>
      <c r="AT9" s="42"/>
      <c r="AU9" s="3070"/>
      <c r="AV9" s="3070"/>
      <c r="AW9" s="3071" t="s">
        <v>97</v>
      </c>
      <c r="AX9" s="3071"/>
      <c r="AY9" s="3071"/>
      <c r="AZ9" s="3071"/>
      <c r="BA9" s="3071"/>
      <c r="BB9" s="3192"/>
      <c r="BC9" s="3193"/>
      <c r="BD9" s="3193"/>
      <c r="BE9" s="3193"/>
      <c r="BF9" s="3194"/>
      <c r="BG9" s="3072" t="s">
        <v>56</v>
      </c>
      <c r="BH9" s="3072"/>
      <c r="BI9" s="104"/>
      <c r="BR9" s="31"/>
      <c r="BW9" s="32"/>
      <c r="BY9" s="37"/>
      <c r="CA9" s="3235" t="s">
        <v>102</v>
      </c>
      <c r="CB9" s="3236"/>
      <c r="CC9" s="3236"/>
      <c r="CD9" s="3236"/>
      <c r="CE9" s="3236"/>
      <c r="CF9" s="3236"/>
      <c r="CG9" s="3236"/>
      <c r="CH9" s="3236"/>
      <c r="CI9" s="3237"/>
      <c r="CS9" s="38"/>
    </row>
    <row r="10" spans="1:115" ht="9.9" customHeight="1">
      <c r="A10" s="3057"/>
      <c r="B10" s="3062"/>
      <c r="C10" s="3063"/>
      <c r="D10" s="3063"/>
      <c r="E10" s="3063"/>
      <c r="F10" s="3063"/>
      <c r="G10" s="3063"/>
      <c r="H10" s="3063"/>
      <c r="I10" s="3063"/>
      <c r="J10" s="3063"/>
      <c r="K10" s="3063"/>
      <c r="L10" s="3063"/>
      <c r="M10" s="3063"/>
      <c r="N10" s="3063"/>
      <c r="O10" s="3063"/>
      <c r="P10" s="3063"/>
      <c r="Q10" s="3063"/>
      <c r="R10" s="3063"/>
      <c r="S10" s="3063"/>
      <c r="T10" s="3063"/>
      <c r="U10" s="3063"/>
      <c r="V10" s="3063"/>
      <c r="W10" s="3063"/>
      <c r="X10" s="3063"/>
      <c r="Y10" s="3063"/>
      <c r="Z10" s="3063"/>
      <c r="AA10" s="3063"/>
      <c r="AB10" s="3063"/>
      <c r="AC10" s="3063"/>
      <c r="AD10" s="3063"/>
      <c r="AE10" s="3063"/>
      <c r="AF10" s="3063"/>
      <c r="AG10" s="3063"/>
      <c r="AH10" s="3063"/>
      <c r="AI10" s="3063"/>
      <c r="AJ10" s="3063"/>
      <c r="AK10" s="3063"/>
      <c r="AL10" s="3063"/>
      <c r="AM10" s="3063"/>
      <c r="AN10" s="3063"/>
      <c r="AO10" s="3063"/>
      <c r="AP10" s="3063"/>
      <c r="AQ10" s="3063"/>
      <c r="AR10" s="3063"/>
      <c r="AS10" s="3063"/>
      <c r="AT10" s="3063"/>
      <c r="AU10" s="3180"/>
      <c r="AV10" s="3180"/>
      <c r="AW10" s="3063"/>
      <c r="AX10" s="3063"/>
      <c r="AY10" s="3063"/>
      <c r="AZ10" s="3063"/>
      <c r="BA10" s="3063"/>
      <c r="BB10" s="3063"/>
      <c r="BC10" s="3063"/>
      <c r="BD10" s="3063"/>
      <c r="BE10" s="3063"/>
      <c r="BF10" s="3063"/>
      <c r="BG10" s="3063"/>
      <c r="BH10" s="3063"/>
      <c r="BI10" s="3064"/>
      <c r="BR10" s="31"/>
      <c r="BW10" s="32"/>
      <c r="BX10" s="43"/>
      <c r="BY10" s="37"/>
      <c r="CA10" s="3238"/>
      <c r="CB10" s="3239"/>
      <c r="CC10" s="3239"/>
      <c r="CD10" s="3239"/>
      <c r="CE10" s="3239"/>
      <c r="CF10" s="3239"/>
      <c r="CG10" s="3239"/>
      <c r="CH10" s="3239"/>
      <c r="CI10" s="3240"/>
      <c r="CS10" s="101"/>
    </row>
    <row r="11" spans="1:115" ht="18" customHeight="1">
      <c r="A11" s="3056"/>
      <c r="B11" s="3195" t="s">
        <v>80</v>
      </c>
      <c r="C11" s="3196"/>
      <c r="D11" s="3199" t="str">
        <f>CO90</f>
        <v/>
      </c>
      <c r="E11" s="3199"/>
      <c r="F11" s="3199"/>
      <c r="G11" s="3200" t="str">
        <f>IF(AB6="","CONCRETING CURVE",CONCATENATE("CONCRETING CURVE  -  ",AB6))</f>
        <v>CONCRETING CURVE</v>
      </c>
      <c r="H11" s="3200"/>
      <c r="I11" s="3200"/>
      <c r="J11" s="3200"/>
      <c r="K11" s="3200"/>
      <c r="L11" s="3200"/>
      <c r="M11" s="3200"/>
      <c r="N11" s="3200"/>
      <c r="O11" s="3200"/>
      <c r="P11" s="3200"/>
      <c r="Q11" s="3200"/>
      <c r="R11" s="3200"/>
      <c r="S11" s="3200"/>
      <c r="T11" s="3200"/>
      <c r="U11" s="3200"/>
      <c r="V11" s="3200"/>
      <c r="W11" s="3200"/>
      <c r="X11" s="3200"/>
      <c r="Y11" s="3200"/>
      <c r="Z11" s="3200"/>
      <c r="AA11" s="3200"/>
      <c r="AB11" s="3200"/>
      <c r="AC11" s="3200"/>
      <c r="AD11" s="3200"/>
      <c r="AE11" s="3200"/>
      <c r="AF11" s="3200"/>
      <c r="AG11" s="3200"/>
      <c r="AH11" s="3200"/>
      <c r="AI11" s="3200"/>
      <c r="AJ11" s="3200"/>
      <c r="AK11" s="3200"/>
      <c r="AL11" s="3200"/>
      <c r="AM11" s="3200"/>
      <c r="AN11" s="3200"/>
      <c r="AO11" s="3200"/>
      <c r="AP11" s="3200"/>
      <c r="AQ11" s="3200"/>
      <c r="AR11" s="3200"/>
      <c r="AS11" s="3200"/>
      <c r="AT11" s="3200"/>
      <c r="AU11" s="3200"/>
      <c r="AV11" s="3200"/>
      <c r="AW11" s="3200"/>
      <c r="AX11" s="3200"/>
      <c r="AY11" s="3200"/>
      <c r="AZ11" s="3200"/>
      <c r="BA11" s="3200"/>
      <c r="BB11" s="3200"/>
      <c r="BC11" s="3200"/>
      <c r="BD11" s="3200"/>
      <c r="BE11" s="3201" t="str">
        <f>CR90</f>
        <v/>
      </c>
      <c r="BF11" s="3201"/>
      <c r="BG11" s="3201"/>
      <c r="BH11" s="3196" t="s">
        <v>81</v>
      </c>
      <c r="BI11" s="3202"/>
      <c r="BR11" s="31"/>
      <c r="BW11" s="32"/>
      <c r="BX11" s="43"/>
      <c r="BY11" s="37"/>
      <c r="BZ11" s="43"/>
      <c r="CA11" s="3238"/>
      <c r="CB11" s="3239"/>
      <c r="CC11" s="3239"/>
      <c r="CD11" s="3239"/>
      <c r="CE11" s="3239"/>
      <c r="CF11" s="3239"/>
      <c r="CG11" s="3239"/>
      <c r="CH11" s="3239"/>
      <c r="CI11" s="3240"/>
      <c r="CS11" s="101"/>
    </row>
    <row r="12" spans="1:115" ht="12.9" customHeight="1">
      <c r="A12" s="3056"/>
      <c r="B12" s="3197"/>
      <c r="C12" s="3198"/>
      <c r="D12" s="3185"/>
      <c r="E12" s="3190" t="str">
        <f>CO89</f>
        <v/>
      </c>
      <c r="F12" s="3191"/>
      <c r="G12" s="53"/>
      <c r="H12" s="54"/>
      <c r="I12" s="54"/>
      <c r="J12" s="54"/>
      <c r="K12" s="54"/>
      <c r="L12" s="54"/>
      <c r="M12" s="54"/>
      <c r="N12" s="54"/>
      <c r="O12" s="54"/>
      <c r="P12" s="55"/>
      <c r="Q12" s="56"/>
      <c r="R12" s="54"/>
      <c r="S12" s="54"/>
      <c r="T12" s="54"/>
      <c r="U12" s="54"/>
      <c r="V12" s="54"/>
      <c r="W12" s="54"/>
      <c r="X12" s="54"/>
      <c r="Y12" s="54"/>
      <c r="Z12" s="55"/>
      <c r="AA12" s="56"/>
      <c r="AB12" s="54"/>
      <c r="AC12" s="54"/>
      <c r="AD12" s="54"/>
      <c r="AE12" s="54"/>
      <c r="AF12" s="54"/>
      <c r="AG12" s="54"/>
      <c r="AH12" s="54"/>
      <c r="AI12" s="54"/>
      <c r="AJ12" s="55"/>
      <c r="AK12" s="56"/>
      <c r="AL12" s="54"/>
      <c r="AM12" s="54"/>
      <c r="AN12" s="54"/>
      <c r="AO12" s="54"/>
      <c r="AP12" s="54"/>
      <c r="AQ12" s="54"/>
      <c r="AR12" s="54"/>
      <c r="AS12" s="54"/>
      <c r="AT12" s="55"/>
      <c r="AU12" s="56"/>
      <c r="AV12" s="54"/>
      <c r="AW12" s="54"/>
      <c r="AX12" s="54"/>
      <c r="AY12" s="54"/>
      <c r="AZ12" s="54"/>
      <c r="BA12" s="54"/>
      <c r="BB12" s="54"/>
      <c r="BC12" s="54"/>
      <c r="BD12" s="57"/>
      <c r="BE12" s="3166" t="str">
        <f>CR89</f>
        <v/>
      </c>
      <c r="BF12" s="3167"/>
      <c r="BG12" s="3167"/>
      <c r="BH12" s="3198"/>
      <c r="BI12" s="3203"/>
      <c r="BK12" s="45"/>
      <c r="BR12" s="31"/>
      <c r="BW12" s="32"/>
      <c r="BY12" s="37"/>
      <c r="CA12" s="3241"/>
      <c r="CB12" s="3242"/>
      <c r="CC12" s="3242"/>
      <c r="CD12" s="3242"/>
      <c r="CE12" s="3242"/>
      <c r="CF12" s="3242"/>
      <c r="CG12" s="3242"/>
      <c r="CH12" s="3242"/>
      <c r="CI12" s="3243"/>
      <c r="CS12" s="38"/>
    </row>
    <row r="13" spans="1:115" ht="12.9" customHeight="1">
      <c r="A13" s="3056"/>
      <c r="B13" s="3197"/>
      <c r="C13" s="3198"/>
      <c r="D13" s="3186"/>
      <c r="E13" s="3181" t="str">
        <f>CO88</f>
        <v/>
      </c>
      <c r="F13" s="3182"/>
      <c r="G13" s="58"/>
      <c r="H13" s="59"/>
      <c r="I13" s="59"/>
      <c r="J13" s="59"/>
      <c r="K13" s="59"/>
      <c r="L13" s="59"/>
      <c r="M13" s="59"/>
      <c r="N13" s="59"/>
      <c r="O13" s="59"/>
      <c r="P13" s="60"/>
      <c r="Q13" s="61"/>
      <c r="R13" s="59"/>
      <c r="S13" s="59"/>
      <c r="T13" s="59"/>
      <c r="U13" s="59"/>
      <c r="V13" s="59"/>
      <c r="W13" s="59"/>
      <c r="X13" s="59"/>
      <c r="Y13" s="59"/>
      <c r="Z13" s="60"/>
      <c r="AA13" s="61"/>
      <c r="AB13" s="59"/>
      <c r="AC13" s="59"/>
      <c r="AD13" s="59"/>
      <c r="AE13" s="59"/>
      <c r="AF13" s="59"/>
      <c r="AG13" s="59"/>
      <c r="AH13" s="59"/>
      <c r="AI13" s="59"/>
      <c r="AJ13" s="60"/>
      <c r="AK13" s="61"/>
      <c r="AL13" s="59"/>
      <c r="AM13" s="59"/>
      <c r="AN13" s="59"/>
      <c r="AO13" s="59"/>
      <c r="AP13" s="59"/>
      <c r="AQ13" s="59"/>
      <c r="AR13" s="59"/>
      <c r="AS13" s="59"/>
      <c r="AT13" s="60"/>
      <c r="AU13" s="61"/>
      <c r="AV13" s="59"/>
      <c r="AW13" s="59"/>
      <c r="AX13" s="59"/>
      <c r="AY13" s="59"/>
      <c r="AZ13" s="59"/>
      <c r="BA13" s="59"/>
      <c r="BB13" s="59"/>
      <c r="BC13" s="59"/>
      <c r="BD13" s="62"/>
      <c r="BE13" s="3166" t="str">
        <f>CR88</f>
        <v/>
      </c>
      <c r="BF13" s="3167"/>
      <c r="BG13" s="3167"/>
      <c r="BH13" s="3198"/>
      <c r="BI13" s="3203"/>
      <c r="BR13" s="31"/>
      <c r="BW13" s="32"/>
      <c r="BY13" s="37"/>
      <c r="CS13" s="38"/>
    </row>
    <row r="14" spans="1:115" ht="12.9" customHeight="1">
      <c r="A14" s="3056"/>
      <c r="B14" s="3217" t="s">
        <v>103</v>
      </c>
      <c r="C14" s="3218"/>
      <c r="D14" s="3186"/>
      <c r="E14" s="3181" t="str">
        <f>CO87</f>
        <v/>
      </c>
      <c r="F14" s="3182"/>
      <c r="G14" s="58"/>
      <c r="H14" s="59"/>
      <c r="I14" s="59"/>
      <c r="J14" s="59"/>
      <c r="K14" s="59"/>
      <c r="L14" s="59"/>
      <c r="M14" s="59"/>
      <c r="N14" s="59"/>
      <c r="O14" s="59"/>
      <c r="P14" s="60"/>
      <c r="Q14" s="61"/>
      <c r="R14" s="59"/>
      <c r="S14" s="59"/>
      <c r="T14" s="59"/>
      <c r="U14" s="59"/>
      <c r="V14" s="59"/>
      <c r="W14" s="59"/>
      <c r="X14" s="59"/>
      <c r="Y14" s="59"/>
      <c r="Z14" s="60"/>
      <c r="AA14" s="61"/>
      <c r="AB14" s="59"/>
      <c r="AC14" s="59"/>
      <c r="AD14" s="59"/>
      <c r="AE14" s="59"/>
      <c r="AF14" s="59"/>
      <c r="AG14" s="59"/>
      <c r="AH14" s="59"/>
      <c r="AI14" s="59"/>
      <c r="AJ14" s="60"/>
      <c r="AK14" s="61"/>
      <c r="AL14" s="59"/>
      <c r="AM14" s="59"/>
      <c r="AN14" s="59"/>
      <c r="AO14" s="59"/>
      <c r="AP14" s="59"/>
      <c r="AQ14" s="59"/>
      <c r="AR14" s="59"/>
      <c r="AS14" s="59"/>
      <c r="AT14" s="60"/>
      <c r="AU14" s="61"/>
      <c r="AV14" s="59"/>
      <c r="AW14" s="59"/>
      <c r="AX14" s="59"/>
      <c r="AY14" s="59"/>
      <c r="AZ14" s="59"/>
      <c r="BA14" s="59"/>
      <c r="BB14" s="59"/>
      <c r="BC14" s="59"/>
      <c r="BD14" s="62"/>
      <c r="BE14" s="3166" t="str">
        <f>CR87</f>
        <v/>
      </c>
      <c r="BF14" s="3167"/>
      <c r="BG14" s="3167"/>
      <c r="BH14" s="3187" t="s">
        <v>85</v>
      </c>
      <c r="BI14" s="3188"/>
      <c r="BR14" s="31"/>
      <c r="BW14" s="32"/>
      <c r="BY14" s="37"/>
      <c r="CK14" s="2986" t="s">
        <v>70</v>
      </c>
      <c r="CL14" s="32"/>
      <c r="CR14" s="32"/>
      <c r="CS14" s="38"/>
    </row>
    <row r="15" spans="1:115" ht="12.9" customHeight="1">
      <c r="A15" s="3056"/>
      <c r="B15" s="3217"/>
      <c r="C15" s="3218"/>
      <c r="D15" s="3186"/>
      <c r="E15" s="3181" t="str">
        <f>CO86</f>
        <v/>
      </c>
      <c r="F15" s="3182"/>
      <c r="G15" s="58"/>
      <c r="H15" s="59"/>
      <c r="I15" s="59"/>
      <c r="J15" s="59"/>
      <c r="K15" s="59"/>
      <c r="L15" s="59"/>
      <c r="M15" s="59"/>
      <c r="N15" s="59"/>
      <c r="O15" s="59"/>
      <c r="P15" s="60"/>
      <c r="Q15" s="61"/>
      <c r="R15" s="59"/>
      <c r="S15" s="59"/>
      <c r="T15" s="59"/>
      <c r="U15" s="59"/>
      <c r="V15" s="59"/>
      <c r="W15" s="59"/>
      <c r="X15" s="59"/>
      <c r="Y15" s="59"/>
      <c r="Z15" s="60"/>
      <c r="AA15" s="61"/>
      <c r="AB15" s="59"/>
      <c r="AC15" s="59"/>
      <c r="AD15" s="59"/>
      <c r="AE15" s="59"/>
      <c r="AF15" s="59"/>
      <c r="AG15" s="59"/>
      <c r="AH15" s="59"/>
      <c r="AI15" s="59"/>
      <c r="AJ15" s="60"/>
      <c r="AK15" s="61"/>
      <c r="AL15" s="59"/>
      <c r="AM15" s="59"/>
      <c r="AN15" s="59"/>
      <c r="AO15" s="59"/>
      <c r="AP15" s="59"/>
      <c r="AQ15" s="59"/>
      <c r="AR15" s="59"/>
      <c r="AS15" s="59"/>
      <c r="AT15" s="60"/>
      <c r="AU15" s="61"/>
      <c r="AV15" s="59"/>
      <c r="AW15" s="59"/>
      <c r="AX15" s="59"/>
      <c r="AY15" s="59"/>
      <c r="AZ15" s="59"/>
      <c r="BA15" s="59"/>
      <c r="BB15" s="59"/>
      <c r="BC15" s="59"/>
      <c r="BD15" s="62"/>
      <c r="BE15" s="3166" t="str">
        <f>CR86</f>
        <v/>
      </c>
      <c r="BF15" s="3167"/>
      <c r="BG15" s="3167"/>
      <c r="BH15" s="3189"/>
      <c r="BI15" s="3188"/>
      <c r="BR15" s="31"/>
      <c r="BW15" s="32"/>
      <c r="BY15" s="37"/>
      <c r="CK15" s="2987"/>
      <c r="CL15" s="32"/>
      <c r="CS15" s="38"/>
    </row>
    <row r="16" spans="1:115" ht="12.9" customHeight="1">
      <c r="A16" s="3056"/>
      <c r="B16" s="3217"/>
      <c r="C16" s="3218"/>
      <c r="D16" s="3186"/>
      <c r="E16" s="3181" t="str">
        <f>CO85</f>
        <v/>
      </c>
      <c r="F16" s="3182"/>
      <c r="G16" s="58"/>
      <c r="H16" s="59"/>
      <c r="I16" s="59"/>
      <c r="J16" s="59"/>
      <c r="K16" s="59"/>
      <c r="L16" s="59"/>
      <c r="M16" s="59"/>
      <c r="N16" s="59"/>
      <c r="O16" s="59"/>
      <c r="P16" s="60"/>
      <c r="Q16" s="61"/>
      <c r="R16" s="59"/>
      <c r="S16" s="59"/>
      <c r="T16" s="59"/>
      <c r="U16" s="59"/>
      <c r="V16" s="59"/>
      <c r="W16" s="59"/>
      <c r="X16" s="59"/>
      <c r="Y16" s="59"/>
      <c r="Z16" s="60"/>
      <c r="AA16" s="61"/>
      <c r="AB16" s="59"/>
      <c r="AC16" s="59"/>
      <c r="AD16" s="59"/>
      <c r="AE16" s="59"/>
      <c r="AF16" s="59"/>
      <c r="AG16" s="59"/>
      <c r="AH16" s="59"/>
      <c r="AI16" s="59"/>
      <c r="AJ16" s="60"/>
      <c r="AK16" s="61"/>
      <c r="AL16" s="59"/>
      <c r="AM16" s="59"/>
      <c r="AN16" s="59"/>
      <c r="AO16" s="59"/>
      <c r="AP16" s="59"/>
      <c r="AQ16" s="59"/>
      <c r="AR16" s="59"/>
      <c r="AS16" s="59"/>
      <c r="AT16" s="60"/>
      <c r="AU16" s="61"/>
      <c r="AV16" s="59"/>
      <c r="AW16" s="59"/>
      <c r="AX16" s="59"/>
      <c r="AY16" s="59"/>
      <c r="AZ16" s="59"/>
      <c r="BA16" s="59"/>
      <c r="BB16" s="59"/>
      <c r="BC16" s="59"/>
      <c r="BD16" s="62"/>
      <c r="BE16" s="3166" t="str">
        <f>CR85</f>
        <v/>
      </c>
      <c r="BF16" s="3167"/>
      <c r="BG16" s="3167"/>
      <c r="BH16" s="3189"/>
      <c r="BI16" s="3188"/>
      <c r="BR16" s="31"/>
      <c r="BW16" s="32"/>
      <c r="BX16" s="32"/>
      <c r="BY16" s="63"/>
      <c r="BZ16" s="32"/>
      <c r="CG16" s="64" t="s">
        <v>100</v>
      </c>
      <c r="CK16" s="2988"/>
      <c r="CO16" s="3168" t="s">
        <v>71</v>
      </c>
      <c r="CR16" s="3168" t="s">
        <v>72</v>
      </c>
      <c r="CS16" s="38"/>
    </row>
    <row r="17" spans="1:103" ht="12.9" customHeight="1" thickBot="1">
      <c r="A17" s="3056"/>
      <c r="B17" s="3217"/>
      <c r="C17" s="3218"/>
      <c r="D17" s="3186"/>
      <c r="E17" s="3181" t="str">
        <f>CO84</f>
        <v/>
      </c>
      <c r="F17" s="3182"/>
      <c r="G17" s="58"/>
      <c r="H17" s="59"/>
      <c r="I17" s="59"/>
      <c r="J17" s="59"/>
      <c r="K17" s="59"/>
      <c r="L17" s="59"/>
      <c r="M17" s="59"/>
      <c r="N17" s="59"/>
      <c r="O17" s="59"/>
      <c r="P17" s="60"/>
      <c r="Q17" s="61"/>
      <c r="R17" s="59"/>
      <c r="S17" s="59"/>
      <c r="T17" s="59"/>
      <c r="U17" s="59"/>
      <c r="V17" s="59"/>
      <c r="W17" s="59"/>
      <c r="X17" s="59"/>
      <c r="Y17" s="59"/>
      <c r="Z17" s="60"/>
      <c r="AA17" s="61"/>
      <c r="AB17" s="59"/>
      <c r="AC17" s="59"/>
      <c r="AD17" s="59"/>
      <c r="AE17" s="59"/>
      <c r="AF17" s="59"/>
      <c r="AG17" s="59"/>
      <c r="AH17" s="59"/>
      <c r="AI17" s="59"/>
      <c r="AJ17" s="60"/>
      <c r="AK17" s="61"/>
      <c r="AL17" s="59"/>
      <c r="AM17" s="59"/>
      <c r="AN17" s="59"/>
      <c r="AO17" s="59"/>
      <c r="AP17" s="59"/>
      <c r="AQ17" s="59"/>
      <c r="AR17" s="59"/>
      <c r="AS17" s="59"/>
      <c r="AT17" s="60"/>
      <c r="AU17" s="61"/>
      <c r="AV17" s="59"/>
      <c r="AW17" s="59"/>
      <c r="AX17" s="59"/>
      <c r="AY17" s="59"/>
      <c r="AZ17" s="59"/>
      <c r="BA17" s="59"/>
      <c r="BB17" s="59"/>
      <c r="BC17" s="59"/>
      <c r="BD17" s="62"/>
      <c r="BE17" s="3166" t="str">
        <f>CR84</f>
        <v/>
      </c>
      <c r="BF17" s="3167"/>
      <c r="BG17" s="3167"/>
      <c r="BH17" s="3189"/>
      <c r="BI17" s="3188"/>
      <c r="BY17" s="63"/>
      <c r="CG17" s="70" t="s">
        <v>86</v>
      </c>
      <c r="CK17" s="40"/>
      <c r="CN17" s="41">
        <f>BE88</f>
        <v>0</v>
      </c>
      <c r="CO17" s="3168"/>
      <c r="CP17" s="42"/>
      <c r="CQ17" s="41">
        <f>BB9</f>
        <v>0</v>
      </c>
      <c r="CR17" s="3168"/>
      <c r="CS17" s="38"/>
    </row>
    <row r="18" spans="1:103" ht="12.9" customHeight="1">
      <c r="A18" s="3056"/>
      <c r="B18" s="3217"/>
      <c r="C18" s="3218"/>
      <c r="D18" s="3186"/>
      <c r="E18" s="3181" t="str">
        <f>CO83</f>
        <v/>
      </c>
      <c r="F18" s="3182"/>
      <c r="G18" s="58"/>
      <c r="H18" s="59"/>
      <c r="I18" s="59"/>
      <c r="J18" s="59"/>
      <c r="K18" s="59"/>
      <c r="L18" s="59"/>
      <c r="M18" s="59"/>
      <c r="N18" s="59"/>
      <c r="O18" s="59"/>
      <c r="P18" s="60"/>
      <c r="Q18" s="61"/>
      <c r="R18" s="59"/>
      <c r="S18" s="59"/>
      <c r="T18" s="59"/>
      <c r="U18" s="59"/>
      <c r="V18" s="59"/>
      <c r="W18" s="59"/>
      <c r="X18" s="59"/>
      <c r="Y18" s="59"/>
      <c r="Z18" s="60"/>
      <c r="AA18" s="61"/>
      <c r="AB18" s="59"/>
      <c r="AC18" s="59"/>
      <c r="AD18" s="59"/>
      <c r="AE18" s="59"/>
      <c r="AF18" s="59"/>
      <c r="AG18" s="59"/>
      <c r="AH18" s="59"/>
      <c r="AI18" s="59"/>
      <c r="AJ18" s="60"/>
      <c r="AK18" s="61"/>
      <c r="AL18" s="59"/>
      <c r="AM18" s="59"/>
      <c r="AN18" s="59"/>
      <c r="AO18" s="59"/>
      <c r="AP18" s="59"/>
      <c r="AQ18" s="59"/>
      <c r="AR18" s="59"/>
      <c r="AS18" s="59"/>
      <c r="AT18" s="60"/>
      <c r="AU18" s="61"/>
      <c r="AV18" s="59"/>
      <c r="AW18" s="59"/>
      <c r="AX18" s="59"/>
      <c r="AY18" s="59"/>
      <c r="AZ18" s="59"/>
      <c r="BA18" s="59"/>
      <c r="BB18" s="59"/>
      <c r="BC18" s="59"/>
      <c r="BD18" s="62"/>
      <c r="BE18" s="3166" t="str">
        <f>CR83</f>
        <v/>
      </c>
      <c r="BF18" s="3167"/>
      <c r="BG18" s="3167"/>
      <c r="BH18" s="3189"/>
      <c r="BI18" s="3188"/>
      <c r="BY18" s="63"/>
      <c r="CA18" s="76" t="s">
        <v>87</v>
      </c>
      <c r="CB18" s="77">
        <v>0</v>
      </c>
      <c r="CC18" s="78">
        <v>10</v>
      </c>
      <c r="CD18" s="78">
        <v>20</v>
      </c>
      <c r="CE18" s="78">
        <v>30</v>
      </c>
      <c r="CF18" s="78">
        <v>40</v>
      </c>
      <c r="CG18" s="78">
        <v>50</v>
      </c>
      <c r="CK18" s="40">
        <v>1</v>
      </c>
      <c r="CL18" s="43"/>
      <c r="CO18" s="3169"/>
      <c r="CR18" s="3169"/>
      <c r="CS18" s="38"/>
    </row>
    <row r="19" spans="1:103" ht="12.9" customHeight="1">
      <c r="A19" s="3056"/>
      <c r="B19" s="3217"/>
      <c r="C19" s="3218"/>
      <c r="D19" s="3186"/>
      <c r="E19" s="3181" t="str">
        <f>CO82</f>
        <v/>
      </c>
      <c r="F19" s="3182"/>
      <c r="G19" s="58"/>
      <c r="H19" s="59"/>
      <c r="I19" s="59"/>
      <c r="J19" s="59"/>
      <c r="K19" s="59"/>
      <c r="L19" s="59"/>
      <c r="M19" s="59"/>
      <c r="N19" s="59"/>
      <c r="O19" s="59"/>
      <c r="P19" s="60"/>
      <c r="Q19" s="61"/>
      <c r="R19" s="59"/>
      <c r="S19" s="59"/>
      <c r="T19" s="59"/>
      <c r="U19" s="59"/>
      <c r="V19" s="59"/>
      <c r="W19" s="59"/>
      <c r="X19" s="59"/>
      <c r="Y19" s="59"/>
      <c r="Z19" s="60"/>
      <c r="AA19" s="61"/>
      <c r="AB19" s="59"/>
      <c r="AC19" s="59"/>
      <c r="AD19" s="59"/>
      <c r="AE19" s="59"/>
      <c r="AF19" s="59"/>
      <c r="AG19" s="59"/>
      <c r="AH19" s="59"/>
      <c r="AI19" s="59"/>
      <c r="AJ19" s="60"/>
      <c r="AK19" s="61"/>
      <c r="AL19" s="59"/>
      <c r="AM19" s="59"/>
      <c r="AN19" s="59"/>
      <c r="AO19" s="59"/>
      <c r="AP19" s="59"/>
      <c r="AQ19" s="59"/>
      <c r="AR19" s="59"/>
      <c r="AS19" s="59"/>
      <c r="AT19" s="60"/>
      <c r="AU19" s="61"/>
      <c r="AV19" s="59"/>
      <c r="AW19" s="59"/>
      <c r="AX19" s="59"/>
      <c r="AY19" s="59"/>
      <c r="AZ19" s="59"/>
      <c r="BA19" s="59"/>
      <c r="BB19" s="59"/>
      <c r="BC19" s="59"/>
      <c r="BD19" s="62"/>
      <c r="BE19" s="3166" t="str">
        <f>CR82</f>
        <v/>
      </c>
      <c r="BF19" s="3167"/>
      <c r="BG19" s="3167"/>
      <c r="BH19" s="3189"/>
      <c r="BI19" s="3188"/>
      <c r="BY19" s="37"/>
      <c r="CA19" s="79">
        <v>0.1</v>
      </c>
      <c r="CB19" s="39">
        <v>0</v>
      </c>
      <c r="CC19" s="40">
        <f>$CA19*10</f>
        <v>1</v>
      </c>
      <c r="CD19" s="40">
        <f>$CA19*20</f>
        <v>2</v>
      </c>
      <c r="CE19" s="40">
        <f>$CA19*30</f>
        <v>3</v>
      </c>
      <c r="CF19" s="40">
        <f>$CA19*40</f>
        <v>4</v>
      </c>
      <c r="CG19" s="374">
        <f>$CA19*50</f>
        <v>5</v>
      </c>
      <c r="CK19" s="40">
        <v>2</v>
      </c>
      <c r="CL19" s="43"/>
      <c r="CM19" s="40" t="s">
        <v>73</v>
      </c>
      <c r="CN19" s="40" t="s">
        <v>74</v>
      </c>
      <c r="CO19" s="44" t="s">
        <v>75</v>
      </c>
      <c r="CQ19" s="40" t="s">
        <v>76</v>
      </c>
      <c r="CR19" s="44" t="s">
        <v>77</v>
      </c>
      <c r="CS19" s="38"/>
    </row>
    <row r="20" spans="1:103" ht="12.9" customHeight="1">
      <c r="A20" s="3056"/>
      <c r="B20" s="3217"/>
      <c r="C20" s="3218"/>
      <c r="D20" s="3186"/>
      <c r="E20" s="3181" t="str">
        <f>CO81</f>
        <v/>
      </c>
      <c r="F20" s="3182"/>
      <c r="G20" s="58"/>
      <c r="H20" s="59"/>
      <c r="I20" s="59"/>
      <c r="J20" s="59"/>
      <c r="K20" s="59"/>
      <c r="L20" s="59"/>
      <c r="M20" s="59"/>
      <c r="N20" s="59"/>
      <c r="O20" s="59"/>
      <c r="P20" s="60"/>
      <c r="Q20" s="61"/>
      <c r="R20" s="59"/>
      <c r="S20" s="59"/>
      <c r="T20" s="59"/>
      <c r="U20" s="59"/>
      <c r="V20" s="59"/>
      <c r="W20" s="59"/>
      <c r="X20" s="59"/>
      <c r="Y20" s="59"/>
      <c r="Z20" s="60"/>
      <c r="AA20" s="61"/>
      <c r="AB20" s="59"/>
      <c r="AC20" s="59"/>
      <c r="AD20" s="59"/>
      <c r="AE20" s="59"/>
      <c r="AF20" s="59"/>
      <c r="AG20" s="59"/>
      <c r="AH20" s="59"/>
      <c r="AI20" s="59"/>
      <c r="AJ20" s="60"/>
      <c r="AK20" s="61"/>
      <c r="AL20" s="59"/>
      <c r="AM20" s="59"/>
      <c r="AN20" s="59"/>
      <c r="AO20" s="59"/>
      <c r="AP20" s="59"/>
      <c r="AQ20" s="59"/>
      <c r="AR20" s="59"/>
      <c r="AS20" s="59"/>
      <c r="AT20" s="60"/>
      <c r="AU20" s="61"/>
      <c r="AV20" s="59"/>
      <c r="AW20" s="59"/>
      <c r="AX20" s="59"/>
      <c r="AY20" s="59"/>
      <c r="AZ20" s="59"/>
      <c r="BA20" s="59"/>
      <c r="BB20" s="59"/>
      <c r="BC20" s="59"/>
      <c r="BD20" s="62"/>
      <c r="BE20" s="3166" t="str">
        <f>CR81</f>
        <v/>
      </c>
      <c r="BF20" s="3167"/>
      <c r="BG20" s="3167"/>
      <c r="BH20" s="3189"/>
      <c r="BI20" s="3188"/>
      <c r="BY20" s="37"/>
      <c r="CA20" s="79">
        <v>0.2</v>
      </c>
      <c r="CB20" s="39">
        <v>0</v>
      </c>
      <c r="CC20" s="40">
        <f>$CA20*10</f>
        <v>2</v>
      </c>
      <c r="CD20" s="40">
        <f>$CA20*20</f>
        <v>4</v>
      </c>
      <c r="CE20" s="40">
        <f>$CA20*30</f>
        <v>6</v>
      </c>
      <c r="CF20" s="40">
        <f>$CA20*40</f>
        <v>8</v>
      </c>
      <c r="CG20" s="80">
        <f>$CA20*50</f>
        <v>10</v>
      </c>
      <c r="CK20" s="40">
        <v>3</v>
      </c>
      <c r="CM20" s="46">
        <v>0</v>
      </c>
      <c r="CN20" s="47">
        <v>0</v>
      </c>
      <c r="CO20" s="48">
        <v>0</v>
      </c>
      <c r="CQ20" s="49">
        <f>BB9</f>
        <v>0</v>
      </c>
      <c r="CR20" s="50" t="str">
        <f t="shared" ref="CR20:CR51" si="0">IF(BE$88="","",IF($BB$9="","",CQ20))</f>
        <v/>
      </c>
      <c r="CS20" s="38"/>
    </row>
    <row r="21" spans="1:103" ht="12.9" customHeight="1">
      <c r="A21" s="3056"/>
      <c r="B21" s="3217"/>
      <c r="C21" s="3218"/>
      <c r="D21" s="3183" t="str">
        <f>CO80</f>
        <v/>
      </c>
      <c r="E21" s="3183"/>
      <c r="F21" s="3184"/>
      <c r="G21" s="65"/>
      <c r="H21" s="66"/>
      <c r="I21" s="66"/>
      <c r="J21" s="66"/>
      <c r="K21" s="66"/>
      <c r="L21" s="66"/>
      <c r="M21" s="66"/>
      <c r="N21" s="66"/>
      <c r="O21" s="66"/>
      <c r="P21" s="67"/>
      <c r="Q21" s="68"/>
      <c r="R21" s="66"/>
      <c r="S21" s="66"/>
      <c r="T21" s="66"/>
      <c r="U21" s="66"/>
      <c r="V21" s="66"/>
      <c r="W21" s="66"/>
      <c r="X21" s="66"/>
      <c r="Y21" s="66"/>
      <c r="Z21" s="67"/>
      <c r="AA21" s="68"/>
      <c r="AB21" s="66"/>
      <c r="AC21" s="66"/>
      <c r="AD21" s="66"/>
      <c r="AE21" s="66"/>
      <c r="AF21" s="66"/>
      <c r="AG21" s="66"/>
      <c r="AH21" s="66"/>
      <c r="AI21" s="66"/>
      <c r="AJ21" s="67"/>
      <c r="AK21" s="68"/>
      <c r="AL21" s="66"/>
      <c r="AM21" s="66"/>
      <c r="AN21" s="66"/>
      <c r="AO21" s="66"/>
      <c r="AP21" s="66"/>
      <c r="AQ21" s="66"/>
      <c r="AR21" s="66"/>
      <c r="AS21" s="66"/>
      <c r="AT21" s="67"/>
      <c r="AU21" s="68"/>
      <c r="AV21" s="66"/>
      <c r="AW21" s="66"/>
      <c r="AX21" s="66"/>
      <c r="AY21" s="66"/>
      <c r="AZ21" s="66"/>
      <c r="BA21" s="66"/>
      <c r="BB21" s="66"/>
      <c r="BC21" s="66"/>
      <c r="BD21" s="69"/>
      <c r="BE21" s="3174" t="str">
        <f>CR80</f>
        <v/>
      </c>
      <c r="BF21" s="3175"/>
      <c r="BG21" s="3175"/>
      <c r="BH21" s="3189"/>
      <c r="BI21" s="3188"/>
      <c r="BY21" s="37"/>
      <c r="CA21" s="79">
        <v>0.3</v>
      </c>
      <c r="CB21" s="39">
        <v>1</v>
      </c>
      <c r="CC21" s="40">
        <f>$CA21*10</f>
        <v>3</v>
      </c>
      <c r="CD21" s="40">
        <f>$CA21*20</f>
        <v>6</v>
      </c>
      <c r="CE21" s="40">
        <f>$CA21*30</f>
        <v>9</v>
      </c>
      <c r="CF21" s="40">
        <f>$CA21*40</f>
        <v>12</v>
      </c>
      <c r="CG21" s="80">
        <f>$CA21*50</f>
        <v>15</v>
      </c>
      <c r="CK21" s="40">
        <v>4</v>
      </c>
      <c r="CM21" s="46">
        <v>1</v>
      </c>
      <c r="CN21" s="49">
        <f>CN17/70</f>
        <v>0</v>
      </c>
      <c r="CO21" s="51" t="str">
        <f>IF(BE$88=0,"",ROUND(CN21,2))</f>
        <v/>
      </c>
      <c r="CQ21" s="52">
        <f t="shared" ref="CQ21:CQ52" si="1">CQ20+CN$21</f>
        <v>0</v>
      </c>
      <c r="CR21" s="51" t="str">
        <f t="shared" si="0"/>
        <v/>
      </c>
      <c r="CS21" s="38"/>
      <c r="CT21" s="110"/>
      <c r="CU21" s="3155" t="s">
        <v>424</v>
      </c>
      <c r="CV21" s="3156"/>
      <c r="CW21" s="3156"/>
      <c r="CX21" s="3156"/>
      <c r="CY21" s="3157"/>
    </row>
    <row r="22" spans="1:103" ht="12.9" customHeight="1">
      <c r="A22" s="3056"/>
      <c r="B22" s="3217"/>
      <c r="C22" s="3218"/>
      <c r="D22" s="3185"/>
      <c r="E22" s="3190" t="str">
        <f>CO79</f>
        <v/>
      </c>
      <c r="F22" s="3191"/>
      <c r="G22" s="71"/>
      <c r="H22" s="72"/>
      <c r="I22" s="72"/>
      <c r="J22" s="72"/>
      <c r="K22" s="72"/>
      <c r="L22" s="72"/>
      <c r="M22" s="72"/>
      <c r="N22" s="72"/>
      <c r="O22" s="72"/>
      <c r="P22" s="73"/>
      <c r="Q22" s="74"/>
      <c r="R22" s="72"/>
      <c r="S22" s="72"/>
      <c r="T22" s="72"/>
      <c r="U22" s="72"/>
      <c r="V22" s="72"/>
      <c r="W22" s="72"/>
      <c r="X22" s="72"/>
      <c r="Y22" s="72"/>
      <c r="Z22" s="73"/>
      <c r="AA22" s="74"/>
      <c r="AB22" s="72"/>
      <c r="AC22" s="72"/>
      <c r="AD22" s="72"/>
      <c r="AE22" s="72"/>
      <c r="AF22" s="72"/>
      <c r="AG22" s="72"/>
      <c r="AH22" s="72"/>
      <c r="AI22" s="72"/>
      <c r="AJ22" s="73"/>
      <c r="AK22" s="74"/>
      <c r="AL22" s="72"/>
      <c r="AM22" s="72"/>
      <c r="AN22" s="72"/>
      <c r="AO22" s="72"/>
      <c r="AP22" s="72"/>
      <c r="AQ22" s="72"/>
      <c r="AR22" s="72"/>
      <c r="AS22" s="72"/>
      <c r="AT22" s="73"/>
      <c r="AU22" s="74"/>
      <c r="AV22" s="72"/>
      <c r="AW22" s="72"/>
      <c r="AX22" s="72"/>
      <c r="AY22" s="72"/>
      <c r="AZ22" s="72"/>
      <c r="BA22" s="72"/>
      <c r="BB22" s="72"/>
      <c r="BC22" s="72"/>
      <c r="BD22" s="75"/>
      <c r="BE22" s="3166" t="str">
        <f>CR79</f>
        <v/>
      </c>
      <c r="BF22" s="3167"/>
      <c r="BG22" s="3167"/>
      <c r="BH22" s="3189"/>
      <c r="BI22" s="3188"/>
      <c r="BY22" s="37"/>
      <c r="CA22" s="79">
        <v>0.4</v>
      </c>
      <c r="CB22" s="39">
        <v>2</v>
      </c>
      <c r="CC22" s="40">
        <f>$CA22*10</f>
        <v>4</v>
      </c>
      <c r="CD22" s="40">
        <f>$CA22*20</f>
        <v>8</v>
      </c>
      <c r="CE22" s="40">
        <f>$CA22*30</f>
        <v>12</v>
      </c>
      <c r="CF22" s="40">
        <f>$CA22*40</f>
        <v>16</v>
      </c>
      <c r="CG22" s="80">
        <f>$CA22*50</f>
        <v>20</v>
      </c>
      <c r="CK22" s="40">
        <v>5</v>
      </c>
      <c r="CM22" s="46">
        <v>2</v>
      </c>
      <c r="CN22" s="49">
        <f t="shared" ref="CN22:CN53" si="2">CN21+CN$21</f>
        <v>0</v>
      </c>
      <c r="CO22" s="51" t="str">
        <f t="shared" ref="CO22:CO52" si="3">IF(BE$88=0,"",CN22)</f>
        <v/>
      </c>
      <c r="CQ22" s="49">
        <f t="shared" si="1"/>
        <v>0</v>
      </c>
      <c r="CR22" s="51" t="str">
        <f t="shared" si="0"/>
        <v/>
      </c>
      <c r="CS22" s="38"/>
      <c r="CT22" s="110"/>
      <c r="CU22" s="3158" t="s">
        <v>422</v>
      </c>
      <c r="CV22" s="3056"/>
      <c r="CW22" s="3056"/>
      <c r="CX22" s="3056"/>
      <c r="CY22" s="3057"/>
    </row>
    <row r="23" spans="1:103" ht="12.9" customHeight="1">
      <c r="A23" s="3056"/>
      <c r="B23" s="3217"/>
      <c r="C23" s="3218"/>
      <c r="D23" s="3186"/>
      <c r="E23" s="3181" t="str">
        <f>CO78</f>
        <v/>
      </c>
      <c r="F23" s="3182"/>
      <c r="G23" s="58"/>
      <c r="H23" s="59"/>
      <c r="I23" s="59"/>
      <c r="J23" s="59"/>
      <c r="K23" s="59"/>
      <c r="L23" s="59"/>
      <c r="M23" s="59"/>
      <c r="N23" s="59"/>
      <c r="O23" s="59"/>
      <c r="P23" s="60"/>
      <c r="Q23" s="61"/>
      <c r="R23" s="59"/>
      <c r="S23" s="59"/>
      <c r="T23" s="59"/>
      <c r="U23" s="59"/>
      <c r="V23" s="59"/>
      <c r="W23" s="59"/>
      <c r="X23" s="59"/>
      <c r="Y23" s="59"/>
      <c r="Z23" s="60"/>
      <c r="AA23" s="61"/>
      <c r="AB23" s="59"/>
      <c r="AC23" s="59"/>
      <c r="AD23" s="59"/>
      <c r="AE23" s="59"/>
      <c r="AF23" s="59"/>
      <c r="AG23" s="59"/>
      <c r="AH23" s="59"/>
      <c r="AI23" s="59"/>
      <c r="AJ23" s="60"/>
      <c r="AK23" s="61"/>
      <c r="AL23" s="59"/>
      <c r="AM23" s="59"/>
      <c r="AN23" s="59"/>
      <c r="AO23" s="59"/>
      <c r="AP23" s="59"/>
      <c r="AQ23" s="59"/>
      <c r="AR23" s="59"/>
      <c r="AS23" s="59"/>
      <c r="AT23" s="60"/>
      <c r="AU23" s="61"/>
      <c r="AV23" s="59"/>
      <c r="AW23" s="59"/>
      <c r="AX23" s="59"/>
      <c r="AY23" s="59"/>
      <c r="AZ23" s="59"/>
      <c r="BA23" s="59"/>
      <c r="BB23" s="59"/>
      <c r="BC23" s="59"/>
      <c r="BD23" s="62"/>
      <c r="BE23" s="3166" t="str">
        <f>CR78</f>
        <v/>
      </c>
      <c r="BF23" s="3167"/>
      <c r="BG23" s="3167"/>
      <c r="BH23" s="3189"/>
      <c r="BI23" s="3188"/>
      <c r="BY23" s="37"/>
      <c r="CA23" s="79">
        <v>0.5</v>
      </c>
      <c r="CB23" s="39">
        <v>0</v>
      </c>
      <c r="CC23" s="40">
        <f>$CA23*10</f>
        <v>5</v>
      </c>
      <c r="CD23" s="40">
        <f>$CA23*20</f>
        <v>10</v>
      </c>
      <c r="CE23" s="40">
        <f>$CA23*30</f>
        <v>15</v>
      </c>
      <c r="CF23" s="40">
        <f>$CA23*40</f>
        <v>20</v>
      </c>
      <c r="CG23" s="80">
        <f>$CA23*50</f>
        <v>25</v>
      </c>
      <c r="CK23" s="40">
        <v>6</v>
      </c>
      <c r="CM23" s="46">
        <v>3</v>
      </c>
      <c r="CN23" s="49">
        <f t="shared" si="2"/>
        <v>0</v>
      </c>
      <c r="CO23" s="51" t="str">
        <f t="shared" si="3"/>
        <v/>
      </c>
      <c r="CQ23" s="49">
        <f t="shared" si="1"/>
        <v>0</v>
      </c>
      <c r="CR23" s="51" t="str">
        <f t="shared" si="0"/>
        <v/>
      </c>
      <c r="CS23" s="38"/>
      <c r="CT23" s="110"/>
      <c r="CU23" s="3159" t="s">
        <v>423</v>
      </c>
      <c r="CV23" s="3063"/>
      <c r="CW23" s="3063"/>
      <c r="CX23" s="3063"/>
      <c r="CY23" s="3064"/>
    </row>
    <row r="24" spans="1:103" ht="12.9" customHeight="1">
      <c r="A24" s="3056"/>
      <c r="B24" s="3217"/>
      <c r="C24" s="3218"/>
      <c r="D24" s="3186"/>
      <c r="E24" s="3181" t="str">
        <f>CO77</f>
        <v/>
      </c>
      <c r="F24" s="3182"/>
      <c r="G24" s="58"/>
      <c r="H24" s="59"/>
      <c r="I24" s="59"/>
      <c r="J24" s="59"/>
      <c r="K24" s="59"/>
      <c r="L24" s="59"/>
      <c r="M24" s="59"/>
      <c r="N24" s="59"/>
      <c r="O24" s="59"/>
      <c r="P24" s="60"/>
      <c r="Q24" s="61"/>
      <c r="R24" s="59"/>
      <c r="S24" s="59"/>
      <c r="T24" s="59"/>
      <c r="U24" s="59"/>
      <c r="V24" s="59"/>
      <c r="W24" s="59"/>
      <c r="X24" s="59"/>
      <c r="Y24" s="59"/>
      <c r="Z24" s="60"/>
      <c r="AA24" s="61"/>
      <c r="AB24" s="59"/>
      <c r="AC24" s="59"/>
      <c r="AD24" s="59"/>
      <c r="AE24" s="59"/>
      <c r="AF24" s="59"/>
      <c r="AG24" s="59"/>
      <c r="AH24" s="59"/>
      <c r="AI24" s="59"/>
      <c r="AJ24" s="60"/>
      <c r="AK24" s="61"/>
      <c r="AL24" s="59"/>
      <c r="AM24" s="59"/>
      <c r="AN24" s="59"/>
      <c r="AO24" s="59"/>
      <c r="AP24" s="59"/>
      <c r="AQ24" s="59"/>
      <c r="AR24" s="59"/>
      <c r="AS24" s="59"/>
      <c r="AT24" s="60"/>
      <c r="AU24" s="61"/>
      <c r="AV24" s="59"/>
      <c r="AW24" s="59"/>
      <c r="AX24" s="59"/>
      <c r="AY24" s="59"/>
      <c r="AZ24" s="59"/>
      <c r="BA24" s="59"/>
      <c r="BB24" s="59"/>
      <c r="BC24" s="59"/>
      <c r="BD24" s="62"/>
      <c r="BE24" s="3166" t="str">
        <f>CR77</f>
        <v/>
      </c>
      <c r="BF24" s="3167"/>
      <c r="BG24" s="3167"/>
      <c r="BH24" s="3189"/>
      <c r="BI24" s="3188"/>
      <c r="BY24" s="37"/>
      <c r="CA24" s="79">
        <v>0.6</v>
      </c>
      <c r="CB24" s="39">
        <v>1</v>
      </c>
      <c r="CC24" s="40">
        <f t="shared" ref="CC24:CC27" si="4">$CA24*10</f>
        <v>6</v>
      </c>
      <c r="CD24" s="40">
        <f t="shared" ref="CD24:CD27" si="5">$CA24*20</f>
        <v>12</v>
      </c>
      <c r="CE24" s="40">
        <f t="shared" ref="CE24:CE27" si="6">$CA24*30</f>
        <v>18</v>
      </c>
      <c r="CF24" s="40">
        <f t="shared" ref="CF24:CF27" si="7">$CA24*40</f>
        <v>24</v>
      </c>
      <c r="CG24" s="80">
        <f t="shared" ref="CG24:CG27" si="8">$CA24*50</f>
        <v>30</v>
      </c>
      <c r="CK24" s="40">
        <v>7</v>
      </c>
      <c r="CM24" s="46">
        <v>4</v>
      </c>
      <c r="CN24" s="49">
        <f t="shared" si="2"/>
        <v>0</v>
      </c>
      <c r="CO24" s="51" t="str">
        <f t="shared" si="3"/>
        <v/>
      </c>
      <c r="CQ24" s="49">
        <f t="shared" si="1"/>
        <v>0</v>
      </c>
      <c r="CR24" s="51" t="str">
        <f t="shared" si="0"/>
        <v/>
      </c>
      <c r="CS24" s="38"/>
    </row>
    <row r="25" spans="1:103" ht="12.9" customHeight="1">
      <c r="A25" s="3056"/>
      <c r="B25" s="3217"/>
      <c r="C25" s="3218"/>
      <c r="D25" s="3186"/>
      <c r="E25" s="3181" t="str">
        <f>CO76</f>
        <v/>
      </c>
      <c r="F25" s="3182"/>
      <c r="G25" s="58"/>
      <c r="H25" s="59"/>
      <c r="I25" s="59"/>
      <c r="J25" s="59"/>
      <c r="K25" s="59"/>
      <c r="L25" s="59"/>
      <c r="M25" s="59"/>
      <c r="N25" s="59"/>
      <c r="O25" s="59"/>
      <c r="P25" s="60"/>
      <c r="Q25" s="61"/>
      <c r="R25" s="59"/>
      <c r="S25" s="59"/>
      <c r="T25" s="59"/>
      <c r="U25" s="59"/>
      <c r="V25" s="59"/>
      <c r="W25" s="59"/>
      <c r="X25" s="59"/>
      <c r="Y25" s="59"/>
      <c r="Z25" s="60"/>
      <c r="AA25" s="61"/>
      <c r="AB25" s="59"/>
      <c r="AC25" s="59"/>
      <c r="AD25" s="59"/>
      <c r="AE25" s="59"/>
      <c r="AF25" s="59"/>
      <c r="AG25" s="59"/>
      <c r="AH25" s="59"/>
      <c r="AI25" s="59"/>
      <c r="AJ25" s="60"/>
      <c r="AK25" s="61"/>
      <c r="AL25" s="59"/>
      <c r="AM25" s="59"/>
      <c r="AN25" s="59"/>
      <c r="AO25" s="59"/>
      <c r="AP25" s="59"/>
      <c r="AQ25" s="59"/>
      <c r="AR25" s="59"/>
      <c r="AS25" s="59"/>
      <c r="AT25" s="60"/>
      <c r="AU25" s="61"/>
      <c r="AV25" s="59"/>
      <c r="AW25" s="59"/>
      <c r="AX25" s="59"/>
      <c r="AY25" s="59"/>
      <c r="AZ25" s="59"/>
      <c r="BA25" s="59"/>
      <c r="BB25" s="59"/>
      <c r="BC25" s="59"/>
      <c r="BD25" s="62"/>
      <c r="BE25" s="3166" t="str">
        <f>CR76</f>
        <v/>
      </c>
      <c r="BF25" s="3167"/>
      <c r="BG25" s="3167"/>
      <c r="BH25" s="3189"/>
      <c r="BI25" s="3188"/>
      <c r="BY25" s="37"/>
      <c r="CA25" s="79">
        <v>0.7</v>
      </c>
      <c r="CB25" s="39">
        <v>2</v>
      </c>
      <c r="CC25" s="40">
        <f t="shared" si="4"/>
        <v>7</v>
      </c>
      <c r="CD25" s="40">
        <f t="shared" si="5"/>
        <v>14</v>
      </c>
      <c r="CE25" s="40">
        <f t="shared" si="6"/>
        <v>21</v>
      </c>
      <c r="CF25" s="40">
        <f t="shared" si="7"/>
        <v>28</v>
      </c>
      <c r="CG25" s="80">
        <f t="shared" si="8"/>
        <v>35</v>
      </c>
      <c r="CK25" s="40">
        <v>8</v>
      </c>
      <c r="CM25" s="46">
        <v>5</v>
      </c>
      <c r="CN25" s="49">
        <f t="shared" si="2"/>
        <v>0</v>
      </c>
      <c r="CO25" s="51" t="str">
        <f t="shared" si="3"/>
        <v/>
      </c>
      <c r="CQ25" s="49">
        <f t="shared" si="1"/>
        <v>0</v>
      </c>
      <c r="CR25" s="51" t="str">
        <f t="shared" si="0"/>
        <v/>
      </c>
      <c r="CS25" s="38"/>
      <c r="CV25" s="377"/>
    </row>
    <row r="26" spans="1:103" ht="12.9" customHeight="1">
      <c r="A26" s="3056"/>
      <c r="B26" s="3217"/>
      <c r="C26" s="3218"/>
      <c r="D26" s="3186"/>
      <c r="E26" s="3181" t="str">
        <f>CO75</f>
        <v/>
      </c>
      <c r="F26" s="3182"/>
      <c r="G26" s="58"/>
      <c r="H26" s="59"/>
      <c r="I26" s="59"/>
      <c r="J26" s="59"/>
      <c r="K26" s="59"/>
      <c r="L26" s="59"/>
      <c r="M26" s="59"/>
      <c r="N26" s="59"/>
      <c r="O26" s="59"/>
      <c r="P26" s="60"/>
      <c r="Q26" s="61"/>
      <c r="R26" s="59"/>
      <c r="S26" s="59"/>
      <c r="T26" s="59"/>
      <c r="U26" s="59"/>
      <c r="V26" s="59"/>
      <c r="W26" s="59"/>
      <c r="X26" s="59"/>
      <c r="Y26" s="59"/>
      <c r="Z26" s="60"/>
      <c r="AA26" s="61"/>
      <c r="AB26" s="59"/>
      <c r="AC26" s="59"/>
      <c r="AD26" s="59"/>
      <c r="AE26" s="59"/>
      <c r="AF26" s="59"/>
      <c r="AG26" s="59"/>
      <c r="AH26" s="59"/>
      <c r="AI26" s="59"/>
      <c r="AJ26" s="60"/>
      <c r="AK26" s="61"/>
      <c r="AL26" s="59"/>
      <c r="AM26" s="59"/>
      <c r="AN26" s="59"/>
      <c r="AO26" s="59"/>
      <c r="AP26" s="59"/>
      <c r="AQ26" s="59"/>
      <c r="AR26" s="59"/>
      <c r="AS26" s="59"/>
      <c r="AT26" s="60"/>
      <c r="AU26" s="61"/>
      <c r="AV26" s="59"/>
      <c r="AW26" s="59"/>
      <c r="AX26" s="59"/>
      <c r="AY26" s="59"/>
      <c r="AZ26" s="59"/>
      <c r="BA26" s="59"/>
      <c r="BB26" s="59"/>
      <c r="BC26" s="59"/>
      <c r="BD26" s="62"/>
      <c r="BE26" s="3166" t="str">
        <f>CR75</f>
        <v/>
      </c>
      <c r="BF26" s="3167"/>
      <c r="BG26" s="3167"/>
      <c r="BH26" s="3189"/>
      <c r="BI26" s="3188"/>
      <c r="BY26" s="37"/>
      <c r="CA26" s="79">
        <v>0.8</v>
      </c>
      <c r="CB26" s="39">
        <v>3</v>
      </c>
      <c r="CC26" s="40">
        <f t="shared" si="4"/>
        <v>8</v>
      </c>
      <c r="CD26" s="40">
        <f t="shared" si="5"/>
        <v>16</v>
      </c>
      <c r="CE26" s="40">
        <f t="shared" si="6"/>
        <v>24</v>
      </c>
      <c r="CF26" s="40">
        <f t="shared" si="7"/>
        <v>32</v>
      </c>
      <c r="CG26" s="80">
        <f t="shared" si="8"/>
        <v>40</v>
      </c>
      <c r="CK26" s="40">
        <v>9</v>
      </c>
      <c r="CM26" s="46">
        <v>6</v>
      </c>
      <c r="CN26" s="49">
        <f t="shared" si="2"/>
        <v>0</v>
      </c>
      <c r="CO26" s="51" t="str">
        <f t="shared" si="3"/>
        <v/>
      </c>
      <c r="CQ26" s="49">
        <f t="shared" si="1"/>
        <v>0</v>
      </c>
      <c r="CR26" s="51" t="str">
        <f t="shared" si="0"/>
        <v/>
      </c>
      <c r="CS26" s="38"/>
      <c r="CU26" s="378" t="s">
        <v>416</v>
      </c>
      <c r="CV26" s="371" t="e">
        <f>ROUND(CH72,2)</f>
        <v>#DIV/0!</v>
      </c>
      <c r="CX26" s="378" t="s">
        <v>417</v>
      </c>
      <c r="CY26" s="371">
        <f>ROUND(CI72,2)</f>
        <v>0</v>
      </c>
    </row>
    <row r="27" spans="1:103" ht="12.9" customHeight="1">
      <c r="A27" s="3056"/>
      <c r="B27" s="3217"/>
      <c r="C27" s="3218"/>
      <c r="D27" s="3186"/>
      <c r="E27" s="3181" t="str">
        <f>CO74</f>
        <v/>
      </c>
      <c r="F27" s="3182"/>
      <c r="G27" s="58"/>
      <c r="H27" s="59"/>
      <c r="I27" s="59"/>
      <c r="J27" s="59"/>
      <c r="K27" s="59"/>
      <c r="L27" s="59"/>
      <c r="M27" s="59"/>
      <c r="N27" s="59"/>
      <c r="O27" s="59"/>
      <c r="P27" s="60"/>
      <c r="Q27" s="61"/>
      <c r="R27" s="59"/>
      <c r="S27" s="59"/>
      <c r="T27" s="59"/>
      <c r="U27" s="59"/>
      <c r="V27" s="59"/>
      <c r="W27" s="59"/>
      <c r="X27" s="59"/>
      <c r="Y27" s="59"/>
      <c r="Z27" s="60"/>
      <c r="AA27" s="61"/>
      <c r="AB27" s="59"/>
      <c r="AC27" s="59"/>
      <c r="AD27" s="59"/>
      <c r="AE27" s="59"/>
      <c r="AF27" s="59"/>
      <c r="AG27" s="59"/>
      <c r="AH27" s="59"/>
      <c r="AI27" s="59"/>
      <c r="AJ27" s="60"/>
      <c r="AK27" s="61"/>
      <c r="AL27" s="59"/>
      <c r="AM27" s="59"/>
      <c r="AN27" s="59"/>
      <c r="AO27" s="59"/>
      <c r="AP27" s="59"/>
      <c r="AQ27" s="59"/>
      <c r="AR27" s="59"/>
      <c r="AS27" s="59"/>
      <c r="AT27" s="60"/>
      <c r="AU27" s="61"/>
      <c r="AV27" s="59"/>
      <c r="AW27" s="59"/>
      <c r="AX27" s="59"/>
      <c r="AY27" s="59"/>
      <c r="AZ27" s="59"/>
      <c r="BA27" s="59"/>
      <c r="BB27" s="59"/>
      <c r="BC27" s="59"/>
      <c r="BD27" s="62"/>
      <c r="BE27" s="3166" t="str">
        <f>CR74</f>
        <v/>
      </c>
      <c r="BF27" s="3167"/>
      <c r="BG27" s="3167"/>
      <c r="BH27" s="3189"/>
      <c r="BI27" s="3188"/>
      <c r="BY27" s="37"/>
      <c r="CA27" s="79">
        <v>0.9</v>
      </c>
      <c r="CB27" s="39">
        <v>4</v>
      </c>
      <c r="CC27" s="40">
        <f t="shared" si="4"/>
        <v>9</v>
      </c>
      <c r="CD27" s="40">
        <f t="shared" si="5"/>
        <v>18</v>
      </c>
      <c r="CE27" s="40">
        <f t="shared" si="6"/>
        <v>27</v>
      </c>
      <c r="CF27" s="40">
        <f t="shared" si="7"/>
        <v>36</v>
      </c>
      <c r="CG27" s="80">
        <f t="shared" si="8"/>
        <v>45</v>
      </c>
      <c r="CK27" s="40">
        <v>10</v>
      </c>
      <c r="CM27" s="46">
        <v>7</v>
      </c>
      <c r="CN27" s="49">
        <f t="shared" si="2"/>
        <v>0</v>
      </c>
      <c r="CO27" s="51" t="str">
        <f t="shared" si="3"/>
        <v/>
      </c>
      <c r="CQ27" s="49">
        <f t="shared" si="1"/>
        <v>0</v>
      </c>
      <c r="CR27" s="51" t="str">
        <f t="shared" si="0"/>
        <v/>
      </c>
      <c r="CS27" s="38"/>
      <c r="CU27" s="378" t="s">
        <v>418</v>
      </c>
      <c r="CV27" s="49" t="e">
        <f>ROUND(CV26*1.1,2)</f>
        <v>#DIV/0!</v>
      </c>
      <c r="CX27" s="378" t="s">
        <v>419</v>
      </c>
      <c r="CY27" s="49">
        <f>ROUND(CY26*1.1,2)</f>
        <v>0</v>
      </c>
    </row>
    <row r="28" spans="1:103" ht="12.9" customHeight="1">
      <c r="A28" s="3056"/>
      <c r="B28" s="3217"/>
      <c r="C28" s="3218"/>
      <c r="D28" s="3186"/>
      <c r="E28" s="3181" t="str">
        <f>CO73</f>
        <v/>
      </c>
      <c r="F28" s="3182"/>
      <c r="G28" s="58"/>
      <c r="H28" s="59"/>
      <c r="I28" s="59"/>
      <c r="J28" s="59"/>
      <c r="K28" s="59"/>
      <c r="L28" s="59"/>
      <c r="M28" s="59"/>
      <c r="N28" s="59"/>
      <c r="O28" s="59"/>
      <c r="P28" s="60"/>
      <c r="Q28" s="61"/>
      <c r="R28" s="59"/>
      <c r="S28" s="59"/>
      <c r="T28" s="59"/>
      <c r="U28" s="59"/>
      <c r="V28" s="59"/>
      <c r="W28" s="59"/>
      <c r="X28" s="59"/>
      <c r="Y28" s="59"/>
      <c r="Z28" s="60"/>
      <c r="AA28" s="61"/>
      <c r="AB28" s="59"/>
      <c r="AC28" s="59"/>
      <c r="AD28" s="59"/>
      <c r="AE28" s="59"/>
      <c r="AF28" s="59"/>
      <c r="AG28" s="59"/>
      <c r="AH28" s="59"/>
      <c r="AI28" s="59"/>
      <c r="AJ28" s="60"/>
      <c r="AK28" s="61"/>
      <c r="AL28" s="59"/>
      <c r="AM28" s="59"/>
      <c r="AN28" s="59"/>
      <c r="AO28" s="59"/>
      <c r="AP28" s="59"/>
      <c r="AQ28" s="59"/>
      <c r="AR28" s="59"/>
      <c r="AS28" s="59"/>
      <c r="AT28" s="60"/>
      <c r="AU28" s="61"/>
      <c r="AV28" s="59"/>
      <c r="AW28" s="59"/>
      <c r="AX28" s="59"/>
      <c r="AY28" s="59"/>
      <c r="AZ28" s="59"/>
      <c r="BA28" s="59"/>
      <c r="BB28" s="59"/>
      <c r="BC28" s="59"/>
      <c r="BD28" s="62"/>
      <c r="BE28" s="3166" t="str">
        <f>CR73</f>
        <v/>
      </c>
      <c r="BF28" s="3167"/>
      <c r="BG28" s="3167"/>
      <c r="BH28" s="3189"/>
      <c r="BI28" s="3188"/>
      <c r="BY28" s="37"/>
      <c r="CA28" s="79">
        <v>1</v>
      </c>
      <c r="CB28" s="39">
        <v>0</v>
      </c>
      <c r="CC28" s="40">
        <f t="shared" ref="CC28:CC32" si="9">$CA28*10</f>
        <v>10</v>
      </c>
      <c r="CD28" s="40">
        <f t="shared" ref="CD28:CD32" si="10">$CA28*20</f>
        <v>20</v>
      </c>
      <c r="CE28" s="40">
        <f t="shared" ref="CE28:CE32" si="11">$CA28*30</f>
        <v>30</v>
      </c>
      <c r="CF28" s="40">
        <f t="shared" ref="CF28:CF32" si="12">$CA28*40</f>
        <v>40</v>
      </c>
      <c r="CG28" s="80">
        <f t="shared" ref="CG28:CG32" si="13">$CA28*50</f>
        <v>50</v>
      </c>
      <c r="CH28" s="81"/>
      <c r="CI28" s="81"/>
      <c r="CM28" s="46">
        <v>8</v>
      </c>
      <c r="CN28" s="49">
        <f t="shared" si="2"/>
        <v>0</v>
      </c>
      <c r="CO28" s="51" t="str">
        <f t="shared" si="3"/>
        <v/>
      </c>
      <c r="CQ28" s="49">
        <f t="shared" si="1"/>
        <v>0</v>
      </c>
      <c r="CR28" s="51" t="str">
        <f t="shared" si="0"/>
        <v/>
      </c>
      <c r="CS28" s="38"/>
    </row>
    <row r="29" spans="1:103" ht="12.9" customHeight="1">
      <c r="A29" s="3056"/>
      <c r="B29" s="3217"/>
      <c r="C29" s="3218"/>
      <c r="D29" s="3186"/>
      <c r="E29" s="3181" t="str">
        <f>CO72</f>
        <v/>
      </c>
      <c r="F29" s="3182"/>
      <c r="G29" s="58"/>
      <c r="H29" s="59"/>
      <c r="I29" s="59"/>
      <c r="J29" s="59"/>
      <c r="K29" s="59"/>
      <c r="L29" s="59"/>
      <c r="M29" s="59"/>
      <c r="N29" s="59"/>
      <c r="O29" s="59"/>
      <c r="P29" s="60"/>
      <c r="Q29" s="61"/>
      <c r="R29" s="59"/>
      <c r="S29" s="59"/>
      <c r="T29" s="59"/>
      <c r="U29" s="59"/>
      <c r="V29" s="59"/>
      <c r="W29" s="59"/>
      <c r="X29" s="59"/>
      <c r="Y29" s="59"/>
      <c r="Z29" s="60"/>
      <c r="AA29" s="61"/>
      <c r="AB29" s="59"/>
      <c r="AC29" s="59"/>
      <c r="AD29" s="59"/>
      <c r="AE29" s="59"/>
      <c r="AF29" s="59"/>
      <c r="AG29" s="59"/>
      <c r="AH29" s="59"/>
      <c r="AI29" s="59"/>
      <c r="AJ29" s="60"/>
      <c r="AK29" s="61"/>
      <c r="AL29" s="59"/>
      <c r="AM29" s="59"/>
      <c r="AN29" s="59"/>
      <c r="AO29" s="59"/>
      <c r="AP29" s="59"/>
      <c r="AQ29" s="59"/>
      <c r="AR29" s="59"/>
      <c r="AS29" s="59"/>
      <c r="AT29" s="60"/>
      <c r="AU29" s="61"/>
      <c r="AV29" s="59"/>
      <c r="AW29" s="59"/>
      <c r="AX29" s="59"/>
      <c r="AY29" s="59"/>
      <c r="AZ29" s="59"/>
      <c r="BA29" s="59"/>
      <c r="BB29" s="59"/>
      <c r="BC29" s="59"/>
      <c r="BD29" s="62"/>
      <c r="BE29" s="3166" t="str">
        <f>CR72</f>
        <v/>
      </c>
      <c r="BF29" s="3167"/>
      <c r="BG29" s="3167"/>
      <c r="BH29" s="3189"/>
      <c r="BI29" s="3188"/>
      <c r="BY29" s="37"/>
      <c r="CA29" s="79">
        <v>1.5</v>
      </c>
      <c r="CB29" s="39">
        <v>0</v>
      </c>
      <c r="CC29" s="40">
        <f t="shared" si="9"/>
        <v>15</v>
      </c>
      <c r="CD29" s="40">
        <f t="shared" si="10"/>
        <v>30</v>
      </c>
      <c r="CE29" s="40">
        <f t="shared" si="11"/>
        <v>45</v>
      </c>
      <c r="CF29" s="40">
        <f t="shared" si="12"/>
        <v>60</v>
      </c>
      <c r="CG29" s="80">
        <f t="shared" si="13"/>
        <v>75</v>
      </c>
      <c r="CH29" s="81"/>
      <c r="CI29" s="81"/>
      <c r="CM29" s="46">
        <v>9</v>
      </c>
      <c r="CN29" s="49">
        <f t="shared" si="2"/>
        <v>0</v>
      </c>
      <c r="CO29" s="51" t="str">
        <f t="shared" si="3"/>
        <v/>
      </c>
      <c r="CQ29" s="49">
        <f t="shared" si="1"/>
        <v>0</v>
      </c>
      <c r="CR29" s="51" t="str">
        <f t="shared" si="0"/>
        <v/>
      </c>
      <c r="CS29" s="38"/>
      <c r="CU29" s="377" t="s">
        <v>416</v>
      </c>
    </row>
    <row r="30" spans="1:103" ht="12.9" customHeight="1">
      <c r="A30" s="3056"/>
      <c r="B30" s="3217"/>
      <c r="C30" s="3218"/>
      <c r="D30" s="3186"/>
      <c r="E30" s="3181" t="str">
        <f>CO71</f>
        <v/>
      </c>
      <c r="F30" s="3182"/>
      <c r="G30" s="58"/>
      <c r="H30" s="59"/>
      <c r="I30" s="59"/>
      <c r="J30" s="59"/>
      <c r="K30" s="59"/>
      <c r="L30" s="59"/>
      <c r="M30" s="59"/>
      <c r="N30" s="59"/>
      <c r="O30" s="59"/>
      <c r="P30" s="60"/>
      <c r="Q30" s="61"/>
      <c r="R30" s="59"/>
      <c r="S30" s="59"/>
      <c r="T30" s="59"/>
      <c r="U30" s="59"/>
      <c r="V30" s="59"/>
      <c r="W30" s="59"/>
      <c r="X30" s="59"/>
      <c r="Y30" s="59"/>
      <c r="Z30" s="60"/>
      <c r="AA30" s="61"/>
      <c r="AB30" s="59"/>
      <c r="AC30" s="59"/>
      <c r="AD30" s="59"/>
      <c r="AE30" s="59"/>
      <c r="AF30" s="59"/>
      <c r="AG30" s="59"/>
      <c r="AH30" s="59"/>
      <c r="AI30" s="59"/>
      <c r="AJ30" s="60"/>
      <c r="AK30" s="61"/>
      <c r="AL30" s="59"/>
      <c r="AM30" s="59"/>
      <c r="AN30" s="59"/>
      <c r="AO30" s="59"/>
      <c r="AP30" s="59"/>
      <c r="AQ30" s="59"/>
      <c r="AR30" s="59"/>
      <c r="AS30" s="59"/>
      <c r="AT30" s="60"/>
      <c r="AU30" s="61"/>
      <c r="AV30" s="59"/>
      <c r="AW30" s="59"/>
      <c r="AX30" s="59"/>
      <c r="AY30" s="59"/>
      <c r="AZ30" s="59"/>
      <c r="BA30" s="59"/>
      <c r="BB30" s="59"/>
      <c r="BC30" s="59"/>
      <c r="BD30" s="62"/>
      <c r="BE30" s="3166" t="str">
        <f>CR71</f>
        <v/>
      </c>
      <c r="BF30" s="3167"/>
      <c r="BG30" s="3167"/>
      <c r="BH30" s="3189"/>
      <c r="BI30" s="3188"/>
      <c r="BY30" s="37"/>
      <c r="CA30" s="79">
        <v>2</v>
      </c>
      <c r="CB30" s="39">
        <v>0</v>
      </c>
      <c r="CC30" s="40">
        <f t="shared" si="9"/>
        <v>20</v>
      </c>
      <c r="CD30" s="40">
        <f t="shared" si="10"/>
        <v>40</v>
      </c>
      <c r="CE30" s="40">
        <f t="shared" si="11"/>
        <v>60</v>
      </c>
      <c r="CF30" s="40">
        <f t="shared" si="12"/>
        <v>80</v>
      </c>
      <c r="CG30" s="80">
        <f t="shared" si="13"/>
        <v>100</v>
      </c>
      <c r="CH30" s="81"/>
      <c r="CM30" s="46">
        <v>10</v>
      </c>
      <c r="CN30" s="52">
        <f t="shared" si="2"/>
        <v>0</v>
      </c>
      <c r="CO30" s="50" t="str">
        <f t="shared" si="3"/>
        <v/>
      </c>
      <c r="CQ30" s="52">
        <f t="shared" si="1"/>
        <v>0</v>
      </c>
      <c r="CR30" s="50" t="str">
        <f t="shared" si="0"/>
        <v/>
      </c>
      <c r="CS30" s="38"/>
      <c r="CU30" s="80">
        <v>5</v>
      </c>
      <c r="CV30" s="30" t="e">
        <f>IF(CV$27&gt;CU30,0,CU30)</f>
        <v>#DIV/0!</v>
      </c>
      <c r="CX30" s="377" t="s">
        <v>417</v>
      </c>
    </row>
    <row r="31" spans="1:103" ht="12.9" customHeight="1">
      <c r="A31" s="3056"/>
      <c r="B31" s="3217"/>
      <c r="C31" s="3218"/>
      <c r="D31" s="3183" t="str">
        <f>CO70</f>
        <v/>
      </c>
      <c r="E31" s="3183"/>
      <c r="F31" s="3184"/>
      <c r="G31" s="65"/>
      <c r="H31" s="66"/>
      <c r="I31" s="66"/>
      <c r="J31" s="66"/>
      <c r="K31" s="66"/>
      <c r="L31" s="66"/>
      <c r="M31" s="66"/>
      <c r="N31" s="66"/>
      <c r="O31" s="66"/>
      <c r="P31" s="67"/>
      <c r="Q31" s="68"/>
      <c r="R31" s="66"/>
      <c r="S31" s="66"/>
      <c r="T31" s="66"/>
      <c r="U31" s="66"/>
      <c r="V31" s="66"/>
      <c r="W31" s="66"/>
      <c r="X31" s="66"/>
      <c r="Y31" s="66"/>
      <c r="Z31" s="67"/>
      <c r="AA31" s="68"/>
      <c r="AB31" s="66"/>
      <c r="AC31" s="66"/>
      <c r="AD31" s="66"/>
      <c r="AE31" s="66"/>
      <c r="AF31" s="66"/>
      <c r="AG31" s="66"/>
      <c r="AH31" s="66"/>
      <c r="AI31" s="66"/>
      <c r="AJ31" s="67"/>
      <c r="AK31" s="68"/>
      <c r="AL31" s="66"/>
      <c r="AM31" s="66"/>
      <c r="AN31" s="66"/>
      <c r="AO31" s="66"/>
      <c r="AP31" s="66"/>
      <c r="AQ31" s="66"/>
      <c r="AR31" s="66"/>
      <c r="AS31" s="66"/>
      <c r="AT31" s="67"/>
      <c r="AU31" s="68"/>
      <c r="AV31" s="66"/>
      <c r="AW31" s="66"/>
      <c r="AX31" s="66"/>
      <c r="AY31" s="66"/>
      <c r="AZ31" s="66"/>
      <c r="BA31" s="66"/>
      <c r="BB31" s="66"/>
      <c r="BC31" s="66"/>
      <c r="BD31" s="69"/>
      <c r="BE31" s="3174" t="str">
        <f>CR70</f>
        <v/>
      </c>
      <c r="BF31" s="3175"/>
      <c r="BG31" s="3175"/>
      <c r="BH31" s="3189"/>
      <c r="BI31" s="3188"/>
      <c r="BY31" s="37"/>
      <c r="CA31" s="79">
        <v>2.5</v>
      </c>
      <c r="CB31" s="39">
        <v>0</v>
      </c>
      <c r="CC31" s="40">
        <f t="shared" si="9"/>
        <v>25</v>
      </c>
      <c r="CD31" s="40">
        <f t="shared" si="10"/>
        <v>50</v>
      </c>
      <c r="CE31" s="40">
        <f t="shared" si="11"/>
        <v>75</v>
      </c>
      <c r="CF31" s="40">
        <f t="shared" si="12"/>
        <v>100</v>
      </c>
      <c r="CG31" s="80">
        <f t="shared" si="13"/>
        <v>125</v>
      </c>
      <c r="CH31" s="81"/>
      <c r="CM31" s="46">
        <v>11</v>
      </c>
      <c r="CN31" s="49">
        <f t="shared" si="2"/>
        <v>0</v>
      </c>
      <c r="CO31" s="51" t="str">
        <f t="shared" si="3"/>
        <v/>
      </c>
      <c r="CQ31" s="49">
        <f t="shared" si="1"/>
        <v>0</v>
      </c>
      <c r="CR31" s="51" t="str">
        <f t="shared" si="0"/>
        <v/>
      </c>
      <c r="CS31" s="38"/>
      <c r="CT31" s="392"/>
      <c r="CU31" s="80">
        <v>10</v>
      </c>
      <c r="CV31" s="30" t="e">
        <f>IF(CV$27&gt;CU31,0,IF(CV30&gt;0,0,CU31))</f>
        <v>#DIV/0!</v>
      </c>
      <c r="CX31" s="376">
        <v>7</v>
      </c>
      <c r="CY31" s="30">
        <f>IF(CY$27&gt;CX31,0,CX31)</f>
        <v>7</v>
      </c>
    </row>
    <row r="32" spans="1:103" ht="12.9" customHeight="1">
      <c r="A32" s="3056"/>
      <c r="B32" s="3217"/>
      <c r="C32" s="3218"/>
      <c r="D32" s="3185"/>
      <c r="E32" s="3181" t="str">
        <f>CO69</f>
        <v/>
      </c>
      <c r="F32" s="3182"/>
      <c r="G32" s="71"/>
      <c r="H32" s="72"/>
      <c r="I32" s="72"/>
      <c r="J32" s="72"/>
      <c r="K32" s="72"/>
      <c r="L32" s="72"/>
      <c r="M32" s="72"/>
      <c r="N32" s="72"/>
      <c r="O32" s="72"/>
      <c r="P32" s="73"/>
      <c r="Q32" s="74"/>
      <c r="R32" s="72"/>
      <c r="S32" s="72"/>
      <c r="T32" s="72"/>
      <c r="U32" s="72"/>
      <c r="V32" s="72"/>
      <c r="W32" s="72"/>
      <c r="X32" s="72"/>
      <c r="Y32" s="72"/>
      <c r="Z32" s="73"/>
      <c r="AA32" s="74"/>
      <c r="AB32" s="72"/>
      <c r="AC32" s="72"/>
      <c r="AD32" s="72"/>
      <c r="AE32" s="72"/>
      <c r="AF32" s="72"/>
      <c r="AG32" s="72"/>
      <c r="AH32" s="72"/>
      <c r="AI32" s="72"/>
      <c r="AJ32" s="73"/>
      <c r="AK32" s="74"/>
      <c r="AL32" s="72"/>
      <c r="AM32" s="72"/>
      <c r="AN32" s="72"/>
      <c r="AO32" s="72"/>
      <c r="AP32" s="72"/>
      <c r="AQ32" s="72"/>
      <c r="AR32" s="72"/>
      <c r="AS32" s="72"/>
      <c r="AT32" s="73"/>
      <c r="AU32" s="74"/>
      <c r="AV32" s="72"/>
      <c r="AW32" s="72"/>
      <c r="AX32" s="72"/>
      <c r="AY32" s="72"/>
      <c r="AZ32" s="72"/>
      <c r="BA32" s="72"/>
      <c r="BB32" s="72"/>
      <c r="BC32" s="72"/>
      <c r="BD32" s="75"/>
      <c r="BE32" s="3166" t="str">
        <f>CR69</f>
        <v/>
      </c>
      <c r="BF32" s="3167"/>
      <c r="BG32" s="3167"/>
      <c r="BH32" s="3189"/>
      <c r="BI32" s="3188"/>
      <c r="BY32" s="37"/>
      <c r="CA32" s="79">
        <v>3</v>
      </c>
      <c r="CB32" s="39">
        <v>0</v>
      </c>
      <c r="CC32" s="40">
        <f t="shared" si="9"/>
        <v>30</v>
      </c>
      <c r="CD32" s="40">
        <f t="shared" si="10"/>
        <v>60</v>
      </c>
      <c r="CE32" s="40">
        <f t="shared" si="11"/>
        <v>90</v>
      </c>
      <c r="CF32" s="40">
        <f t="shared" si="12"/>
        <v>120</v>
      </c>
      <c r="CG32" s="80">
        <f t="shared" si="13"/>
        <v>150</v>
      </c>
      <c r="CH32" s="81"/>
      <c r="CM32" s="46">
        <v>12</v>
      </c>
      <c r="CN32" s="49">
        <f t="shared" si="2"/>
        <v>0</v>
      </c>
      <c r="CO32" s="51" t="str">
        <f t="shared" si="3"/>
        <v/>
      </c>
      <c r="CQ32" s="49">
        <f t="shared" si="1"/>
        <v>0</v>
      </c>
      <c r="CR32" s="51" t="str">
        <f t="shared" si="0"/>
        <v/>
      </c>
      <c r="CS32" s="38"/>
      <c r="CT32" s="392"/>
      <c r="CU32" s="80">
        <v>15</v>
      </c>
      <c r="CV32" s="30" t="e">
        <f>IF(CV$27&gt;CU32,0,IF(SUM(CV30:CV31)&gt;0,0,CU32))</f>
        <v>#DIV/0!</v>
      </c>
      <c r="CX32" s="86">
        <v>14</v>
      </c>
      <c r="CY32" s="30">
        <f>IF(CY$27&gt;CX32,0,IF(CY31&gt;0,0,CX32))</f>
        <v>0</v>
      </c>
    </row>
    <row r="33" spans="1:103" ht="12.9" customHeight="1">
      <c r="A33" s="3056"/>
      <c r="B33" s="3217"/>
      <c r="C33" s="3218"/>
      <c r="D33" s="3186"/>
      <c r="E33" s="3181" t="str">
        <f>CO68</f>
        <v/>
      </c>
      <c r="F33" s="3182"/>
      <c r="G33" s="58"/>
      <c r="H33" s="59"/>
      <c r="I33" s="59"/>
      <c r="J33" s="59"/>
      <c r="K33" s="59"/>
      <c r="L33" s="59"/>
      <c r="M33" s="59"/>
      <c r="N33" s="59"/>
      <c r="O33" s="59"/>
      <c r="P33" s="60"/>
      <c r="Q33" s="61"/>
      <c r="R33" s="59"/>
      <c r="S33" s="59"/>
      <c r="T33" s="59"/>
      <c r="U33" s="59"/>
      <c r="V33" s="59"/>
      <c r="W33" s="59"/>
      <c r="X33" s="59"/>
      <c r="Y33" s="59"/>
      <c r="Z33" s="60"/>
      <c r="AA33" s="61"/>
      <c r="AB33" s="59"/>
      <c r="AC33" s="59"/>
      <c r="AD33" s="59"/>
      <c r="AE33" s="59"/>
      <c r="AF33" s="59"/>
      <c r="AG33" s="59"/>
      <c r="AH33" s="59"/>
      <c r="AI33" s="59"/>
      <c r="AJ33" s="60"/>
      <c r="AK33" s="61"/>
      <c r="AL33" s="59"/>
      <c r="AM33" s="59"/>
      <c r="AN33" s="59"/>
      <c r="AO33" s="59"/>
      <c r="AP33" s="59"/>
      <c r="AQ33" s="59"/>
      <c r="AR33" s="59"/>
      <c r="AS33" s="59"/>
      <c r="AT33" s="60"/>
      <c r="AU33" s="61"/>
      <c r="AV33" s="59"/>
      <c r="AW33" s="59"/>
      <c r="AX33" s="59"/>
      <c r="AY33" s="59"/>
      <c r="AZ33" s="59"/>
      <c r="BA33" s="59"/>
      <c r="BB33" s="59"/>
      <c r="BC33" s="59"/>
      <c r="BD33" s="62"/>
      <c r="BE33" s="3166" t="str">
        <f>CR68</f>
        <v/>
      </c>
      <c r="BF33" s="3167"/>
      <c r="BG33" s="3167"/>
      <c r="BH33" s="3189"/>
      <c r="BI33" s="3188"/>
      <c r="BY33" s="37"/>
      <c r="CA33" s="79">
        <v>4</v>
      </c>
      <c r="CB33" s="39">
        <v>0</v>
      </c>
      <c r="CC33" s="40">
        <f>$CA33*10</f>
        <v>40</v>
      </c>
      <c r="CD33" s="40">
        <f>$CA33*20</f>
        <v>80</v>
      </c>
      <c r="CE33" s="40">
        <f>$CA33*30</f>
        <v>120</v>
      </c>
      <c r="CF33" s="40">
        <f>$CA33*40</f>
        <v>160</v>
      </c>
      <c r="CG33" s="80">
        <f>$CA33*50</f>
        <v>200</v>
      </c>
      <c r="CH33" s="81"/>
      <c r="CM33" s="46">
        <v>13</v>
      </c>
      <c r="CN33" s="49">
        <f t="shared" si="2"/>
        <v>0</v>
      </c>
      <c r="CO33" s="51" t="str">
        <f t="shared" si="3"/>
        <v/>
      </c>
      <c r="CQ33" s="49">
        <f t="shared" si="1"/>
        <v>0</v>
      </c>
      <c r="CR33" s="51" t="str">
        <f t="shared" si="0"/>
        <v/>
      </c>
      <c r="CS33" s="38"/>
      <c r="CU33" s="80">
        <v>20</v>
      </c>
      <c r="CV33" s="30" t="e">
        <f>IF(CV$27&gt;CU33,0,IF(SUM(CV30:CV32)&gt;0,0,CU33))</f>
        <v>#DIV/0!</v>
      </c>
      <c r="CX33" s="86">
        <v>21</v>
      </c>
      <c r="CY33" s="30">
        <f>IF(CY$27&gt;CX33,0,IF(SUM(CY31:CY32)&gt;0,0,CX33))</f>
        <v>0</v>
      </c>
    </row>
    <row r="34" spans="1:103" ht="12.9" customHeight="1">
      <c r="A34" s="3056"/>
      <c r="B34" s="3217"/>
      <c r="C34" s="3218"/>
      <c r="D34" s="3186"/>
      <c r="E34" s="3181" t="str">
        <f>CO67</f>
        <v/>
      </c>
      <c r="F34" s="3182"/>
      <c r="G34" s="58"/>
      <c r="H34" s="59"/>
      <c r="I34" s="59"/>
      <c r="J34" s="59"/>
      <c r="K34" s="59"/>
      <c r="L34" s="59"/>
      <c r="M34" s="59"/>
      <c r="N34" s="59"/>
      <c r="O34" s="59"/>
      <c r="P34" s="60"/>
      <c r="Q34" s="61"/>
      <c r="R34" s="59"/>
      <c r="S34" s="59"/>
      <c r="T34" s="59"/>
      <c r="U34" s="59"/>
      <c r="V34" s="59"/>
      <c r="W34" s="59"/>
      <c r="X34" s="59"/>
      <c r="Y34" s="59"/>
      <c r="Z34" s="60"/>
      <c r="AA34" s="61"/>
      <c r="AB34" s="59"/>
      <c r="AC34" s="59"/>
      <c r="AD34" s="59"/>
      <c r="AE34" s="59"/>
      <c r="AF34" s="59"/>
      <c r="AG34" s="59"/>
      <c r="AH34" s="59"/>
      <c r="AI34" s="59"/>
      <c r="AJ34" s="60"/>
      <c r="AK34" s="61"/>
      <c r="AL34" s="59"/>
      <c r="AM34" s="59"/>
      <c r="AN34" s="59"/>
      <c r="AO34" s="59"/>
      <c r="AP34" s="59"/>
      <c r="AQ34" s="59"/>
      <c r="AR34" s="59"/>
      <c r="AS34" s="59"/>
      <c r="AT34" s="60"/>
      <c r="AU34" s="61"/>
      <c r="AV34" s="59"/>
      <c r="AW34" s="59"/>
      <c r="AX34" s="59"/>
      <c r="AY34" s="59"/>
      <c r="AZ34" s="59"/>
      <c r="BA34" s="59"/>
      <c r="BB34" s="59"/>
      <c r="BC34" s="59"/>
      <c r="BD34" s="62"/>
      <c r="BE34" s="3166" t="str">
        <f>CR67</f>
        <v/>
      </c>
      <c r="BF34" s="3167"/>
      <c r="BG34" s="3167"/>
      <c r="BH34" s="3189"/>
      <c r="BI34" s="3188"/>
      <c r="BY34" s="37"/>
      <c r="CA34" s="79">
        <v>5</v>
      </c>
      <c r="CB34" s="39">
        <v>0</v>
      </c>
      <c r="CC34" s="40">
        <f>$CA34*10</f>
        <v>50</v>
      </c>
      <c r="CD34" s="40">
        <f>$CA34*20</f>
        <v>100</v>
      </c>
      <c r="CE34" s="40">
        <f>$CA34*30</f>
        <v>150</v>
      </c>
      <c r="CF34" s="40">
        <f>$CA34*40</f>
        <v>200</v>
      </c>
      <c r="CG34" s="80">
        <f>$CA34*50</f>
        <v>250</v>
      </c>
      <c r="CH34" s="81"/>
      <c r="CM34" s="46">
        <v>14</v>
      </c>
      <c r="CN34" s="49">
        <f t="shared" si="2"/>
        <v>0</v>
      </c>
      <c r="CO34" s="51" t="str">
        <f t="shared" si="3"/>
        <v/>
      </c>
      <c r="CQ34" s="49">
        <f t="shared" si="1"/>
        <v>0</v>
      </c>
      <c r="CR34" s="51" t="str">
        <f t="shared" si="0"/>
        <v/>
      </c>
      <c r="CS34" s="38"/>
      <c r="CU34" s="80">
        <v>25</v>
      </c>
      <c r="CV34" s="30" t="e">
        <f>IF(CV$27&gt;CU34,0,IF(SUM(CV30:CV33)&gt;0,0,CU34))</f>
        <v>#DIV/0!</v>
      </c>
      <c r="CX34" s="86">
        <v>28</v>
      </c>
      <c r="CY34" s="30">
        <f>IF(CY$27&gt;CX34,0,IF(SUM(CY31:CY33)&gt;0,0,CX34))</f>
        <v>0</v>
      </c>
    </row>
    <row r="35" spans="1:103" ht="12.9" customHeight="1">
      <c r="A35" s="3056"/>
      <c r="B35" s="3217"/>
      <c r="C35" s="3218"/>
      <c r="D35" s="3186"/>
      <c r="E35" s="3181" t="str">
        <f>CO66</f>
        <v/>
      </c>
      <c r="F35" s="3182"/>
      <c r="G35" s="58"/>
      <c r="H35" s="59"/>
      <c r="I35" s="59"/>
      <c r="J35" s="59"/>
      <c r="K35" s="59"/>
      <c r="L35" s="59"/>
      <c r="M35" s="59"/>
      <c r="N35" s="59"/>
      <c r="O35" s="59"/>
      <c r="P35" s="60"/>
      <c r="Q35" s="61"/>
      <c r="R35" s="59"/>
      <c r="S35" s="59"/>
      <c r="T35" s="59"/>
      <c r="U35" s="59"/>
      <c r="V35" s="59"/>
      <c r="W35" s="59"/>
      <c r="X35" s="59"/>
      <c r="Y35" s="59"/>
      <c r="Z35" s="60"/>
      <c r="AA35" s="61"/>
      <c r="AB35" s="59"/>
      <c r="AC35" s="59"/>
      <c r="AD35" s="59"/>
      <c r="AE35" s="59"/>
      <c r="AF35" s="59"/>
      <c r="AG35" s="59"/>
      <c r="AH35" s="59"/>
      <c r="AI35" s="59"/>
      <c r="AJ35" s="60"/>
      <c r="AK35" s="61"/>
      <c r="AL35" s="59"/>
      <c r="AM35" s="59"/>
      <c r="AN35" s="59"/>
      <c r="AO35" s="59"/>
      <c r="AP35" s="59"/>
      <c r="AQ35" s="59"/>
      <c r="AR35" s="59"/>
      <c r="AS35" s="59"/>
      <c r="AT35" s="60"/>
      <c r="AU35" s="61"/>
      <c r="AV35" s="59"/>
      <c r="AW35" s="59"/>
      <c r="AX35" s="59"/>
      <c r="AY35" s="59"/>
      <c r="AZ35" s="59"/>
      <c r="BA35" s="59"/>
      <c r="BB35" s="59"/>
      <c r="BC35" s="59"/>
      <c r="BD35" s="62"/>
      <c r="BE35" s="3166" t="str">
        <f>CR66</f>
        <v/>
      </c>
      <c r="BF35" s="3167"/>
      <c r="BG35" s="3167"/>
      <c r="BH35" s="3189"/>
      <c r="BI35" s="3188"/>
      <c r="BY35" s="37"/>
      <c r="CA35" s="79">
        <v>6</v>
      </c>
      <c r="CB35" s="39">
        <v>0</v>
      </c>
      <c r="CC35" s="40">
        <f>$CA35*10</f>
        <v>60</v>
      </c>
      <c r="CD35" s="40">
        <f>$CA35*20</f>
        <v>120</v>
      </c>
      <c r="CE35" s="40">
        <f>$CA35*30</f>
        <v>180</v>
      </c>
      <c r="CF35" s="40">
        <f>$CA35*40</f>
        <v>240</v>
      </c>
      <c r="CG35" s="80">
        <f>$CA35*50</f>
        <v>300</v>
      </c>
      <c r="CM35" s="46">
        <v>15</v>
      </c>
      <c r="CN35" s="49">
        <f t="shared" si="2"/>
        <v>0</v>
      </c>
      <c r="CO35" s="51" t="str">
        <f t="shared" si="3"/>
        <v/>
      </c>
      <c r="CQ35" s="49">
        <f t="shared" si="1"/>
        <v>0</v>
      </c>
      <c r="CR35" s="51" t="str">
        <f t="shared" si="0"/>
        <v/>
      </c>
      <c r="CS35" s="102"/>
      <c r="CU35" s="80">
        <v>30</v>
      </c>
      <c r="CV35" s="30" t="e">
        <f>IF(CV$27&gt;CU35,0,IF(SUM(CV30:CV34)&gt;0,0,CU35))</f>
        <v>#DIV/0!</v>
      </c>
      <c r="CX35" s="86">
        <v>35</v>
      </c>
      <c r="CY35" s="30">
        <f>IF(CY$27&gt;CX35,0,IF(SUM(CY31:CY34)&gt;0,0,CX35))</f>
        <v>0</v>
      </c>
    </row>
    <row r="36" spans="1:103" ht="12.9" customHeight="1">
      <c r="A36" s="3056"/>
      <c r="B36" s="3217"/>
      <c r="C36" s="3218"/>
      <c r="D36" s="3186"/>
      <c r="E36" s="3181" t="str">
        <f>CO65</f>
        <v/>
      </c>
      <c r="F36" s="3182"/>
      <c r="G36" s="58"/>
      <c r="H36" s="59"/>
      <c r="I36" s="59"/>
      <c r="J36" s="59"/>
      <c r="K36" s="59"/>
      <c r="L36" s="59"/>
      <c r="M36" s="59"/>
      <c r="N36" s="59"/>
      <c r="O36" s="59"/>
      <c r="P36" s="60"/>
      <c r="Q36" s="61"/>
      <c r="R36" s="59"/>
      <c r="S36" s="59"/>
      <c r="T36" s="59"/>
      <c r="U36" s="59"/>
      <c r="V36" s="59"/>
      <c r="W36" s="59"/>
      <c r="X36" s="59"/>
      <c r="Y36" s="59"/>
      <c r="Z36" s="60"/>
      <c r="AA36" s="61"/>
      <c r="AB36" s="59"/>
      <c r="AC36" s="59"/>
      <c r="AD36" s="59"/>
      <c r="AE36" s="59"/>
      <c r="AF36" s="59"/>
      <c r="AG36" s="59"/>
      <c r="AH36" s="59"/>
      <c r="AI36" s="59"/>
      <c r="AJ36" s="60"/>
      <c r="AK36" s="61"/>
      <c r="AL36" s="59"/>
      <c r="AM36" s="59"/>
      <c r="AN36" s="59"/>
      <c r="AO36" s="59"/>
      <c r="AP36" s="59"/>
      <c r="AQ36" s="59"/>
      <c r="AR36" s="59"/>
      <c r="AS36" s="59"/>
      <c r="AT36" s="60"/>
      <c r="AU36" s="61"/>
      <c r="AV36" s="59"/>
      <c r="AW36" s="59"/>
      <c r="AX36" s="59"/>
      <c r="AY36" s="59"/>
      <c r="AZ36" s="59"/>
      <c r="BA36" s="59"/>
      <c r="BB36" s="59"/>
      <c r="BC36" s="59"/>
      <c r="BD36" s="62"/>
      <c r="BE36" s="3166" t="str">
        <f>CR65</f>
        <v/>
      </c>
      <c r="BF36" s="3167"/>
      <c r="BG36" s="3167"/>
      <c r="BH36" s="3189"/>
      <c r="BI36" s="3188"/>
      <c r="BY36" s="37"/>
      <c r="CA36" s="79">
        <v>7</v>
      </c>
      <c r="CB36" s="39">
        <v>0</v>
      </c>
      <c r="CC36" s="40">
        <f>$CA36*10</f>
        <v>70</v>
      </c>
      <c r="CD36" s="40">
        <f>$CA36*20</f>
        <v>140</v>
      </c>
      <c r="CE36" s="40">
        <f>$CA36*30</f>
        <v>210</v>
      </c>
      <c r="CF36" s="40">
        <f>$CA36*40</f>
        <v>280</v>
      </c>
      <c r="CG36" s="80">
        <f>$CA36*50</f>
        <v>350</v>
      </c>
      <c r="CK36" s="81"/>
      <c r="CM36" s="46">
        <v>16</v>
      </c>
      <c r="CN36" s="49">
        <f t="shared" si="2"/>
        <v>0</v>
      </c>
      <c r="CO36" s="51" t="str">
        <f t="shared" si="3"/>
        <v/>
      </c>
      <c r="CQ36" s="49">
        <f t="shared" si="1"/>
        <v>0</v>
      </c>
      <c r="CR36" s="51" t="str">
        <f t="shared" si="0"/>
        <v/>
      </c>
      <c r="CS36" s="38"/>
      <c r="CU36" s="80">
        <v>35</v>
      </c>
      <c r="CV36" s="30" t="e">
        <f>IF(CV$27&gt;CU36,0,IF(SUM(CV30:CV35)&gt;0,0,CU36))</f>
        <v>#DIV/0!</v>
      </c>
      <c r="CX36" s="86">
        <v>42</v>
      </c>
      <c r="CY36" s="30">
        <f>IF(CY$27&gt;CX36,0,IF(SUM(CY31:CY35)&gt;0,0,CX36))</f>
        <v>0</v>
      </c>
    </row>
    <row r="37" spans="1:103" ht="12.9" customHeight="1" thickBot="1">
      <c r="A37" s="3056"/>
      <c r="B37" s="3217"/>
      <c r="C37" s="3218"/>
      <c r="D37" s="3186"/>
      <c r="E37" s="3181" t="str">
        <f>CO64</f>
        <v/>
      </c>
      <c r="F37" s="3182"/>
      <c r="G37" s="58"/>
      <c r="H37" s="59"/>
      <c r="I37" s="59"/>
      <c r="J37" s="59"/>
      <c r="K37" s="59"/>
      <c r="L37" s="59"/>
      <c r="M37" s="59"/>
      <c r="N37" s="59"/>
      <c r="O37" s="59"/>
      <c r="P37" s="60"/>
      <c r="Q37" s="61"/>
      <c r="R37" s="59"/>
      <c r="S37" s="59"/>
      <c r="T37" s="59"/>
      <c r="U37" s="59"/>
      <c r="V37" s="59"/>
      <c r="W37" s="59"/>
      <c r="X37" s="59"/>
      <c r="Y37" s="59"/>
      <c r="Z37" s="60"/>
      <c r="AA37" s="61"/>
      <c r="AB37" s="59"/>
      <c r="AC37" s="59"/>
      <c r="AD37" s="59"/>
      <c r="AE37" s="59"/>
      <c r="AF37" s="59"/>
      <c r="AG37" s="59"/>
      <c r="AH37" s="59"/>
      <c r="AI37" s="59"/>
      <c r="AJ37" s="60"/>
      <c r="AK37" s="61"/>
      <c r="AL37" s="59"/>
      <c r="AM37" s="59"/>
      <c r="AN37" s="59"/>
      <c r="AO37" s="59"/>
      <c r="AP37" s="59"/>
      <c r="AQ37" s="59"/>
      <c r="AR37" s="59"/>
      <c r="AS37" s="59"/>
      <c r="AT37" s="60"/>
      <c r="AU37" s="61"/>
      <c r="AV37" s="59"/>
      <c r="AW37" s="59"/>
      <c r="AX37" s="59"/>
      <c r="AY37" s="59"/>
      <c r="AZ37" s="59"/>
      <c r="BA37" s="59"/>
      <c r="BB37" s="59"/>
      <c r="BC37" s="59"/>
      <c r="BD37" s="62"/>
      <c r="BE37" s="3166" t="str">
        <f>CR64</f>
        <v/>
      </c>
      <c r="BF37" s="3167"/>
      <c r="BG37" s="3167"/>
      <c r="BH37" s="3189"/>
      <c r="BI37" s="3188"/>
      <c r="BY37" s="37"/>
      <c r="CA37" s="82">
        <v>8</v>
      </c>
      <c r="CB37" s="39">
        <v>0</v>
      </c>
      <c r="CC37" s="40">
        <f>$CA37*10</f>
        <v>80</v>
      </c>
      <c r="CD37" s="40">
        <f>$CA37*20</f>
        <v>160</v>
      </c>
      <c r="CE37" s="40">
        <f>$CA37*30</f>
        <v>240</v>
      </c>
      <c r="CF37" s="40">
        <f>$CA37*40</f>
        <v>320</v>
      </c>
      <c r="CG37" s="80">
        <f>$CA37*50</f>
        <v>400</v>
      </c>
      <c r="CH37" s="83"/>
      <c r="CJ37" s="83"/>
      <c r="CK37" s="81"/>
      <c r="CM37" s="46">
        <v>17</v>
      </c>
      <c r="CN37" s="49">
        <f t="shared" si="2"/>
        <v>0</v>
      </c>
      <c r="CO37" s="51" t="str">
        <f t="shared" si="3"/>
        <v/>
      </c>
      <c r="CQ37" s="49">
        <f t="shared" si="1"/>
        <v>0</v>
      </c>
      <c r="CR37" s="51" t="str">
        <f t="shared" si="0"/>
        <v/>
      </c>
      <c r="CS37" s="103"/>
      <c r="CU37" s="80">
        <v>40</v>
      </c>
      <c r="CV37" s="30" t="e">
        <f>IF(CV$27&gt;CU37,0,IF(SUM(CV30:CV36)&gt;0,0,CU37))</f>
        <v>#DIV/0!</v>
      </c>
      <c r="CX37" s="86">
        <v>49</v>
      </c>
      <c r="CY37" s="30">
        <f>IF(CY$27&gt;CX37,0,IF(SUM(CY31:CY36)&gt;0,0,CX37))</f>
        <v>0</v>
      </c>
    </row>
    <row r="38" spans="1:103" ht="12.9" customHeight="1">
      <c r="A38" s="3056"/>
      <c r="B38" s="3217"/>
      <c r="C38" s="3218"/>
      <c r="D38" s="3186"/>
      <c r="E38" s="3181" t="str">
        <f>CO63</f>
        <v/>
      </c>
      <c r="F38" s="3182"/>
      <c r="G38" s="58"/>
      <c r="H38" s="59"/>
      <c r="I38" s="59"/>
      <c r="J38" s="59"/>
      <c r="K38" s="59"/>
      <c r="L38" s="59"/>
      <c r="M38" s="59"/>
      <c r="N38" s="59"/>
      <c r="O38" s="59"/>
      <c r="P38" s="60"/>
      <c r="Q38" s="61"/>
      <c r="R38" s="59"/>
      <c r="S38" s="59"/>
      <c r="T38" s="59"/>
      <c r="U38" s="59"/>
      <c r="V38" s="59"/>
      <c r="W38" s="59"/>
      <c r="X38" s="59"/>
      <c r="Y38" s="59"/>
      <c r="Z38" s="60"/>
      <c r="AA38" s="61"/>
      <c r="AB38" s="59"/>
      <c r="AC38" s="59"/>
      <c r="AD38" s="59"/>
      <c r="AE38" s="59"/>
      <c r="AF38" s="59"/>
      <c r="AG38" s="59"/>
      <c r="AH38" s="59"/>
      <c r="AI38" s="59"/>
      <c r="AJ38" s="60"/>
      <c r="AK38" s="61"/>
      <c r="AL38" s="59"/>
      <c r="AM38" s="59"/>
      <c r="AN38" s="59"/>
      <c r="AO38" s="59"/>
      <c r="AP38" s="59"/>
      <c r="AQ38" s="59"/>
      <c r="AR38" s="59"/>
      <c r="AS38" s="59"/>
      <c r="AT38" s="60"/>
      <c r="AU38" s="61"/>
      <c r="AV38" s="59"/>
      <c r="AW38" s="59"/>
      <c r="AX38" s="59"/>
      <c r="AY38" s="59"/>
      <c r="AZ38" s="59"/>
      <c r="BA38" s="59"/>
      <c r="BB38" s="59"/>
      <c r="BC38" s="59"/>
      <c r="BD38" s="62"/>
      <c r="BE38" s="3166" t="str">
        <f>CR63</f>
        <v/>
      </c>
      <c r="BF38" s="3167"/>
      <c r="BG38" s="3167"/>
      <c r="BH38" s="3189"/>
      <c r="BI38" s="3188"/>
      <c r="BY38" s="37"/>
      <c r="CG38" s="40"/>
      <c r="CI38" s="84" t="s">
        <v>101</v>
      </c>
      <c r="CM38" s="46">
        <v>18</v>
      </c>
      <c r="CN38" s="49">
        <f t="shared" si="2"/>
        <v>0</v>
      </c>
      <c r="CO38" s="51" t="str">
        <f t="shared" si="3"/>
        <v/>
      </c>
      <c r="CQ38" s="49">
        <f t="shared" si="1"/>
        <v>0</v>
      </c>
      <c r="CR38" s="51" t="str">
        <f t="shared" si="0"/>
        <v/>
      </c>
      <c r="CS38" s="103"/>
      <c r="CU38" s="80">
        <v>45</v>
      </c>
      <c r="CV38" s="30" t="e">
        <f>IF(CV$27&gt;CU38,0,IF(SUM(CV30:CV37)&gt;0,0,CU38))</f>
        <v>#DIV/0!</v>
      </c>
      <c r="CX38" s="86">
        <v>56</v>
      </c>
      <c r="CY38" s="30">
        <f>IF(CY$27&gt;CX38,0,IF(SUM(CY31:CY37)&gt;0,0,CX38))</f>
        <v>0</v>
      </c>
    </row>
    <row r="39" spans="1:103" ht="12.9" customHeight="1" thickBot="1">
      <c r="A39" s="3056"/>
      <c r="B39" s="3217"/>
      <c r="C39" s="3218"/>
      <c r="D39" s="3186"/>
      <c r="E39" s="3181" t="str">
        <f>CO62</f>
        <v/>
      </c>
      <c r="F39" s="3182"/>
      <c r="G39" s="58"/>
      <c r="H39" s="59"/>
      <c r="I39" s="59"/>
      <c r="J39" s="59"/>
      <c r="K39" s="59"/>
      <c r="L39" s="59"/>
      <c r="M39" s="59"/>
      <c r="N39" s="59"/>
      <c r="O39" s="59"/>
      <c r="P39" s="60"/>
      <c r="Q39" s="61"/>
      <c r="R39" s="59"/>
      <c r="S39" s="59"/>
      <c r="T39" s="59"/>
      <c r="U39" s="59"/>
      <c r="V39" s="59"/>
      <c r="W39" s="59"/>
      <c r="X39" s="59"/>
      <c r="Y39" s="59"/>
      <c r="Z39" s="60"/>
      <c r="AA39" s="61"/>
      <c r="AB39" s="59"/>
      <c r="AC39" s="59"/>
      <c r="AD39" s="59"/>
      <c r="AE39" s="59"/>
      <c r="AF39" s="59"/>
      <c r="AG39" s="59"/>
      <c r="AH39" s="59"/>
      <c r="AI39" s="59"/>
      <c r="AJ39" s="60"/>
      <c r="AK39" s="61"/>
      <c r="AL39" s="59"/>
      <c r="AM39" s="59"/>
      <c r="AN39" s="59"/>
      <c r="AO39" s="59"/>
      <c r="AP39" s="59"/>
      <c r="AQ39" s="59"/>
      <c r="AR39" s="59"/>
      <c r="AS39" s="59"/>
      <c r="AT39" s="60"/>
      <c r="AU39" s="61"/>
      <c r="AV39" s="59"/>
      <c r="AW39" s="59"/>
      <c r="AX39" s="59"/>
      <c r="AY39" s="59"/>
      <c r="AZ39" s="59"/>
      <c r="BA39" s="59"/>
      <c r="BB39" s="59"/>
      <c r="BC39" s="59"/>
      <c r="BD39" s="62"/>
      <c r="BE39" s="3166" t="str">
        <f>CR62</f>
        <v/>
      </c>
      <c r="BF39" s="3167"/>
      <c r="BG39" s="3167"/>
      <c r="BH39" s="3189"/>
      <c r="BI39" s="3188"/>
      <c r="BY39" s="37"/>
      <c r="CI39" s="85" t="s">
        <v>86</v>
      </c>
      <c r="CM39" s="46">
        <v>19</v>
      </c>
      <c r="CN39" s="49">
        <f t="shared" si="2"/>
        <v>0</v>
      </c>
      <c r="CO39" s="51" t="str">
        <f t="shared" si="3"/>
        <v/>
      </c>
      <c r="CQ39" s="49">
        <f t="shared" si="1"/>
        <v>0</v>
      </c>
      <c r="CR39" s="51" t="str">
        <f t="shared" si="0"/>
        <v/>
      </c>
      <c r="CS39" s="103"/>
      <c r="CU39" s="80">
        <v>50</v>
      </c>
      <c r="CV39" s="30" t="e">
        <f>IF(CV$27&gt;CU39,0,IF(SUM(CV30:CV38)&gt;0,0,CU39))</f>
        <v>#DIV/0!</v>
      </c>
      <c r="CX39" s="86">
        <v>63</v>
      </c>
      <c r="CY39" s="30">
        <f>IF(CY$27&gt;CX39,0,IF(SUM(CY31:CY38)&gt;0,0,CX39))</f>
        <v>0</v>
      </c>
    </row>
    <row r="40" spans="1:103" ht="12.9" customHeight="1">
      <c r="A40" s="3056"/>
      <c r="B40" s="3217"/>
      <c r="C40" s="3218"/>
      <c r="D40" s="3186"/>
      <c r="E40" s="3181" t="str">
        <f>CO61</f>
        <v/>
      </c>
      <c r="F40" s="3182"/>
      <c r="G40" s="58"/>
      <c r="H40" s="59"/>
      <c r="I40" s="59"/>
      <c r="J40" s="59"/>
      <c r="K40" s="59"/>
      <c r="L40" s="59"/>
      <c r="M40" s="59"/>
      <c r="N40" s="59"/>
      <c r="O40" s="59"/>
      <c r="P40" s="60"/>
      <c r="Q40" s="61"/>
      <c r="R40" s="59"/>
      <c r="S40" s="59"/>
      <c r="T40" s="59"/>
      <c r="U40" s="59"/>
      <c r="V40" s="59"/>
      <c r="W40" s="59"/>
      <c r="X40" s="59"/>
      <c r="Y40" s="59"/>
      <c r="Z40" s="60"/>
      <c r="AA40" s="61"/>
      <c r="AB40" s="59"/>
      <c r="AC40" s="59"/>
      <c r="AD40" s="59"/>
      <c r="AE40" s="59"/>
      <c r="AF40" s="59"/>
      <c r="AG40" s="59"/>
      <c r="AH40" s="59"/>
      <c r="AI40" s="59"/>
      <c r="AJ40" s="60"/>
      <c r="AK40" s="61"/>
      <c r="AL40" s="59"/>
      <c r="AM40" s="59"/>
      <c r="AN40" s="59"/>
      <c r="AO40" s="59"/>
      <c r="AP40" s="59"/>
      <c r="AQ40" s="59"/>
      <c r="AR40" s="59"/>
      <c r="AS40" s="59"/>
      <c r="AT40" s="60"/>
      <c r="AU40" s="61"/>
      <c r="AV40" s="59"/>
      <c r="AW40" s="59"/>
      <c r="AX40" s="59"/>
      <c r="AY40" s="59"/>
      <c r="AZ40" s="59"/>
      <c r="BA40" s="59"/>
      <c r="BB40" s="59"/>
      <c r="BC40" s="59"/>
      <c r="BD40" s="62"/>
      <c r="BE40" s="3166" t="str">
        <f>CR61</f>
        <v/>
      </c>
      <c r="BF40" s="3167"/>
      <c r="BG40" s="3167"/>
      <c r="BH40" s="3189"/>
      <c r="BI40" s="3188"/>
      <c r="BY40" s="37"/>
      <c r="CA40" s="76" t="s">
        <v>89</v>
      </c>
      <c r="CB40" s="77">
        <v>0</v>
      </c>
      <c r="CC40" s="78">
        <v>10</v>
      </c>
      <c r="CD40" s="78">
        <v>20</v>
      </c>
      <c r="CE40" s="78">
        <v>30</v>
      </c>
      <c r="CF40" s="78">
        <v>40</v>
      </c>
      <c r="CG40" s="78">
        <v>50</v>
      </c>
      <c r="CH40" s="78">
        <v>60</v>
      </c>
      <c r="CI40" s="78">
        <v>70</v>
      </c>
      <c r="CM40" s="46">
        <v>20</v>
      </c>
      <c r="CN40" s="52">
        <f t="shared" si="2"/>
        <v>0</v>
      </c>
      <c r="CO40" s="50" t="str">
        <f t="shared" si="3"/>
        <v/>
      </c>
      <c r="CQ40" s="52">
        <f t="shared" si="1"/>
        <v>0</v>
      </c>
      <c r="CR40" s="50" t="str">
        <f t="shared" si="0"/>
        <v/>
      </c>
      <c r="CS40" s="103"/>
      <c r="CU40" s="80">
        <v>75</v>
      </c>
      <c r="CV40" s="30" t="e">
        <f>IF(CV$27&gt;CU40,0,IF(SUM(CV30:CV39)&gt;0,0,CU40))</f>
        <v>#DIV/0!</v>
      </c>
      <c r="CX40" s="86">
        <v>70</v>
      </c>
      <c r="CY40" s="30">
        <f>IF(CY$27&gt;CX40,0,IF(SUM(CY31:CY39)&gt;0,0,CX40))</f>
        <v>0</v>
      </c>
    </row>
    <row r="41" spans="1:103" ht="12.9" customHeight="1">
      <c r="A41" s="3056"/>
      <c r="B41" s="3217"/>
      <c r="C41" s="3218"/>
      <c r="D41" s="3183" t="str">
        <f>CO60</f>
        <v/>
      </c>
      <c r="E41" s="3183"/>
      <c r="F41" s="3184"/>
      <c r="G41" s="65"/>
      <c r="H41" s="66"/>
      <c r="I41" s="66"/>
      <c r="J41" s="66"/>
      <c r="K41" s="66"/>
      <c r="L41" s="66"/>
      <c r="M41" s="66"/>
      <c r="N41" s="66"/>
      <c r="O41" s="66"/>
      <c r="P41" s="67"/>
      <c r="Q41" s="68"/>
      <c r="R41" s="66"/>
      <c r="S41" s="66"/>
      <c r="T41" s="66"/>
      <c r="U41" s="66"/>
      <c r="V41" s="66"/>
      <c r="W41" s="66"/>
      <c r="X41" s="66"/>
      <c r="Y41" s="66"/>
      <c r="Z41" s="67"/>
      <c r="AA41" s="68"/>
      <c r="AB41" s="66"/>
      <c r="AC41" s="66"/>
      <c r="AD41" s="66"/>
      <c r="AE41" s="66"/>
      <c r="AF41" s="66"/>
      <c r="AG41" s="66"/>
      <c r="AH41" s="66"/>
      <c r="AI41" s="66"/>
      <c r="AJ41" s="67"/>
      <c r="AK41" s="68"/>
      <c r="AL41" s="66"/>
      <c r="AM41" s="66"/>
      <c r="AN41" s="66"/>
      <c r="AO41" s="66"/>
      <c r="AP41" s="66"/>
      <c r="AQ41" s="66"/>
      <c r="AR41" s="66"/>
      <c r="AS41" s="66"/>
      <c r="AT41" s="67"/>
      <c r="AU41" s="68"/>
      <c r="AV41" s="66"/>
      <c r="AW41" s="66"/>
      <c r="AX41" s="66"/>
      <c r="AY41" s="66"/>
      <c r="AZ41" s="66"/>
      <c r="BA41" s="66"/>
      <c r="BB41" s="66"/>
      <c r="BC41" s="66"/>
      <c r="BD41" s="69"/>
      <c r="BE41" s="3174" t="str">
        <f>CR60</f>
        <v/>
      </c>
      <c r="BF41" s="3175"/>
      <c r="BG41" s="3175"/>
      <c r="BH41" s="3189"/>
      <c r="BI41" s="3188"/>
      <c r="BY41" s="37"/>
      <c r="CA41" s="79">
        <v>0.1</v>
      </c>
      <c r="CB41" s="39">
        <v>0</v>
      </c>
      <c r="CC41" s="40">
        <f t="shared" ref="CC41:CC44" si="14">$CA41*10</f>
        <v>1</v>
      </c>
      <c r="CD41" s="40">
        <f t="shared" ref="CD41:CD44" si="15">$CA41*20</f>
        <v>2</v>
      </c>
      <c r="CE41" s="40">
        <f t="shared" ref="CE41:CE44" si="16">$CA41*30</f>
        <v>3</v>
      </c>
      <c r="CF41" s="40">
        <f t="shared" ref="CF41:CF44" si="17">$CA41*40</f>
        <v>4</v>
      </c>
      <c r="CG41" s="40">
        <f t="shared" ref="CG41:CG44" si="18">$CA41*50</f>
        <v>5</v>
      </c>
      <c r="CH41" s="40">
        <f t="shared" ref="CH41:CH44" si="19">$CA41*60</f>
        <v>6</v>
      </c>
      <c r="CI41" s="375">
        <f t="shared" ref="CI41:CI44" si="20">$CA41*70</f>
        <v>7</v>
      </c>
      <c r="CM41" s="46">
        <v>21</v>
      </c>
      <c r="CN41" s="49">
        <f t="shared" si="2"/>
        <v>0</v>
      </c>
      <c r="CO41" s="51" t="str">
        <f t="shared" si="3"/>
        <v/>
      </c>
      <c r="CQ41" s="49">
        <f t="shared" si="1"/>
        <v>0</v>
      </c>
      <c r="CR41" s="51" t="str">
        <f t="shared" si="0"/>
        <v/>
      </c>
      <c r="CS41" s="103"/>
      <c r="CU41" s="80">
        <v>100</v>
      </c>
      <c r="CV41" s="30" t="e">
        <f>IF(CV$27&gt;CU41,0,IF(SUM(CV30:CV40)&gt;0,0,CU41))</f>
        <v>#DIV/0!</v>
      </c>
      <c r="CX41" s="86">
        <v>105</v>
      </c>
      <c r="CY41" s="30">
        <f>IF(CY$27&gt;CX41,0,IF(SUM(CY31:CY40)&gt;0,0,CX41))</f>
        <v>0</v>
      </c>
    </row>
    <row r="42" spans="1:103" ht="12.9" customHeight="1">
      <c r="A42" s="3056"/>
      <c r="B42" s="3217"/>
      <c r="C42" s="3218"/>
      <c r="D42" s="3185"/>
      <c r="E42" s="3181" t="str">
        <f>CO59</f>
        <v/>
      </c>
      <c r="F42" s="3182"/>
      <c r="G42" s="71"/>
      <c r="H42" s="72"/>
      <c r="I42" s="72"/>
      <c r="J42" s="72"/>
      <c r="K42" s="72"/>
      <c r="L42" s="72"/>
      <c r="M42" s="72"/>
      <c r="N42" s="72"/>
      <c r="O42" s="72"/>
      <c r="P42" s="73"/>
      <c r="Q42" s="74"/>
      <c r="R42" s="72"/>
      <c r="S42" s="72"/>
      <c r="T42" s="72"/>
      <c r="U42" s="72"/>
      <c r="V42" s="72"/>
      <c r="W42" s="72"/>
      <c r="X42" s="72"/>
      <c r="Y42" s="72"/>
      <c r="Z42" s="73"/>
      <c r="AA42" s="74"/>
      <c r="AB42" s="72"/>
      <c r="AC42" s="72"/>
      <c r="AD42" s="72"/>
      <c r="AE42" s="72"/>
      <c r="AF42" s="72"/>
      <c r="AG42" s="72"/>
      <c r="AH42" s="72"/>
      <c r="AI42" s="72"/>
      <c r="AJ42" s="73"/>
      <c r="AK42" s="74"/>
      <c r="AL42" s="72"/>
      <c r="AM42" s="72"/>
      <c r="AN42" s="72"/>
      <c r="AO42" s="72"/>
      <c r="AP42" s="72"/>
      <c r="AQ42" s="72"/>
      <c r="AR42" s="72"/>
      <c r="AS42" s="72"/>
      <c r="AT42" s="73"/>
      <c r="AU42" s="74"/>
      <c r="AV42" s="72"/>
      <c r="AW42" s="72"/>
      <c r="AX42" s="72"/>
      <c r="AY42" s="72"/>
      <c r="AZ42" s="72"/>
      <c r="BA42" s="72"/>
      <c r="BB42" s="72"/>
      <c r="BC42" s="72"/>
      <c r="BD42" s="75"/>
      <c r="BE42" s="3166" t="str">
        <f>CR59</f>
        <v/>
      </c>
      <c r="BF42" s="3167"/>
      <c r="BG42" s="3167"/>
      <c r="BH42" s="3189"/>
      <c r="BI42" s="3188"/>
      <c r="BY42" s="37"/>
      <c r="CA42" s="79">
        <v>0.2</v>
      </c>
      <c r="CB42" s="39">
        <v>0</v>
      </c>
      <c r="CC42" s="40">
        <f t="shared" si="14"/>
        <v>2</v>
      </c>
      <c r="CD42" s="40">
        <f t="shared" si="15"/>
        <v>4</v>
      </c>
      <c r="CE42" s="40">
        <f t="shared" si="16"/>
        <v>6</v>
      </c>
      <c r="CF42" s="40">
        <f t="shared" si="17"/>
        <v>8</v>
      </c>
      <c r="CG42" s="40">
        <f t="shared" si="18"/>
        <v>10</v>
      </c>
      <c r="CH42" s="40">
        <f t="shared" si="19"/>
        <v>12</v>
      </c>
      <c r="CI42" s="86">
        <f t="shared" si="20"/>
        <v>14</v>
      </c>
      <c r="CM42" s="46">
        <v>22</v>
      </c>
      <c r="CN42" s="49">
        <f t="shared" si="2"/>
        <v>0</v>
      </c>
      <c r="CO42" s="51" t="str">
        <f t="shared" si="3"/>
        <v/>
      </c>
      <c r="CQ42" s="49">
        <f t="shared" si="1"/>
        <v>0</v>
      </c>
      <c r="CR42" s="51" t="str">
        <f t="shared" si="0"/>
        <v/>
      </c>
      <c r="CS42" s="103"/>
      <c r="CU42" s="80">
        <v>125</v>
      </c>
      <c r="CV42" s="30" t="e">
        <f>IF(CV$27&gt;CU42,0,IF(SUM(CV30:CV41)&gt;0,0,CU42))</f>
        <v>#DIV/0!</v>
      </c>
      <c r="CX42" s="86">
        <v>140</v>
      </c>
      <c r="CY42" s="30">
        <f>IF(CY$27&gt;CX42,0,IF(SUM(CY31:CY41)&gt;0,0,CX42))</f>
        <v>0</v>
      </c>
    </row>
    <row r="43" spans="1:103" ht="12.9" customHeight="1">
      <c r="A43" s="3056"/>
      <c r="B43" s="3217"/>
      <c r="C43" s="3218"/>
      <c r="D43" s="3186"/>
      <c r="E43" s="3181" t="str">
        <f>CO58</f>
        <v/>
      </c>
      <c r="F43" s="3182"/>
      <c r="G43" s="58"/>
      <c r="H43" s="59"/>
      <c r="I43" s="59"/>
      <c r="J43" s="59"/>
      <c r="K43" s="59"/>
      <c r="L43" s="59"/>
      <c r="M43" s="59"/>
      <c r="N43" s="59"/>
      <c r="O43" s="59"/>
      <c r="P43" s="60"/>
      <c r="Q43" s="61"/>
      <c r="R43" s="59"/>
      <c r="S43" s="59"/>
      <c r="T43" s="59"/>
      <c r="U43" s="59"/>
      <c r="V43" s="59"/>
      <c r="W43" s="59"/>
      <c r="X43" s="59"/>
      <c r="Y43" s="59"/>
      <c r="Z43" s="60"/>
      <c r="AA43" s="61"/>
      <c r="AB43" s="59"/>
      <c r="AC43" s="59"/>
      <c r="AD43" s="59"/>
      <c r="AE43" s="59"/>
      <c r="AF43" s="59"/>
      <c r="AG43" s="59"/>
      <c r="AH43" s="59"/>
      <c r="AI43" s="59"/>
      <c r="AJ43" s="60"/>
      <c r="AK43" s="61"/>
      <c r="AL43" s="59"/>
      <c r="AM43" s="59"/>
      <c r="AN43" s="59"/>
      <c r="AO43" s="59"/>
      <c r="AP43" s="59"/>
      <c r="AQ43" s="59"/>
      <c r="AR43" s="59"/>
      <c r="AS43" s="59"/>
      <c r="AT43" s="60"/>
      <c r="AU43" s="61"/>
      <c r="AV43" s="59"/>
      <c r="AW43" s="59"/>
      <c r="AX43" s="59"/>
      <c r="AY43" s="59"/>
      <c r="AZ43" s="59"/>
      <c r="BA43" s="59"/>
      <c r="BB43" s="59"/>
      <c r="BC43" s="59"/>
      <c r="BD43" s="62"/>
      <c r="BE43" s="3166" t="str">
        <f>CR58</f>
        <v/>
      </c>
      <c r="BF43" s="3167"/>
      <c r="BG43" s="3167"/>
      <c r="BH43" s="3189"/>
      <c r="BI43" s="3188"/>
      <c r="BY43" s="37"/>
      <c r="CA43" s="79">
        <v>0.3</v>
      </c>
      <c r="CB43" s="39">
        <v>0</v>
      </c>
      <c r="CC43" s="40">
        <f t="shared" si="14"/>
        <v>3</v>
      </c>
      <c r="CD43" s="40">
        <f t="shared" si="15"/>
        <v>6</v>
      </c>
      <c r="CE43" s="40">
        <f t="shared" si="16"/>
        <v>9</v>
      </c>
      <c r="CF43" s="40">
        <f t="shared" si="17"/>
        <v>12</v>
      </c>
      <c r="CG43" s="40">
        <f t="shared" si="18"/>
        <v>15</v>
      </c>
      <c r="CH43" s="40">
        <f t="shared" si="19"/>
        <v>18</v>
      </c>
      <c r="CI43" s="86">
        <f t="shared" si="20"/>
        <v>21</v>
      </c>
      <c r="CM43" s="46">
        <v>23</v>
      </c>
      <c r="CN43" s="49">
        <f t="shared" si="2"/>
        <v>0</v>
      </c>
      <c r="CO43" s="51" t="str">
        <f t="shared" si="3"/>
        <v/>
      </c>
      <c r="CQ43" s="49">
        <f t="shared" si="1"/>
        <v>0</v>
      </c>
      <c r="CR43" s="51" t="str">
        <f t="shared" si="0"/>
        <v/>
      </c>
      <c r="CS43" s="38"/>
      <c r="CU43" s="80">
        <v>150</v>
      </c>
      <c r="CV43" s="30" t="e">
        <f>IF(CV$27&gt;CU43,0,IF(SUM(CV30:CV42)&gt;0,0,CU43))</f>
        <v>#DIV/0!</v>
      </c>
      <c r="CX43" s="86">
        <v>175</v>
      </c>
      <c r="CY43" s="30">
        <f>IF(CY$27&gt;CX43,0,IF(SUM(CY31:CY42)&gt;0,0,CX43))</f>
        <v>0</v>
      </c>
    </row>
    <row r="44" spans="1:103" ht="12.9" customHeight="1">
      <c r="A44" s="3056"/>
      <c r="B44" s="3217"/>
      <c r="C44" s="3218"/>
      <c r="D44" s="3186"/>
      <c r="E44" s="3181" t="str">
        <f>CO57</f>
        <v/>
      </c>
      <c r="F44" s="3182"/>
      <c r="G44" s="58"/>
      <c r="H44" s="59"/>
      <c r="I44" s="59"/>
      <c r="J44" s="59"/>
      <c r="K44" s="59"/>
      <c r="L44" s="59"/>
      <c r="M44" s="59"/>
      <c r="N44" s="59"/>
      <c r="O44" s="59"/>
      <c r="P44" s="60"/>
      <c r="Q44" s="61"/>
      <c r="R44" s="59"/>
      <c r="S44" s="59"/>
      <c r="T44" s="59"/>
      <c r="U44" s="59"/>
      <c r="V44" s="59"/>
      <c r="W44" s="59"/>
      <c r="X44" s="59"/>
      <c r="Y44" s="59"/>
      <c r="Z44" s="60"/>
      <c r="AA44" s="61"/>
      <c r="AB44" s="59"/>
      <c r="AC44" s="59"/>
      <c r="AD44" s="59"/>
      <c r="AE44" s="59"/>
      <c r="AF44" s="59"/>
      <c r="AG44" s="59"/>
      <c r="AH44" s="59"/>
      <c r="AI44" s="59"/>
      <c r="AJ44" s="60"/>
      <c r="AK44" s="61"/>
      <c r="AL44" s="59"/>
      <c r="AM44" s="59"/>
      <c r="AN44" s="59"/>
      <c r="AO44" s="59"/>
      <c r="AP44" s="59"/>
      <c r="AQ44" s="59"/>
      <c r="AR44" s="59"/>
      <c r="AS44" s="59"/>
      <c r="AT44" s="60"/>
      <c r="AU44" s="61"/>
      <c r="AV44" s="59"/>
      <c r="AW44" s="59"/>
      <c r="AX44" s="59"/>
      <c r="AY44" s="59"/>
      <c r="AZ44" s="59"/>
      <c r="BA44" s="59"/>
      <c r="BB44" s="59"/>
      <c r="BC44" s="59"/>
      <c r="BD44" s="62"/>
      <c r="BE44" s="3166" t="str">
        <f>CR57</f>
        <v/>
      </c>
      <c r="BF44" s="3167"/>
      <c r="BG44" s="3167"/>
      <c r="BH44" s="3189"/>
      <c r="BI44" s="3188"/>
      <c r="BY44" s="37"/>
      <c r="CA44" s="79">
        <v>0.4</v>
      </c>
      <c r="CB44" s="39">
        <v>0</v>
      </c>
      <c r="CC44" s="40">
        <f t="shared" si="14"/>
        <v>4</v>
      </c>
      <c r="CD44" s="40">
        <f t="shared" si="15"/>
        <v>8</v>
      </c>
      <c r="CE44" s="40">
        <f t="shared" si="16"/>
        <v>12</v>
      </c>
      <c r="CF44" s="40">
        <f t="shared" si="17"/>
        <v>16</v>
      </c>
      <c r="CG44" s="40">
        <f t="shared" si="18"/>
        <v>20</v>
      </c>
      <c r="CH44" s="40">
        <f t="shared" si="19"/>
        <v>24</v>
      </c>
      <c r="CI44" s="86">
        <f t="shared" si="20"/>
        <v>28</v>
      </c>
      <c r="CM44" s="46">
        <v>24</v>
      </c>
      <c r="CN44" s="49">
        <f t="shared" si="2"/>
        <v>0</v>
      </c>
      <c r="CO44" s="51" t="str">
        <f t="shared" si="3"/>
        <v/>
      </c>
      <c r="CQ44" s="49">
        <f t="shared" si="1"/>
        <v>0</v>
      </c>
      <c r="CR44" s="51" t="str">
        <f t="shared" si="0"/>
        <v/>
      </c>
      <c r="CS44" s="38"/>
      <c r="CU44" s="80">
        <v>200</v>
      </c>
      <c r="CV44" s="30" t="e">
        <f>IF(CV$27&gt;CU44,0,IF(SUM(CV30:CV43)&gt;0,0,CU44))</f>
        <v>#DIV/0!</v>
      </c>
      <c r="CX44" s="86">
        <v>210</v>
      </c>
      <c r="CY44" s="369">
        <f>IF(CY$27&gt;CX44,0,IF(SUM(CY31:CY43)&gt;0,0,CX44))</f>
        <v>0</v>
      </c>
    </row>
    <row r="45" spans="1:103" ht="12.9" customHeight="1">
      <c r="A45" s="3056"/>
      <c r="B45" s="3217"/>
      <c r="C45" s="3218"/>
      <c r="D45" s="3186"/>
      <c r="E45" s="3181" t="str">
        <f>CO56</f>
        <v/>
      </c>
      <c r="F45" s="3182"/>
      <c r="G45" s="58"/>
      <c r="H45" s="59"/>
      <c r="I45" s="59"/>
      <c r="J45" s="59"/>
      <c r="K45" s="59"/>
      <c r="L45" s="59"/>
      <c r="M45" s="59"/>
      <c r="N45" s="59"/>
      <c r="O45" s="59"/>
      <c r="P45" s="60"/>
      <c r="Q45" s="61"/>
      <c r="R45" s="59"/>
      <c r="S45" s="59"/>
      <c r="T45" s="59"/>
      <c r="U45" s="59"/>
      <c r="V45" s="59"/>
      <c r="W45" s="59"/>
      <c r="X45" s="59"/>
      <c r="Y45" s="59"/>
      <c r="Z45" s="60"/>
      <c r="AA45" s="61"/>
      <c r="AB45" s="59"/>
      <c r="AC45" s="59"/>
      <c r="AD45" s="59"/>
      <c r="AE45" s="59"/>
      <c r="AF45" s="59"/>
      <c r="AG45" s="59"/>
      <c r="AH45" s="59"/>
      <c r="AI45" s="59"/>
      <c r="AJ45" s="60"/>
      <c r="AK45" s="61"/>
      <c r="AL45" s="59"/>
      <c r="AM45" s="59"/>
      <c r="AN45" s="59"/>
      <c r="AO45" s="59"/>
      <c r="AP45" s="59"/>
      <c r="AQ45" s="59"/>
      <c r="AR45" s="59"/>
      <c r="AS45" s="59"/>
      <c r="AT45" s="60"/>
      <c r="AU45" s="61"/>
      <c r="AV45" s="59"/>
      <c r="AW45" s="59"/>
      <c r="AX45" s="59"/>
      <c r="AY45" s="59"/>
      <c r="AZ45" s="59"/>
      <c r="BA45" s="59"/>
      <c r="BB45" s="59"/>
      <c r="BC45" s="59"/>
      <c r="BD45" s="62"/>
      <c r="BE45" s="3166" t="str">
        <f>CR56</f>
        <v/>
      </c>
      <c r="BF45" s="3167"/>
      <c r="BG45" s="3167"/>
      <c r="BH45" s="3189"/>
      <c r="BI45" s="3188"/>
      <c r="BY45" s="37"/>
      <c r="CA45" s="79">
        <v>0.5</v>
      </c>
      <c r="CB45" s="39">
        <v>0</v>
      </c>
      <c r="CC45" s="40">
        <f t="shared" ref="CC45:CC49" si="21">$CA45*10</f>
        <v>5</v>
      </c>
      <c r="CD45" s="40">
        <f t="shared" ref="CD45:CD49" si="22">$CA45*20</f>
        <v>10</v>
      </c>
      <c r="CE45" s="40">
        <f t="shared" ref="CE45:CE49" si="23">$CA45*30</f>
        <v>15</v>
      </c>
      <c r="CF45" s="40">
        <f t="shared" ref="CF45:CF49" si="24">$CA45*40</f>
        <v>20</v>
      </c>
      <c r="CG45" s="40">
        <f t="shared" ref="CG45:CG49" si="25">$CA45*50</f>
        <v>25</v>
      </c>
      <c r="CH45" s="40">
        <f t="shared" ref="CH45:CH49" si="26">$CA45*60</f>
        <v>30</v>
      </c>
      <c r="CI45" s="86">
        <f t="shared" ref="CI45:CI49" si="27">$CA45*70</f>
        <v>35</v>
      </c>
      <c r="CK45" s="83"/>
      <c r="CL45" s="83"/>
      <c r="CM45" s="46">
        <v>25</v>
      </c>
      <c r="CN45" s="49">
        <f t="shared" si="2"/>
        <v>0</v>
      </c>
      <c r="CO45" s="51" t="str">
        <f t="shared" si="3"/>
        <v/>
      </c>
      <c r="CQ45" s="49">
        <f t="shared" si="1"/>
        <v>0</v>
      </c>
      <c r="CR45" s="51" t="str">
        <f t="shared" si="0"/>
        <v/>
      </c>
      <c r="CS45" s="38"/>
      <c r="CU45" s="80">
        <v>250</v>
      </c>
      <c r="CV45" s="30" t="e">
        <f>IF(CV$27&gt;CU45,0,IF(SUM(CV30:CV44)&gt;0,0,CU45))</f>
        <v>#DIV/0!</v>
      </c>
      <c r="CX45" s="377" t="s">
        <v>420</v>
      </c>
      <c r="CY45" s="40">
        <f>SUM(CY31:CY44)</f>
        <v>7</v>
      </c>
    </row>
    <row r="46" spans="1:103" ht="12.9" customHeight="1">
      <c r="A46" s="3056"/>
      <c r="B46" s="3217"/>
      <c r="C46" s="3218"/>
      <c r="D46" s="3186"/>
      <c r="E46" s="3181" t="str">
        <f>CO55</f>
        <v/>
      </c>
      <c r="F46" s="3182"/>
      <c r="G46" s="58"/>
      <c r="H46" s="59"/>
      <c r="I46" s="59"/>
      <c r="J46" s="59"/>
      <c r="K46" s="59"/>
      <c r="L46" s="59"/>
      <c r="M46" s="59"/>
      <c r="N46" s="59"/>
      <c r="O46" s="59"/>
      <c r="P46" s="60"/>
      <c r="Q46" s="61"/>
      <c r="R46" s="59"/>
      <c r="S46" s="59"/>
      <c r="T46" s="59"/>
      <c r="U46" s="59"/>
      <c r="V46" s="59"/>
      <c r="W46" s="59"/>
      <c r="X46" s="59"/>
      <c r="Y46" s="59"/>
      <c r="Z46" s="60"/>
      <c r="AA46" s="61"/>
      <c r="AB46" s="59"/>
      <c r="AC46" s="59"/>
      <c r="AD46" s="59"/>
      <c r="AE46" s="59"/>
      <c r="AF46" s="59"/>
      <c r="AG46" s="59"/>
      <c r="AH46" s="59"/>
      <c r="AI46" s="59"/>
      <c r="AJ46" s="60"/>
      <c r="AK46" s="61"/>
      <c r="AL46" s="59"/>
      <c r="AM46" s="59"/>
      <c r="AN46" s="59"/>
      <c r="AO46" s="59"/>
      <c r="AP46" s="59"/>
      <c r="AQ46" s="59"/>
      <c r="AR46" s="59"/>
      <c r="AS46" s="59"/>
      <c r="AT46" s="60"/>
      <c r="AU46" s="61"/>
      <c r="AV46" s="59"/>
      <c r="AW46" s="59"/>
      <c r="AX46" s="59"/>
      <c r="AY46" s="59"/>
      <c r="AZ46" s="59"/>
      <c r="BA46" s="59"/>
      <c r="BB46" s="59"/>
      <c r="BC46" s="59"/>
      <c r="BD46" s="62"/>
      <c r="BE46" s="3166" t="str">
        <f>CR55</f>
        <v/>
      </c>
      <c r="BF46" s="3167"/>
      <c r="BG46" s="3167"/>
      <c r="BH46" s="3189"/>
      <c r="BI46" s="3188"/>
      <c r="BY46" s="37"/>
      <c r="CA46" s="79">
        <v>0.6</v>
      </c>
      <c r="CB46" s="39">
        <v>0</v>
      </c>
      <c r="CC46" s="40">
        <f t="shared" si="21"/>
        <v>6</v>
      </c>
      <c r="CD46" s="40">
        <f t="shared" si="22"/>
        <v>12</v>
      </c>
      <c r="CE46" s="40">
        <f t="shared" si="23"/>
        <v>18</v>
      </c>
      <c r="CF46" s="40">
        <f t="shared" si="24"/>
        <v>24</v>
      </c>
      <c r="CG46" s="40">
        <f t="shared" si="25"/>
        <v>30</v>
      </c>
      <c r="CH46" s="40">
        <f t="shared" si="26"/>
        <v>36</v>
      </c>
      <c r="CI46" s="86">
        <f t="shared" si="27"/>
        <v>42</v>
      </c>
      <c r="CM46" s="46">
        <v>26</v>
      </c>
      <c r="CN46" s="49">
        <f t="shared" si="2"/>
        <v>0</v>
      </c>
      <c r="CO46" s="51" t="str">
        <f t="shared" si="3"/>
        <v/>
      </c>
      <c r="CQ46" s="49">
        <f t="shared" si="1"/>
        <v>0</v>
      </c>
      <c r="CR46" s="51" t="str">
        <f t="shared" si="0"/>
        <v/>
      </c>
      <c r="CS46" s="38"/>
      <c r="CU46" s="80">
        <v>300</v>
      </c>
      <c r="CV46" s="30" t="e">
        <f>IF(CV$27&gt;CU46,0,IF(SUM(CV30:CV45)&gt;0,0,CU46))</f>
        <v>#DIV/0!</v>
      </c>
    </row>
    <row r="47" spans="1:103" ht="12.9" customHeight="1">
      <c r="A47" s="3056"/>
      <c r="B47" s="3217"/>
      <c r="C47" s="3218"/>
      <c r="D47" s="3186"/>
      <c r="E47" s="3181" t="str">
        <f>CO54</f>
        <v/>
      </c>
      <c r="F47" s="3182"/>
      <c r="G47" s="58"/>
      <c r="H47" s="59"/>
      <c r="I47" s="59"/>
      <c r="J47" s="59"/>
      <c r="K47" s="59"/>
      <c r="L47" s="59"/>
      <c r="M47" s="59"/>
      <c r="N47" s="59"/>
      <c r="O47" s="59"/>
      <c r="P47" s="60"/>
      <c r="Q47" s="61"/>
      <c r="R47" s="59"/>
      <c r="S47" s="59"/>
      <c r="T47" s="59"/>
      <c r="U47" s="59"/>
      <c r="V47" s="59"/>
      <c r="W47" s="59"/>
      <c r="X47" s="59"/>
      <c r="Y47" s="59"/>
      <c r="Z47" s="60"/>
      <c r="AA47" s="61"/>
      <c r="AB47" s="59"/>
      <c r="AC47" s="59"/>
      <c r="AD47" s="59"/>
      <c r="AE47" s="59"/>
      <c r="AF47" s="59"/>
      <c r="AG47" s="59"/>
      <c r="AH47" s="59"/>
      <c r="AI47" s="59"/>
      <c r="AJ47" s="60"/>
      <c r="AK47" s="61"/>
      <c r="AL47" s="59"/>
      <c r="AM47" s="59"/>
      <c r="AN47" s="59"/>
      <c r="AO47" s="59"/>
      <c r="AP47" s="59"/>
      <c r="AQ47" s="59"/>
      <c r="AR47" s="59"/>
      <c r="AS47" s="59"/>
      <c r="AT47" s="60"/>
      <c r="AU47" s="61"/>
      <c r="AV47" s="59"/>
      <c r="AW47" s="59"/>
      <c r="AX47" s="59"/>
      <c r="AY47" s="59"/>
      <c r="AZ47" s="59"/>
      <c r="BA47" s="59"/>
      <c r="BB47" s="59"/>
      <c r="BC47" s="59"/>
      <c r="BD47" s="62"/>
      <c r="BE47" s="3166" t="str">
        <f>CR54</f>
        <v/>
      </c>
      <c r="BF47" s="3167"/>
      <c r="BG47" s="3167"/>
      <c r="BH47" s="3189"/>
      <c r="BI47" s="3188"/>
      <c r="BY47" s="37"/>
      <c r="CA47" s="79">
        <v>0.7</v>
      </c>
      <c r="CB47" s="39">
        <v>0</v>
      </c>
      <c r="CC47" s="40">
        <f t="shared" si="21"/>
        <v>7</v>
      </c>
      <c r="CD47" s="40">
        <f t="shared" si="22"/>
        <v>14</v>
      </c>
      <c r="CE47" s="40">
        <f t="shared" si="23"/>
        <v>21</v>
      </c>
      <c r="CF47" s="40">
        <f t="shared" si="24"/>
        <v>28</v>
      </c>
      <c r="CG47" s="40">
        <f t="shared" si="25"/>
        <v>35</v>
      </c>
      <c r="CH47" s="40">
        <f t="shared" si="26"/>
        <v>42</v>
      </c>
      <c r="CI47" s="86">
        <f t="shared" si="27"/>
        <v>49</v>
      </c>
      <c r="CM47" s="46">
        <v>27</v>
      </c>
      <c r="CN47" s="49">
        <f t="shared" si="2"/>
        <v>0</v>
      </c>
      <c r="CO47" s="51" t="str">
        <f t="shared" si="3"/>
        <v/>
      </c>
      <c r="CQ47" s="49">
        <f t="shared" si="1"/>
        <v>0</v>
      </c>
      <c r="CR47" s="51" t="str">
        <f t="shared" si="0"/>
        <v/>
      </c>
      <c r="CS47" s="38"/>
      <c r="CU47" s="80">
        <v>350</v>
      </c>
      <c r="CV47" s="30" t="e">
        <f>IF(CV$27&gt;CU47,0,IF(SUM(CV30:CV46)&gt;0,0,CU47))</f>
        <v>#DIV/0!</v>
      </c>
    </row>
    <row r="48" spans="1:103" ht="12.9" customHeight="1">
      <c r="A48" s="3056"/>
      <c r="B48" s="3217"/>
      <c r="C48" s="3218"/>
      <c r="D48" s="3186"/>
      <c r="E48" s="3181" t="str">
        <f>CO53</f>
        <v/>
      </c>
      <c r="F48" s="3182"/>
      <c r="G48" s="58"/>
      <c r="H48" s="59"/>
      <c r="I48" s="59"/>
      <c r="J48" s="59"/>
      <c r="K48" s="59"/>
      <c r="L48" s="59"/>
      <c r="M48" s="59"/>
      <c r="N48" s="59"/>
      <c r="O48" s="59"/>
      <c r="P48" s="60"/>
      <c r="Q48" s="61"/>
      <c r="R48" s="59"/>
      <c r="S48" s="59"/>
      <c r="T48" s="59"/>
      <c r="U48" s="59"/>
      <c r="V48" s="59"/>
      <c r="W48" s="59"/>
      <c r="X48" s="59"/>
      <c r="Y48" s="59"/>
      <c r="Z48" s="60"/>
      <c r="AA48" s="61"/>
      <c r="AB48" s="59"/>
      <c r="AC48" s="59"/>
      <c r="AD48" s="59"/>
      <c r="AE48" s="59"/>
      <c r="AF48" s="59"/>
      <c r="AG48" s="59"/>
      <c r="AH48" s="59"/>
      <c r="AI48" s="59"/>
      <c r="AJ48" s="60"/>
      <c r="AK48" s="61"/>
      <c r="AL48" s="59"/>
      <c r="AM48" s="59"/>
      <c r="AN48" s="59"/>
      <c r="AO48" s="59"/>
      <c r="AP48" s="59"/>
      <c r="AQ48" s="59"/>
      <c r="AR48" s="59"/>
      <c r="AS48" s="59"/>
      <c r="AT48" s="60"/>
      <c r="AU48" s="61"/>
      <c r="AV48" s="59"/>
      <c r="AW48" s="59"/>
      <c r="AX48" s="59"/>
      <c r="AY48" s="59"/>
      <c r="AZ48" s="59"/>
      <c r="BA48" s="59"/>
      <c r="BB48" s="59"/>
      <c r="BC48" s="59"/>
      <c r="BD48" s="62"/>
      <c r="BE48" s="3166" t="str">
        <f>CR53</f>
        <v/>
      </c>
      <c r="BF48" s="3167"/>
      <c r="BG48" s="3167"/>
      <c r="BH48" s="3189"/>
      <c r="BI48" s="3188"/>
      <c r="BY48" s="37"/>
      <c r="CA48" s="79">
        <v>0.8</v>
      </c>
      <c r="CB48" s="39">
        <v>0</v>
      </c>
      <c r="CC48" s="40">
        <f t="shared" si="21"/>
        <v>8</v>
      </c>
      <c r="CD48" s="40">
        <f t="shared" si="22"/>
        <v>16</v>
      </c>
      <c r="CE48" s="40">
        <f t="shared" si="23"/>
        <v>24</v>
      </c>
      <c r="CF48" s="40">
        <f t="shared" si="24"/>
        <v>32</v>
      </c>
      <c r="CG48" s="40">
        <f t="shared" si="25"/>
        <v>40</v>
      </c>
      <c r="CH48" s="40">
        <f t="shared" si="26"/>
        <v>48</v>
      </c>
      <c r="CI48" s="86">
        <f t="shared" si="27"/>
        <v>56</v>
      </c>
      <c r="CM48" s="46">
        <v>28</v>
      </c>
      <c r="CN48" s="49">
        <f t="shared" si="2"/>
        <v>0</v>
      </c>
      <c r="CO48" s="51" t="str">
        <f t="shared" si="3"/>
        <v/>
      </c>
      <c r="CQ48" s="49">
        <f t="shared" si="1"/>
        <v>0</v>
      </c>
      <c r="CR48" s="51" t="str">
        <f t="shared" si="0"/>
        <v/>
      </c>
      <c r="CS48" s="38"/>
      <c r="CU48" s="80">
        <v>400</v>
      </c>
      <c r="CV48" s="369" t="e">
        <f>IF(CV$27&gt;CU48,0,IF(SUM(CV30:CV47)&gt;0,0,CU48))</f>
        <v>#DIV/0!</v>
      </c>
    </row>
    <row r="49" spans="1:100" ht="12.9" customHeight="1">
      <c r="A49" s="3056"/>
      <c r="B49" s="3217"/>
      <c r="C49" s="3218"/>
      <c r="D49" s="3186"/>
      <c r="E49" s="3181" t="str">
        <f>CO52</f>
        <v/>
      </c>
      <c r="F49" s="3182"/>
      <c r="G49" s="58"/>
      <c r="H49" s="59"/>
      <c r="I49" s="59"/>
      <c r="J49" s="59"/>
      <c r="K49" s="59"/>
      <c r="L49" s="59"/>
      <c r="M49" s="59"/>
      <c r="N49" s="59"/>
      <c r="O49" s="59"/>
      <c r="P49" s="60"/>
      <c r="Q49" s="61"/>
      <c r="R49" s="59"/>
      <c r="S49" s="59"/>
      <c r="T49" s="59"/>
      <c r="U49" s="59"/>
      <c r="V49" s="59"/>
      <c r="W49" s="59"/>
      <c r="X49" s="59"/>
      <c r="Y49" s="59"/>
      <c r="Z49" s="60"/>
      <c r="AA49" s="61"/>
      <c r="AB49" s="59"/>
      <c r="AC49" s="59"/>
      <c r="AD49" s="59"/>
      <c r="AE49" s="59"/>
      <c r="AF49" s="59"/>
      <c r="AG49" s="59"/>
      <c r="AH49" s="59"/>
      <c r="AI49" s="59"/>
      <c r="AJ49" s="60"/>
      <c r="AK49" s="61"/>
      <c r="AL49" s="59"/>
      <c r="AM49" s="59"/>
      <c r="AN49" s="59"/>
      <c r="AO49" s="59"/>
      <c r="AP49" s="59"/>
      <c r="AQ49" s="59"/>
      <c r="AR49" s="59"/>
      <c r="AS49" s="59"/>
      <c r="AT49" s="60"/>
      <c r="AU49" s="61"/>
      <c r="AV49" s="59"/>
      <c r="AW49" s="59"/>
      <c r="AX49" s="59"/>
      <c r="AY49" s="59"/>
      <c r="AZ49" s="59"/>
      <c r="BA49" s="59"/>
      <c r="BB49" s="59"/>
      <c r="BC49" s="59"/>
      <c r="BD49" s="62"/>
      <c r="BE49" s="3166" t="str">
        <f>CR52</f>
        <v/>
      </c>
      <c r="BF49" s="3167"/>
      <c r="BG49" s="3167"/>
      <c r="BH49" s="3189"/>
      <c r="BI49" s="3188"/>
      <c r="BY49" s="37"/>
      <c r="CA49" s="79">
        <v>0.9</v>
      </c>
      <c r="CB49" s="39">
        <v>0</v>
      </c>
      <c r="CC49" s="40">
        <f t="shared" si="21"/>
        <v>9</v>
      </c>
      <c r="CD49" s="40">
        <f t="shared" si="22"/>
        <v>18</v>
      </c>
      <c r="CE49" s="40">
        <f t="shared" si="23"/>
        <v>27</v>
      </c>
      <c r="CF49" s="40">
        <f t="shared" si="24"/>
        <v>36</v>
      </c>
      <c r="CG49" s="40">
        <f t="shared" si="25"/>
        <v>45</v>
      </c>
      <c r="CH49" s="40">
        <f t="shared" si="26"/>
        <v>54</v>
      </c>
      <c r="CI49" s="86">
        <f t="shared" si="27"/>
        <v>63</v>
      </c>
      <c r="CM49" s="46">
        <v>29</v>
      </c>
      <c r="CN49" s="49">
        <f t="shared" si="2"/>
        <v>0</v>
      </c>
      <c r="CO49" s="51" t="str">
        <f t="shared" si="3"/>
        <v/>
      </c>
      <c r="CQ49" s="49">
        <f t="shared" si="1"/>
        <v>0</v>
      </c>
      <c r="CR49" s="51" t="str">
        <f t="shared" si="0"/>
        <v/>
      </c>
      <c r="CS49" s="38"/>
      <c r="CU49" s="378" t="s">
        <v>421</v>
      </c>
      <c r="CV49" s="40" t="e">
        <f>SUM(CV30:CV48)</f>
        <v>#DIV/0!</v>
      </c>
    </row>
    <row r="50" spans="1:100" ht="12.9" customHeight="1">
      <c r="A50" s="3056"/>
      <c r="B50" s="3217"/>
      <c r="C50" s="3218"/>
      <c r="D50" s="3186"/>
      <c r="E50" s="3181" t="str">
        <f>CO51</f>
        <v/>
      </c>
      <c r="F50" s="3182"/>
      <c r="G50" s="58"/>
      <c r="H50" s="59"/>
      <c r="I50" s="59"/>
      <c r="J50" s="59"/>
      <c r="K50" s="59"/>
      <c r="L50" s="59"/>
      <c r="M50" s="59"/>
      <c r="N50" s="59"/>
      <c r="O50" s="59"/>
      <c r="P50" s="60"/>
      <c r="Q50" s="61"/>
      <c r="R50" s="59"/>
      <c r="S50" s="59"/>
      <c r="T50" s="59"/>
      <c r="U50" s="59"/>
      <c r="V50" s="59"/>
      <c r="W50" s="59"/>
      <c r="X50" s="59"/>
      <c r="Y50" s="59"/>
      <c r="Z50" s="60"/>
      <c r="AA50" s="61"/>
      <c r="AB50" s="59"/>
      <c r="AC50" s="59"/>
      <c r="AD50" s="59"/>
      <c r="AE50" s="59"/>
      <c r="AF50" s="59"/>
      <c r="AG50" s="59"/>
      <c r="AH50" s="59"/>
      <c r="AI50" s="59"/>
      <c r="AJ50" s="60"/>
      <c r="AK50" s="61"/>
      <c r="AL50" s="59"/>
      <c r="AM50" s="59"/>
      <c r="AN50" s="59"/>
      <c r="AO50" s="59"/>
      <c r="AP50" s="59"/>
      <c r="AQ50" s="59"/>
      <c r="AR50" s="59"/>
      <c r="AS50" s="59"/>
      <c r="AT50" s="60"/>
      <c r="AU50" s="61"/>
      <c r="AV50" s="59"/>
      <c r="AW50" s="59"/>
      <c r="AX50" s="59"/>
      <c r="AY50" s="59"/>
      <c r="AZ50" s="59"/>
      <c r="BA50" s="59"/>
      <c r="BB50" s="59"/>
      <c r="BC50" s="59"/>
      <c r="BD50" s="62"/>
      <c r="BE50" s="3166" t="str">
        <f>CR51</f>
        <v/>
      </c>
      <c r="BF50" s="3167"/>
      <c r="BG50" s="3167"/>
      <c r="BH50" s="3189"/>
      <c r="BI50" s="3188"/>
      <c r="BY50" s="37"/>
      <c r="CA50" s="79">
        <v>1</v>
      </c>
      <c r="CB50" s="39">
        <v>0</v>
      </c>
      <c r="CC50" s="40">
        <f>$CA50*10</f>
        <v>10</v>
      </c>
      <c r="CD50" s="40">
        <f>$CA50*20</f>
        <v>20</v>
      </c>
      <c r="CE50" s="40">
        <f>$CA50*30</f>
        <v>30</v>
      </c>
      <c r="CF50" s="40">
        <f>$CA50*40</f>
        <v>40</v>
      </c>
      <c r="CG50" s="40">
        <f>$CA50*50</f>
        <v>50</v>
      </c>
      <c r="CH50" s="40">
        <f>$CA50*60</f>
        <v>60</v>
      </c>
      <c r="CI50" s="86">
        <f>$CA50*70</f>
        <v>70</v>
      </c>
      <c r="CM50" s="46">
        <v>30</v>
      </c>
      <c r="CN50" s="52">
        <f t="shared" si="2"/>
        <v>0</v>
      </c>
      <c r="CO50" s="50" t="str">
        <f t="shared" si="3"/>
        <v/>
      </c>
      <c r="CQ50" s="87">
        <f t="shared" si="1"/>
        <v>0</v>
      </c>
      <c r="CR50" s="50" t="str">
        <f t="shared" si="0"/>
        <v/>
      </c>
      <c r="CS50" s="38"/>
    </row>
    <row r="51" spans="1:100" ht="12.9" customHeight="1">
      <c r="A51" s="3056"/>
      <c r="B51" s="3217"/>
      <c r="C51" s="3218"/>
      <c r="D51" s="3183" t="str">
        <f>CO50</f>
        <v/>
      </c>
      <c r="E51" s="3183"/>
      <c r="F51" s="3184"/>
      <c r="G51" s="65"/>
      <c r="H51" s="66"/>
      <c r="I51" s="66"/>
      <c r="J51" s="66"/>
      <c r="K51" s="66"/>
      <c r="L51" s="66"/>
      <c r="M51" s="66"/>
      <c r="N51" s="66"/>
      <c r="O51" s="66"/>
      <c r="P51" s="67"/>
      <c r="Q51" s="68"/>
      <c r="R51" s="66"/>
      <c r="S51" s="66"/>
      <c r="T51" s="66"/>
      <c r="U51" s="66"/>
      <c r="V51" s="66"/>
      <c r="W51" s="66"/>
      <c r="X51" s="66"/>
      <c r="Y51" s="66"/>
      <c r="Z51" s="67"/>
      <c r="AA51" s="68"/>
      <c r="AB51" s="66"/>
      <c r="AC51" s="66"/>
      <c r="AD51" s="66"/>
      <c r="AE51" s="66"/>
      <c r="AF51" s="66"/>
      <c r="AG51" s="66"/>
      <c r="AH51" s="66"/>
      <c r="AI51" s="66"/>
      <c r="AJ51" s="67"/>
      <c r="AK51" s="68"/>
      <c r="AL51" s="66"/>
      <c r="AM51" s="66"/>
      <c r="AN51" s="66"/>
      <c r="AO51" s="66"/>
      <c r="AP51" s="66"/>
      <c r="AQ51" s="66"/>
      <c r="AR51" s="66"/>
      <c r="AS51" s="66"/>
      <c r="AT51" s="67"/>
      <c r="AU51" s="68"/>
      <c r="AV51" s="66"/>
      <c r="AW51" s="66"/>
      <c r="AX51" s="66"/>
      <c r="AY51" s="66"/>
      <c r="AZ51" s="66"/>
      <c r="BA51" s="66"/>
      <c r="BB51" s="66"/>
      <c r="BC51" s="66"/>
      <c r="BD51" s="69"/>
      <c r="BE51" s="3174" t="str">
        <f>CR50</f>
        <v/>
      </c>
      <c r="BF51" s="3175"/>
      <c r="BG51" s="3175"/>
      <c r="BH51" s="3189"/>
      <c r="BI51" s="3188"/>
      <c r="BY51" s="37"/>
      <c r="CA51" s="79">
        <v>1.5</v>
      </c>
      <c r="CB51" s="39">
        <v>0</v>
      </c>
      <c r="CC51" s="40">
        <f>$CA51*10</f>
        <v>15</v>
      </c>
      <c r="CD51" s="40">
        <f>$CA51*20</f>
        <v>30</v>
      </c>
      <c r="CE51" s="40">
        <f>$CA51*30</f>
        <v>45</v>
      </c>
      <c r="CF51" s="40">
        <f>$CA51*40</f>
        <v>60</v>
      </c>
      <c r="CG51" s="40">
        <f>$CA51*50</f>
        <v>75</v>
      </c>
      <c r="CH51" s="40">
        <f>$CA51*60</f>
        <v>90</v>
      </c>
      <c r="CI51" s="86">
        <f>$CA51*70</f>
        <v>105</v>
      </c>
      <c r="CM51" s="46">
        <v>31</v>
      </c>
      <c r="CN51" s="49">
        <f t="shared" si="2"/>
        <v>0</v>
      </c>
      <c r="CO51" s="51" t="str">
        <f t="shared" si="3"/>
        <v/>
      </c>
      <c r="CQ51" s="49">
        <f t="shared" si="1"/>
        <v>0</v>
      </c>
      <c r="CR51" s="51" t="str">
        <f t="shared" si="0"/>
        <v/>
      </c>
      <c r="CS51" s="38"/>
    </row>
    <row r="52" spans="1:100" ht="12.9" customHeight="1">
      <c r="A52" s="3056"/>
      <c r="B52" s="3217"/>
      <c r="C52" s="3218"/>
      <c r="D52" s="3185"/>
      <c r="E52" s="3181" t="str">
        <f>CO49</f>
        <v/>
      </c>
      <c r="F52" s="3182"/>
      <c r="G52" s="71"/>
      <c r="H52" s="72"/>
      <c r="I52" s="72"/>
      <c r="J52" s="72"/>
      <c r="K52" s="72"/>
      <c r="L52" s="72"/>
      <c r="M52" s="72"/>
      <c r="N52" s="72"/>
      <c r="O52" s="72"/>
      <c r="P52" s="73"/>
      <c r="Q52" s="74"/>
      <c r="R52" s="72"/>
      <c r="S52" s="72"/>
      <c r="T52" s="72"/>
      <c r="U52" s="72"/>
      <c r="V52" s="72"/>
      <c r="W52" s="72"/>
      <c r="X52" s="72"/>
      <c r="Y52" s="72"/>
      <c r="Z52" s="73"/>
      <c r="AA52" s="74"/>
      <c r="AB52" s="72"/>
      <c r="AC52" s="72"/>
      <c r="AD52" s="72"/>
      <c r="AE52" s="72"/>
      <c r="AF52" s="72"/>
      <c r="AG52" s="72"/>
      <c r="AH52" s="72"/>
      <c r="AI52" s="72"/>
      <c r="AJ52" s="73"/>
      <c r="AK52" s="74"/>
      <c r="AL52" s="72"/>
      <c r="AM52" s="72"/>
      <c r="AN52" s="72"/>
      <c r="AO52" s="72"/>
      <c r="AP52" s="72"/>
      <c r="AQ52" s="72"/>
      <c r="AR52" s="72"/>
      <c r="AS52" s="72"/>
      <c r="AT52" s="73"/>
      <c r="AU52" s="74"/>
      <c r="AV52" s="72"/>
      <c r="AW52" s="72"/>
      <c r="AX52" s="72"/>
      <c r="AY52" s="72"/>
      <c r="AZ52" s="72"/>
      <c r="BA52" s="72"/>
      <c r="BB52" s="72"/>
      <c r="BC52" s="72"/>
      <c r="BD52" s="75"/>
      <c r="BE52" s="3166" t="str">
        <f>CR49</f>
        <v/>
      </c>
      <c r="BF52" s="3167"/>
      <c r="BG52" s="3167"/>
      <c r="BH52" s="3189"/>
      <c r="BI52" s="3188"/>
      <c r="BY52" s="37"/>
      <c r="CA52" s="79">
        <v>2</v>
      </c>
      <c r="CB52" s="39">
        <v>0</v>
      </c>
      <c r="CC52" s="40">
        <f>$CA52*10</f>
        <v>20</v>
      </c>
      <c r="CD52" s="40">
        <f>$CA52*20</f>
        <v>40</v>
      </c>
      <c r="CE52" s="40">
        <f>$CA52*30</f>
        <v>60</v>
      </c>
      <c r="CF52" s="40">
        <f>$CA52*40</f>
        <v>80</v>
      </c>
      <c r="CG52" s="40">
        <f>$CA52*50</f>
        <v>100</v>
      </c>
      <c r="CH52" s="40">
        <f>$CA52*60</f>
        <v>120</v>
      </c>
      <c r="CI52" s="86">
        <f>$CA52*70</f>
        <v>140</v>
      </c>
      <c r="CM52" s="46">
        <v>32</v>
      </c>
      <c r="CN52" s="49">
        <f t="shared" si="2"/>
        <v>0</v>
      </c>
      <c r="CO52" s="51" t="str">
        <f t="shared" si="3"/>
        <v/>
      </c>
      <c r="CQ52" s="49">
        <f t="shared" si="1"/>
        <v>0</v>
      </c>
      <c r="CR52" s="51" t="str">
        <f t="shared" ref="CR52:CR83" si="28">IF(BE$88="","",IF($BB$9="","",CQ52))</f>
        <v/>
      </c>
      <c r="CS52" s="38"/>
    </row>
    <row r="53" spans="1:100" ht="12.9" customHeight="1">
      <c r="A53" s="3056"/>
      <c r="B53" s="3217"/>
      <c r="C53" s="3218"/>
      <c r="D53" s="3186"/>
      <c r="E53" s="3181" t="str">
        <f>CO48</f>
        <v/>
      </c>
      <c r="F53" s="3182"/>
      <c r="G53" s="58"/>
      <c r="H53" s="59"/>
      <c r="I53" s="59"/>
      <c r="J53" s="59"/>
      <c r="K53" s="59"/>
      <c r="L53" s="59"/>
      <c r="M53" s="59"/>
      <c r="N53" s="59"/>
      <c r="O53" s="59"/>
      <c r="P53" s="60"/>
      <c r="Q53" s="61"/>
      <c r="R53" s="59"/>
      <c r="S53" s="59"/>
      <c r="T53" s="59"/>
      <c r="U53" s="59"/>
      <c r="V53" s="59"/>
      <c r="W53" s="59"/>
      <c r="X53" s="59"/>
      <c r="Y53" s="59"/>
      <c r="Z53" s="60"/>
      <c r="AA53" s="61"/>
      <c r="AB53" s="59"/>
      <c r="AC53" s="59"/>
      <c r="AD53" s="59"/>
      <c r="AE53" s="59"/>
      <c r="AF53" s="59"/>
      <c r="AG53" s="59"/>
      <c r="AH53" s="59"/>
      <c r="AI53" s="59"/>
      <c r="AJ53" s="60"/>
      <c r="AK53" s="61"/>
      <c r="AL53" s="59"/>
      <c r="AM53" s="59"/>
      <c r="AN53" s="59"/>
      <c r="AO53" s="59"/>
      <c r="AP53" s="59"/>
      <c r="AQ53" s="59"/>
      <c r="AR53" s="59"/>
      <c r="AS53" s="59"/>
      <c r="AT53" s="60"/>
      <c r="AU53" s="61"/>
      <c r="AV53" s="59"/>
      <c r="AW53" s="59"/>
      <c r="AX53" s="59"/>
      <c r="AY53" s="59"/>
      <c r="AZ53" s="59"/>
      <c r="BA53" s="59"/>
      <c r="BB53" s="59"/>
      <c r="BC53" s="59"/>
      <c r="BD53" s="62"/>
      <c r="BE53" s="3166" t="str">
        <f>CR48</f>
        <v/>
      </c>
      <c r="BF53" s="3167"/>
      <c r="BG53" s="3167"/>
      <c r="BH53" s="3189"/>
      <c r="BI53" s="3188"/>
      <c r="BY53" s="37"/>
      <c r="CA53" s="79">
        <v>2.5</v>
      </c>
      <c r="CB53" s="39">
        <v>0</v>
      </c>
      <c r="CC53" s="40">
        <f>$CA53*10</f>
        <v>25</v>
      </c>
      <c r="CD53" s="40">
        <f>$CA53*20</f>
        <v>50</v>
      </c>
      <c r="CE53" s="40">
        <f>$CA53*30</f>
        <v>75</v>
      </c>
      <c r="CF53" s="40">
        <f>$CA53*40</f>
        <v>100</v>
      </c>
      <c r="CG53" s="40">
        <f>$CA53*50</f>
        <v>125</v>
      </c>
      <c r="CH53" s="40">
        <f>$CA53*60</f>
        <v>150</v>
      </c>
      <c r="CI53" s="86">
        <f>$CA53*70</f>
        <v>175</v>
      </c>
      <c r="CM53" s="46">
        <v>33</v>
      </c>
      <c r="CN53" s="49">
        <f t="shared" si="2"/>
        <v>0</v>
      </c>
      <c r="CO53" s="51" t="str">
        <f t="shared" ref="CO53:CO84" si="29">IF(BE$88=0,"",CN53)</f>
        <v/>
      </c>
      <c r="CQ53" s="49">
        <f t="shared" ref="CQ53:CQ84" si="30">CQ52+CN$21</f>
        <v>0</v>
      </c>
      <c r="CR53" s="51" t="str">
        <f t="shared" si="28"/>
        <v/>
      </c>
      <c r="CS53" s="38"/>
    </row>
    <row r="54" spans="1:100" ht="12.9" customHeight="1" thickBot="1">
      <c r="A54" s="3056"/>
      <c r="B54" s="3217"/>
      <c r="C54" s="3218"/>
      <c r="D54" s="3186"/>
      <c r="E54" s="3181" t="str">
        <f>CO47</f>
        <v/>
      </c>
      <c r="F54" s="3182"/>
      <c r="G54" s="58"/>
      <c r="H54" s="59"/>
      <c r="I54" s="59"/>
      <c r="J54" s="59"/>
      <c r="K54" s="59"/>
      <c r="L54" s="59"/>
      <c r="M54" s="59"/>
      <c r="N54" s="59"/>
      <c r="O54" s="59"/>
      <c r="P54" s="60"/>
      <c r="Q54" s="61"/>
      <c r="R54" s="59"/>
      <c r="S54" s="59"/>
      <c r="T54" s="59"/>
      <c r="U54" s="59"/>
      <c r="V54" s="59"/>
      <c r="W54" s="59"/>
      <c r="X54" s="59"/>
      <c r="Y54" s="59"/>
      <c r="Z54" s="60"/>
      <c r="AA54" s="61"/>
      <c r="AB54" s="59"/>
      <c r="AC54" s="59"/>
      <c r="AD54" s="59"/>
      <c r="AE54" s="59"/>
      <c r="AF54" s="59"/>
      <c r="AG54" s="59"/>
      <c r="AH54" s="59"/>
      <c r="AI54" s="59"/>
      <c r="AJ54" s="60"/>
      <c r="AK54" s="61"/>
      <c r="AL54" s="59"/>
      <c r="AM54" s="59"/>
      <c r="AN54" s="59"/>
      <c r="AO54" s="59"/>
      <c r="AP54" s="59"/>
      <c r="AQ54" s="59"/>
      <c r="AR54" s="59"/>
      <c r="AS54" s="59"/>
      <c r="AT54" s="60"/>
      <c r="AU54" s="61"/>
      <c r="AV54" s="59"/>
      <c r="AW54" s="59"/>
      <c r="AX54" s="59"/>
      <c r="AY54" s="59"/>
      <c r="AZ54" s="59"/>
      <c r="BA54" s="59"/>
      <c r="BB54" s="59"/>
      <c r="BC54" s="59"/>
      <c r="BD54" s="62"/>
      <c r="BE54" s="3166" t="str">
        <f>CR47</f>
        <v/>
      </c>
      <c r="BF54" s="3167"/>
      <c r="BG54" s="3167"/>
      <c r="BH54" s="3189"/>
      <c r="BI54" s="3188"/>
      <c r="BY54" s="37"/>
      <c r="CA54" s="82">
        <v>3</v>
      </c>
      <c r="CB54" s="39">
        <v>0</v>
      </c>
      <c r="CC54" s="40">
        <f>$CA54*10</f>
        <v>30</v>
      </c>
      <c r="CD54" s="40">
        <f>$CA54*20</f>
        <v>60</v>
      </c>
      <c r="CE54" s="40">
        <f>$CA54*30</f>
        <v>90</v>
      </c>
      <c r="CF54" s="40">
        <f>$CA54*40</f>
        <v>120</v>
      </c>
      <c r="CG54" s="40">
        <f>$CA54*50</f>
        <v>150</v>
      </c>
      <c r="CH54" s="40">
        <f>$CA54*60</f>
        <v>180</v>
      </c>
      <c r="CI54" s="86">
        <f>$CA54*70</f>
        <v>210</v>
      </c>
      <c r="CM54" s="46">
        <v>34</v>
      </c>
      <c r="CN54" s="49">
        <f t="shared" ref="CN54:CN90" si="31">CN53+CN$21</f>
        <v>0</v>
      </c>
      <c r="CO54" s="51" t="str">
        <f t="shared" si="29"/>
        <v/>
      </c>
      <c r="CQ54" s="49">
        <f t="shared" si="30"/>
        <v>0</v>
      </c>
      <c r="CR54" s="51" t="str">
        <f t="shared" si="28"/>
        <v/>
      </c>
      <c r="CS54" s="38"/>
    </row>
    <row r="55" spans="1:100" ht="12.9" customHeight="1">
      <c r="A55" s="3056"/>
      <c r="B55" s="3217"/>
      <c r="C55" s="3218"/>
      <c r="D55" s="3186"/>
      <c r="E55" s="3181" t="str">
        <f>CO46</f>
        <v/>
      </c>
      <c r="F55" s="3182"/>
      <c r="G55" s="58"/>
      <c r="H55" s="59"/>
      <c r="I55" s="59"/>
      <c r="J55" s="59"/>
      <c r="K55" s="59"/>
      <c r="L55" s="59"/>
      <c r="M55" s="59"/>
      <c r="N55" s="59"/>
      <c r="O55" s="59"/>
      <c r="P55" s="60"/>
      <c r="Q55" s="61"/>
      <c r="R55" s="59"/>
      <c r="S55" s="59"/>
      <c r="T55" s="59"/>
      <c r="U55" s="59"/>
      <c r="V55" s="59"/>
      <c r="W55" s="59"/>
      <c r="X55" s="59"/>
      <c r="Y55" s="59"/>
      <c r="Z55" s="60"/>
      <c r="AA55" s="61"/>
      <c r="AB55" s="59"/>
      <c r="AC55" s="59"/>
      <c r="AD55" s="59"/>
      <c r="AE55" s="59"/>
      <c r="AF55" s="59"/>
      <c r="AG55" s="59"/>
      <c r="AH55" s="59"/>
      <c r="AI55" s="59"/>
      <c r="AJ55" s="60"/>
      <c r="AK55" s="61"/>
      <c r="AL55" s="59"/>
      <c r="AM55" s="59"/>
      <c r="AN55" s="59"/>
      <c r="AO55" s="59"/>
      <c r="AP55" s="59"/>
      <c r="AQ55" s="59"/>
      <c r="AR55" s="59"/>
      <c r="AS55" s="59"/>
      <c r="AT55" s="60"/>
      <c r="AU55" s="61"/>
      <c r="AV55" s="59"/>
      <c r="AW55" s="59"/>
      <c r="AX55" s="59"/>
      <c r="AY55" s="59"/>
      <c r="AZ55" s="59"/>
      <c r="BA55" s="59"/>
      <c r="BB55" s="59"/>
      <c r="BC55" s="59"/>
      <c r="BD55" s="62"/>
      <c r="BE55" s="3166" t="str">
        <f>CR46</f>
        <v/>
      </c>
      <c r="BF55" s="3167"/>
      <c r="BG55" s="3167"/>
      <c r="BH55" s="3189"/>
      <c r="BI55" s="3188"/>
      <c r="BY55" s="37"/>
      <c r="CM55" s="46">
        <v>35</v>
      </c>
      <c r="CN55" s="49">
        <f t="shared" si="31"/>
        <v>0</v>
      </c>
      <c r="CO55" s="51" t="str">
        <f t="shared" si="29"/>
        <v/>
      </c>
      <c r="CQ55" s="49">
        <f t="shared" si="30"/>
        <v>0</v>
      </c>
      <c r="CR55" s="51" t="str">
        <f t="shared" si="28"/>
        <v/>
      </c>
      <c r="CS55" s="38"/>
    </row>
    <row r="56" spans="1:100" ht="12.9" customHeight="1">
      <c r="A56" s="3056"/>
      <c r="B56" s="3217"/>
      <c r="C56" s="3218"/>
      <c r="D56" s="3186"/>
      <c r="E56" s="3181" t="str">
        <f>CO45</f>
        <v/>
      </c>
      <c r="F56" s="3182"/>
      <c r="G56" s="58"/>
      <c r="H56" s="59"/>
      <c r="I56" s="59"/>
      <c r="J56" s="59"/>
      <c r="K56" s="59"/>
      <c r="L56" s="59"/>
      <c r="M56" s="59"/>
      <c r="N56" s="59"/>
      <c r="O56" s="59"/>
      <c r="P56" s="60"/>
      <c r="Q56" s="61"/>
      <c r="R56" s="59"/>
      <c r="S56" s="59"/>
      <c r="T56" s="59"/>
      <c r="U56" s="59"/>
      <c r="V56" s="59"/>
      <c r="W56" s="59"/>
      <c r="X56" s="59"/>
      <c r="Y56" s="59"/>
      <c r="Z56" s="60"/>
      <c r="AA56" s="61"/>
      <c r="AB56" s="59"/>
      <c r="AC56" s="59"/>
      <c r="AD56" s="59"/>
      <c r="AE56" s="59"/>
      <c r="AF56" s="59"/>
      <c r="AG56" s="59"/>
      <c r="AH56" s="59"/>
      <c r="AI56" s="59"/>
      <c r="AJ56" s="60"/>
      <c r="AK56" s="61"/>
      <c r="AL56" s="59"/>
      <c r="AM56" s="59"/>
      <c r="AN56" s="59"/>
      <c r="AO56" s="59"/>
      <c r="AP56" s="59"/>
      <c r="AQ56" s="59"/>
      <c r="AR56" s="59"/>
      <c r="AS56" s="59"/>
      <c r="AT56" s="60"/>
      <c r="AU56" s="61"/>
      <c r="AV56" s="59"/>
      <c r="AW56" s="59"/>
      <c r="AX56" s="59"/>
      <c r="AY56" s="59"/>
      <c r="AZ56" s="59"/>
      <c r="BA56" s="59"/>
      <c r="BB56" s="59"/>
      <c r="BC56" s="59"/>
      <c r="BD56" s="62"/>
      <c r="BE56" s="3166" t="str">
        <f>CR45</f>
        <v/>
      </c>
      <c r="BF56" s="3167"/>
      <c r="BG56" s="3167"/>
      <c r="BH56" s="3189"/>
      <c r="BI56" s="3188"/>
      <c r="BY56" s="37"/>
      <c r="CM56" s="46">
        <v>36</v>
      </c>
      <c r="CN56" s="49">
        <f t="shared" si="31"/>
        <v>0</v>
      </c>
      <c r="CO56" s="51" t="str">
        <f t="shared" si="29"/>
        <v/>
      </c>
      <c r="CQ56" s="49">
        <f t="shared" si="30"/>
        <v>0</v>
      </c>
      <c r="CR56" s="51" t="str">
        <f t="shared" si="28"/>
        <v/>
      </c>
      <c r="CS56" s="38"/>
    </row>
    <row r="57" spans="1:100" ht="12.9" customHeight="1">
      <c r="A57" s="3056"/>
      <c r="B57" s="3217"/>
      <c r="C57" s="3218"/>
      <c r="D57" s="3186"/>
      <c r="E57" s="3181" t="str">
        <f>CO44</f>
        <v/>
      </c>
      <c r="F57" s="3182"/>
      <c r="G57" s="58"/>
      <c r="H57" s="59"/>
      <c r="I57" s="59"/>
      <c r="J57" s="59"/>
      <c r="K57" s="59"/>
      <c r="L57" s="59"/>
      <c r="M57" s="59"/>
      <c r="N57" s="59"/>
      <c r="O57" s="59"/>
      <c r="P57" s="60"/>
      <c r="Q57" s="61"/>
      <c r="R57" s="59"/>
      <c r="S57" s="59"/>
      <c r="T57" s="59"/>
      <c r="U57" s="59"/>
      <c r="V57" s="59"/>
      <c r="W57" s="59"/>
      <c r="X57" s="59"/>
      <c r="Y57" s="59"/>
      <c r="Z57" s="60"/>
      <c r="AA57" s="61"/>
      <c r="AB57" s="59"/>
      <c r="AC57" s="59"/>
      <c r="AD57" s="59"/>
      <c r="AE57" s="59"/>
      <c r="AF57" s="59"/>
      <c r="AG57" s="59"/>
      <c r="AH57" s="59"/>
      <c r="AI57" s="59"/>
      <c r="AJ57" s="60"/>
      <c r="AK57" s="61"/>
      <c r="AL57" s="59"/>
      <c r="AM57" s="59"/>
      <c r="AN57" s="59"/>
      <c r="AO57" s="59"/>
      <c r="AP57" s="59"/>
      <c r="AQ57" s="59"/>
      <c r="AR57" s="59"/>
      <c r="AS57" s="59"/>
      <c r="AT57" s="60"/>
      <c r="AU57" s="61"/>
      <c r="AV57" s="59"/>
      <c r="AW57" s="59"/>
      <c r="AX57" s="59"/>
      <c r="AY57" s="59"/>
      <c r="AZ57" s="59"/>
      <c r="BA57" s="59"/>
      <c r="BB57" s="59"/>
      <c r="BC57" s="59"/>
      <c r="BD57" s="62"/>
      <c r="BE57" s="3166" t="str">
        <f>CR44</f>
        <v/>
      </c>
      <c r="BF57" s="3167"/>
      <c r="BG57" s="3167"/>
      <c r="BH57" s="3189"/>
      <c r="BI57" s="3188"/>
      <c r="BY57" s="37"/>
      <c r="CI57" s="393"/>
      <c r="CM57" s="46">
        <v>37</v>
      </c>
      <c r="CN57" s="49">
        <f t="shared" si="31"/>
        <v>0</v>
      </c>
      <c r="CO57" s="51" t="str">
        <f t="shared" si="29"/>
        <v/>
      </c>
      <c r="CQ57" s="49">
        <f t="shared" si="30"/>
        <v>0</v>
      </c>
      <c r="CR57" s="51" t="str">
        <f t="shared" si="28"/>
        <v/>
      </c>
      <c r="CS57" s="38"/>
    </row>
    <row r="58" spans="1:100" ht="12.9" customHeight="1">
      <c r="A58" s="3056"/>
      <c r="B58" s="3217"/>
      <c r="C58" s="3218"/>
      <c r="D58" s="3186"/>
      <c r="E58" s="3181" t="str">
        <f>CO43</f>
        <v/>
      </c>
      <c r="F58" s="3182"/>
      <c r="G58" s="58"/>
      <c r="H58" s="59"/>
      <c r="I58" s="59"/>
      <c r="J58" s="59"/>
      <c r="K58" s="59"/>
      <c r="L58" s="59"/>
      <c r="M58" s="59"/>
      <c r="N58" s="59"/>
      <c r="O58" s="59"/>
      <c r="P58" s="60"/>
      <c r="Q58" s="61"/>
      <c r="R58" s="59"/>
      <c r="S58" s="59"/>
      <c r="T58" s="59"/>
      <c r="U58" s="59"/>
      <c r="V58" s="59"/>
      <c r="W58" s="59"/>
      <c r="X58" s="59"/>
      <c r="Y58" s="59"/>
      <c r="Z58" s="60"/>
      <c r="AA58" s="61"/>
      <c r="AB58" s="59"/>
      <c r="AC58" s="59"/>
      <c r="AD58" s="59"/>
      <c r="AE58" s="59"/>
      <c r="AF58" s="59"/>
      <c r="AG58" s="59"/>
      <c r="AH58" s="59"/>
      <c r="AI58" s="59"/>
      <c r="AJ58" s="60"/>
      <c r="AK58" s="61"/>
      <c r="AL58" s="59"/>
      <c r="AM58" s="59"/>
      <c r="AN58" s="59"/>
      <c r="AO58" s="59"/>
      <c r="AP58" s="59"/>
      <c r="AQ58" s="59"/>
      <c r="AR58" s="59"/>
      <c r="AS58" s="59"/>
      <c r="AT58" s="60"/>
      <c r="AU58" s="61"/>
      <c r="AV58" s="59"/>
      <c r="AW58" s="59"/>
      <c r="AX58" s="59"/>
      <c r="AY58" s="59"/>
      <c r="AZ58" s="59"/>
      <c r="BA58" s="59"/>
      <c r="BB58" s="59"/>
      <c r="BC58" s="59"/>
      <c r="BD58" s="62"/>
      <c r="BE58" s="3166" t="str">
        <f>CR43</f>
        <v/>
      </c>
      <c r="BF58" s="3167"/>
      <c r="BG58" s="3167"/>
      <c r="BH58" s="3189"/>
      <c r="BI58" s="3188"/>
      <c r="BY58" s="37"/>
      <c r="CC58" s="3168" t="s">
        <v>90</v>
      </c>
      <c r="CM58" s="46">
        <v>38</v>
      </c>
      <c r="CN58" s="49">
        <f t="shared" si="31"/>
        <v>0</v>
      </c>
      <c r="CO58" s="51" t="str">
        <f t="shared" si="29"/>
        <v/>
      </c>
      <c r="CQ58" s="49">
        <f t="shared" si="30"/>
        <v>0</v>
      </c>
      <c r="CR58" s="51" t="str">
        <f t="shared" si="28"/>
        <v/>
      </c>
      <c r="CS58" s="38"/>
    </row>
    <row r="59" spans="1:100" ht="12.9" customHeight="1">
      <c r="A59" s="3056"/>
      <c r="B59" s="3217"/>
      <c r="C59" s="3218"/>
      <c r="D59" s="3186"/>
      <c r="E59" s="3181" t="str">
        <f>CO42</f>
        <v/>
      </c>
      <c r="F59" s="3182"/>
      <c r="G59" s="58"/>
      <c r="H59" s="59"/>
      <c r="I59" s="59"/>
      <c r="J59" s="59"/>
      <c r="K59" s="59"/>
      <c r="L59" s="59"/>
      <c r="M59" s="59"/>
      <c r="N59" s="59"/>
      <c r="O59" s="59"/>
      <c r="P59" s="60"/>
      <c r="Q59" s="61"/>
      <c r="R59" s="59"/>
      <c r="S59" s="59"/>
      <c r="T59" s="59"/>
      <c r="U59" s="59"/>
      <c r="V59" s="59"/>
      <c r="W59" s="59"/>
      <c r="X59" s="59"/>
      <c r="Y59" s="59"/>
      <c r="Z59" s="60"/>
      <c r="AA59" s="61"/>
      <c r="AB59" s="59"/>
      <c r="AC59" s="59"/>
      <c r="AD59" s="59"/>
      <c r="AE59" s="59"/>
      <c r="AF59" s="59"/>
      <c r="AG59" s="59"/>
      <c r="AH59" s="59"/>
      <c r="AI59" s="59"/>
      <c r="AJ59" s="60"/>
      <c r="AK59" s="61"/>
      <c r="AL59" s="59"/>
      <c r="AM59" s="59"/>
      <c r="AN59" s="59"/>
      <c r="AO59" s="59"/>
      <c r="AP59" s="59"/>
      <c r="AQ59" s="59"/>
      <c r="AR59" s="59"/>
      <c r="AS59" s="59"/>
      <c r="AT59" s="60"/>
      <c r="AU59" s="61"/>
      <c r="AV59" s="59"/>
      <c r="AW59" s="59"/>
      <c r="AX59" s="59"/>
      <c r="AY59" s="59"/>
      <c r="AZ59" s="59"/>
      <c r="BA59" s="59"/>
      <c r="BB59" s="59"/>
      <c r="BC59" s="59"/>
      <c r="BD59" s="62"/>
      <c r="BE59" s="3166" t="str">
        <f>CR42</f>
        <v/>
      </c>
      <c r="BF59" s="3167"/>
      <c r="BG59" s="3167"/>
      <c r="BH59" s="3189"/>
      <c r="BI59" s="3188"/>
      <c r="BY59" s="37"/>
      <c r="CB59" s="41">
        <f>AX88</f>
        <v>0</v>
      </c>
      <c r="CC59" s="3168"/>
      <c r="CM59" s="46">
        <v>39</v>
      </c>
      <c r="CN59" s="49">
        <f t="shared" si="31"/>
        <v>0</v>
      </c>
      <c r="CO59" s="51" t="str">
        <f t="shared" si="29"/>
        <v/>
      </c>
      <c r="CQ59" s="49">
        <f t="shared" si="30"/>
        <v>0</v>
      </c>
      <c r="CR59" s="51" t="str">
        <f t="shared" si="28"/>
        <v/>
      </c>
      <c r="CS59" s="38"/>
    </row>
    <row r="60" spans="1:100" ht="12.9" customHeight="1">
      <c r="A60" s="3056"/>
      <c r="B60" s="3217"/>
      <c r="C60" s="3218"/>
      <c r="D60" s="3186"/>
      <c r="E60" s="3181" t="str">
        <f>CO41</f>
        <v/>
      </c>
      <c r="F60" s="3182"/>
      <c r="G60" s="58"/>
      <c r="H60" s="59"/>
      <c r="I60" s="59"/>
      <c r="J60" s="59"/>
      <c r="K60" s="59"/>
      <c r="L60" s="59"/>
      <c r="M60" s="59"/>
      <c r="N60" s="59"/>
      <c r="O60" s="59"/>
      <c r="P60" s="60"/>
      <c r="Q60" s="61"/>
      <c r="R60" s="59"/>
      <c r="S60" s="59"/>
      <c r="T60" s="59"/>
      <c r="U60" s="59"/>
      <c r="V60" s="59"/>
      <c r="W60" s="59"/>
      <c r="X60" s="59"/>
      <c r="Y60" s="59"/>
      <c r="Z60" s="60"/>
      <c r="AA60" s="61"/>
      <c r="AB60" s="59"/>
      <c r="AC60" s="59"/>
      <c r="AD60" s="59"/>
      <c r="AE60" s="59"/>
      <c r="AF60" s="59"/>
      <c r="AG60" s="59"/>
      <c r="AH60" s="59"/>
      <c r="AI60" s="59"/>
      <c r="AJ60" s="60"/>
      <c r="AK60" s="61"/>
      <c r="AL60" s="59"/>
      <c r="AM60" s="59"/>
      <c r="AN60" s="59"/>
      <c r="AO60" s="59"/>
      <c r="AP60" s="59"/>
      <c r="AQ60" s="59"/>
      <c r="AR60" s="59"/>
      <c r="AS60" s="59"/>
      <c r="AT60" s="60"/>
      <c r="AU60" s="61"/>
      <c r="AV60" s="59"/>
      <c r="AW60" s="59"/>
      <c r="AX60" s="59"/>
      <c r="AY60" s="59"/>
      <c r="AZ60" s="59"/>
      <c r="BA60" s="59"/>
      <c r="BB60" s="59"/>
      <c r="BC60" s="59"/>
      <c r="BD60" s="62"/>
      <c r="BE60" s="3166" t="str">
        <f>CR41</f>
        <v/>
      </c>
      <c r="BF60" s="3167"/>
      <c r="BG60" s="3167"/>
      <c r="BH60" s="3189"/>
      <c r="BI60" s="3188"/>
      <c r="BY60" s="37"/>
      <c r="CB60" s="30" t="s">
        <v>91</v>
      </c>
      <c r="CC60" s="3169"/>
      <c r="CM60" s="46">
        <v>40</v>
      </c>
      <c r="CN60" s="52">
        <f t="shared" si="31"/>
        <v>0</v>
      </c>
      <c r="CO60" s="50" t="str">
        <f t="shared" si="29"/>
        <v/>
      </c>
      <c r="CQ60" s="52">
        <f t="shared" si="30"/>
        <v>0</v>
      </c>
      <c r="CR60" s="50" t="str">
        <f t="shared" si="28"/>
        <v/>
      </c>
      <c r="CS60" s="38"/>
    </row>
    <row r="61" spans="1:100" ht="12.9" customHeight="1">
      <c r="A61" s="3056"/>
      <c r="B61" s="3217"/>
      <c r="C61" s="3218"/>
      <c r="D61" s="3183" t="str">
        <f>CO40</f>
        <v/>
      </c>
      <c r="E61" s="3183"/>
      <c r="F61" s="3184"/>
      <c r="G61" s="65"/>
      <c r="H61" s="66"/>
      <c r="I61" s="66"/>
      <c r="J61" s="66"/>
      <c r="K61" s="66"/>
      <c r="L61" s="66"/>
      <c r="M61" s="66"/>
      <c r="N61" s="66"/>
      <c r="O61" s="66"/>
      <c r="P61" s="67"/>
      <c r="Q61" s="68"/>
      <c r="R61" s="66"/>
      <c r="S61" s="66"/>
      <c r="T61" s="66"/>
      <c r="U61" s="66"/>
      <c r="V61" s="66"/>
      <c r="W61" s="66"/>
      <c r="X61" s="66"/>
      <c r="Y61" s="66"/>
      <c r="Z61" s="67"/>
      <c r="AA61" s="68"/>
      <c r="AB61" s="66"/>
      <c r="AC61" s="66"/>
      <c r="AD61" s="66"/>
      <c r="AE61" s="66"/>
      <c r="AF61" s="66"/>
      <c r="AG61" s="66"/>
      <c r="AH61" s="66"/>
      <c r="AI61" s="66"/>
      <c r="AJ61" s="67"/>
      <c r="AK61" s="68"/>
      <c r="AL61" s="66"/>
      <c r="AM61" s="66"/>
      <c r="AN61" s="66"/>
      <c r="AO61" s="66"/>
      <c r="AP61" s="66"/>
      <c r="AQ61" s="66"/>
      <c r="AR61" s="66"/>
      <c r="AS61" s="66"/>
      <c r="AT61" s="67"/>
      <c r="AU61" s="68"/>
      <c r="AV61" s="66"/>
      <c r="AW61" s="66"/>
      <c r="AX61" s="66"/>
      <c r="AY61" s="66"/>
      <c r="AZ61" s="66"/>
      <c r="BA61" s="66"/>
      <c r="BB61" s="66"/>
      <c r="BC61" s="66"/>
      <c r="BD61" s="69"/>
      <c r="BE61" s="3174" t="str">
        <f>CR40</f>
        <v/>
      </c>
      <c r="BF61" s="3175"/>
      <c r="BG61" s="3175"/>
      <c r="BH61" s="3189"/>
      <c r="BI61" s="3188"/>
      <c r="BY61" s="37"/>
      <c r="CA61" s="40" t="s">
        <v>73</v>
      </c>
      <c r="CB61" s="40" t="s">
        <v>30</v>
      </c>
      <c r="CC61" s="40" t="s">
        <v>30</v>
      </c>
      <c r="CE61" s="3170" t="s">
        <v>441</v>
      </c>
      <c r="CF61" s="3170"/>
      <c r="CM61" s="46">
        <v>41</v>
      </c>
      <c r="CN61" s="49">
        <f t="shared" si="31"/>
        <v>0</v>
      </c>
      <c r="CO61" s="51" t="str">
        <f t="shared" si="29"/>
        <v/>
      </c>
      <c r="CQ61" s="49">
        <f t="shared" si="30"/>
        <v>0</v>
      </c>
      <c r="CR61" s="51" t="str">
        <f t="shared" si="28"/>
        <v/>
      </c>
      <c r="CS61" s="38"/>
    </row>
    <row r="62" spans="1:100" ht="12.9" customHeight="1">
      <c r="A62" s="3056"/>
      <c r="B62" s="3217"/>
      <c r="C62" s="3218"/>
      <c r="D62" s="3185"/>
      <c r="E62" s="3181" t="str">
        <f>CO39</f>
        <v/>
      </c>
      <c r="F62" s="3182"/>
      <c r="G62" s="71"/>
      <c r="H62" s="72"/>
      <c r="I62" s="72"/>
      <c r="J62" s="72"/>
      <c r="K62" s="72"/>
      <c r="L62" s="72"/>
      <c r="M62" s="72"/>
      <c r="N62" s="72"/>
      <c r="O62" s="72"/>
      <c r="P62" s="73"/>
      <c r="Q62" s="74"/>
      <c r="R62" s="72"/>
      <c r="S62" s="72"/>
      <c r="T62" s="72"/>
      <c r="U62" s="72"/>
      <c r="V62" s="72"/>
      <c r="W62" s="72"/>
      <c r="X62" s="72"/>
      <c r="Y62" s="72"/>
      <c r="Z62" s="73"/>
      <c r="AA62" s="74"/>
      <c r="AB62" s="72"/>
      <c r="AC62" s="72"/>
      <c r="AD62" s="72"/>
      <c r="AE62" s="72"/>
      <c r="AF62" s="72"/>
      <c r="AG62" s="72"/>
      <c r="AH62" s="72"/>
      <c r="AI62" s="72"/>
      <c r="AJ62" s="73"/>
      <c r="AK62" s="74"/>
      <c r="AL62" s="72"/>
      <c r="AM62" s="72"/>
      <c r="AN62" s="72"/>
      <c r="AO62" s="72"/>
      <c r="AP62" s="72"/>
      <c r="AQ62" s="72"/>
      <c r="AR62" s="72"/>
      <c r="AS62" s="72"/>
      <c r="AT62" s="73"/>
      <c r="AU62" s="74"/>
      <c r="AV62" s="72"/>
      <c r="AW62" s="72"/>
      <c r="AX62" s="72"/>
      <c r="AY62" s="72"/>
      <c r="AZ62" s="72"/>
      <c r="BA62" s="72"/>
      <c r="BB62" s="72"/>
      <c r="BC62" s="72"/>
      <c r="BD62" s="75"/>
      <c r="BE62" s="3166" t="str">
        <f>CR39</f>
        <v/>
      </c>
      <c r="BF62" s="3167"/>
      <c r="BG62" s="3167"/>
      <c r="BH62" s="3189"/>
      <c r="BI62" s="3188"/>
      <c r="BY62" s="37"/>
      <c r="CA62" s="46">
        <v>0</v>
      </c>
      <c r="CB62" s="47">
        <v>0</v>
      </c>
      <c r="CC62" s="48">
        <v>0</v>
      </c>
      <c r="CE62" s="3170" t="s">
        <v>440</v>
      </c>
      <c r="CF62" s="3170"/>
      <c r="CM62" s="46">
        <v>42</v>
      </c>
      <c r="CN62" s="49">
        <f t="shared" si="31"/>
        <v>0</v>
      </c>
      <c r="CO62" s="51" t="str">
        <f t="shared" si="29"/>
        <v/>
      </c>
      <c r="CQ62" s="49">
        <f t="shared" si="30"/>
        <v>0</v>
      </c>
      <c r="CR62" s="51" t="str">
        <f t="shared" si="28"/>
        <v/>
      </c>
      <c r="CS62" s="38"/>
    </row>
    <row r="63" spans="1:100" ht="12.9" customHeight="1">
      <c r="A63" s="3056"/>
      <c r="B63" s="3217"/>
      <c r="C63" s="3218"/>
      <c r="D63" s="3186"/>
      <c r="E63" s="3181" t="str">
        <f>CO38</f>
        <v/>
      </c>
      <c r="F63" s="3182"/>
      <c r="G63" s="58"/>
      <c r="H63" s="59"/>
      <c r="I63" s="59"/>
      <c r="J63" s="59"/>
      <c r="K63" s="59"/>
      <c r="L63" s="59"/>
      <c r="M63" s="59"/>
      <c r="N63" s="59"/>
      <c r="O63" s="59"/>
      <c r="P63" s="60"/>
      <c r="Q63" s="61"/>
      <c r="R63" s="59"/>
      <c r="S63" s="59"/>
      <c r="T63" s="59"/>
      <c r="U63" s="59"/>
      <c r="V63" s="59"/>
      <c r="W63" s="59"/>
      <c r="X63" s="59"/>
      <c r="Y63" s="59"/>
      <c r="Z63" s="60"/>
      <c r="AA63" s="61"/>
      <c r="AB63" s="59"/>
      <c r="AC63" s="59"/>
      <c r="AD63" s="59"/>
      <c r="AE63" s="59"/>
      <c r="AF63" s="59"/>
      <c r="AG63" s="59"/>
      <c r="AH63" s="59"/>
      <c r="AI63" s="59"/>
      <c r="AJ63" s="60"/>
      <c r="AK63" s="61"/>
      <c r="AL63" s="59"/>
      <c r="AM63" s="59"/>
      <c r="AN63" s="59"/>
      <c r="AO63" s="59"/>
      <c r="AP63" s="59"/>
      <c r="AQ63" s="59"/>
      <c r="AR63" s="59"/>
      <c r="AS63" s="59"/>
      <c r="AT63" s="60"/>
      <c r="AU63" s="61"/>
      <c r="AV63" s="59"/>
      <c r="AW63" s="59"/>
      <c r="AX63" s="59"/>
      <c r="AY63" s="59"/>
      <c r="AZ63" s="59"/>
      <c r="BA63" s="59"/>
      <c r="BB63" s="59"/>
      <c r="BC63" s="59"/>
      <c r="BD63" s="62"/>
      <c r="BE63" s="3166" t="str">
        <f>CR38</f>
        <v/>
      </c>
      <c r="BF63" s="3167"/>
      <c r="BG63" s="3167"/>
      <c r="BH63" s="3189"/>
      <c r="BI63" s="3188"/>
      <c r="BY63" s="37"/>
      <c r="CA63" s="46">
        <v>1</v>
      </c>
      <c r="CB63" s="49">
        <f>CB59/50</f>
        <v>0</v>
      </c>
      <c r="CC63" s="51" t="str">
        <f>IF(AX$88=0,"",ROUND(CB63,2))</f>
        <v/>
      </c>
      <c r="CE63" s="3110">
        <f>'Concr. Pg 1'!DX120</f>
        <v>0</v>
      </c>
      <c r="CF63" s="3110"/>
      <c r="CM63" s="46">
        <v>43</v>
      </c>
      <c r="CN63" s="49">
        <f t="shared" si="31"/>
        <v>0</v>
      </c>
      <c r="CO63" s="51" t="str">
        <f t="shared" si="29"/>
        <v/>
      </c>
      <c r="CQ63" s="49">
        <f t="shared" si="30"/>
        <v>0</v>
      </c>
      <c r="CR63" s="51" t="str">
        <f t="shared" si="28"/>
        <v/>
      </c>
      <c r="CS63" s="38"/>
    </row>
    <row r="64" spans="1:100" ht="12.9" customHeight="1">
      <c r="A64" s="3056"/>
      <c r="B64" s="3217"/>
      <c r="C64" s="3218"/>
      <c r="D64" s="3186"/>
      <c r="E64" s="3181" t="str">
        <f>CO37</f>
        <v/>
      </c>
      <c r="F64" s="3182"/>
      <c r="G64" s="58"/>
      <c r="H64" s="59"/>
      <c r="I64" s="59"/>
      <c r="J64" s="59"/>
      <c r="K64" s="59"/>
      <c r="L64" s="59"/>
      <c r="M64" s="59"/>
      <c r="N64" s="59"/>
      <c r="O64" s="59"/>
      <c r="P64" s="60"/>
      <c r="Q64" s="61"/>
      <c r="R64" s="59"/>
      <c r="S64" s="59"/>
      <c r="T64" s="59"/>
      <c r="U64" s="59"/>
      <c r="V64" s="59"/>
      <c r="W64" s="59"/>
      <c r="X64" s="59"/>
      <c r="Y64" s="59"/>
      <c r="Z64" s="60"/>
      <c r="AA64" s="61"/>
      <c r="AB64" s="59"/>
      <c r="AC64" s="59"/>
      <c r="AD64" s="59"/>
      <c r="AE64" s="59"/>
      <c r="AF64" s="59"/>
      <c r="AG64" s="59"/>
      <c r="AH64" s="59"/>
      <c r="AI64" s="59"/>
      <c r="AJ64" s="60"/>
      <c r="AK64" s="61"/>
      <c r="AL64" s="59"/>
      <c r="AM64" s="59"/>
      <c r="AN64" s="59"/>
      <c r="AO64" s="59"/>
      <c r="AP64" s="59"/>
      <c r="AQ64" s="59"/>
      <c r="AR64" s="59"/>
      <c r="AS64" s="59"/>
      <c r="AT64" s="60"/>
      <c r="AU64" s="61"/>
      <c r="AV64" s="59"/>
      <c r="AW64" s="59"/>
      <c r="AX64" s="59"/>
      <c r="AY64" s="59"/>
      <c r="AZ64" s="59"/>
      <c r="BA64" s="59"/>
      <c r="BB64" s="59"/>
      <c r="BC64" s="59"/>
      <c r="BD64" s="62"/>
      <c r="BE64" s="3166" t="str">
        <f>CR37</f>
        <v/>
      </c>
      <c r="BF64" s="3167"/>
      <c r="BG64" s="3167"/>
      <c r="BH64" s="3189"/>
      <c r="BI64" s="3188"/>
      <c r="BY64" s="37"/>
      <c r="CA64" s="46">
        <v>2</v>
      </c>
      <c r="CB64" s="49">
        <f t="shared" ref="CB64:CB95" si="32">CB63+CB$63</f>
        <v>0</v>
      </c>
      <c r="CC64" s="51" t="str">
        <f t="shared" ref="CC64:CC95" si="33">IF(AX$88=0,"",CB64)</f>
        <v/>
      </c>
      <c r="CE64" s="3110">
        <f>'Concr. Pg 1'!DX121</f>
        <v>0</v>
      </c>
      <c r="CF64" s="3110"/>
      <c r="CM64" s="46">
        <v>44</v>
      </c>
      <c r="CN64" s="49">
        <f t="shared" si="31"/>
        <v>0</v>
      </c>
      <c r="CO64" s="51" t="str">
        <f t="shared" si="29"/>
        <v/>
      </c>
      <c r="CQ64" s="49">
        <f t="shared" si="30"/>
        <v>0</v>
      </c>
      <c r="CR64" s="51" t="str">
        <f t="shared" si="28"/>
        <v/>
      </c>
      <c r="CS64" s="38"/>
    </row>
    <row r="65" spans="1:97" ht="12.9" customHeight="1">
      <c r="A65" s="3056"/>
      <c r="B65" s="3217"/>
      <c r="C65" s="3218"/>
      <c r="D65" s="3186"/>
      <c r="E65" s="3181" t="str">
        <f>CO36</f>
        <v/>
      </c>
      <c r="F65" s="3182"/>
      <c r="G65" s="58"/>
      <c r="H65" s="59"/>
      <c r="I65" s="59"/>
      <c r="J65" s="59"/>
      <c r="K65" s="59"/>
      <c r="L65" s="59"/>
      <c r="M65" s="59"/>
      <c r="N65" s="59"/>
      <c r="O65" s="59"/>
      <c r="P65" s="60"/>
      <c r="Q65" s="61"/>
      <c r="R65" s="59"/>
      <c r="S65" s="59"/>
      <c r="T65" s="59"/>
      <c r="U65" s="59"/>
      <c r="V65" s="59"/>
      <c r="W65" s="59"/>
      <c r="X65" s="59"/>
      <c r="Y65" s="59"/>
      <c r="Z65" s="60"/>
      <c r="AA65" s="61"/>
      <c r="AB65" s="59"/>
      <c r="AC65" s="59"/>
      <c r="AD65" s="59"/>
      <c r="AE65" s="59"/>
      <c r="AF65" s="59"/>
      <c r="AG65" s="59"/>
      <c r="AH65" s="59"/>
      <c r="AI65" s="59"/>
      <c r="AJ65" s="60"/>
      <c r="AK65" s="61"/>
      <c r="AL65" s="59"/>
      <c r="AM65" s="59"/>
      <c r="AN65" s="59"/>
      <c r="AO65" s="59"/>
      <c r="AP65" s="59"/>
      <c r="AQ65" s="59"/>
      <c r="AR65" s="59"/>
      <c r="AS65" s="59"/>
      <c r="AT65" s="60"/>
      <c r="AU65" s="61"/>
      <c r="AV65" s="59"/>
      <c r="AW65" s="59"/>
      <c r="AX65" s="59"/>
      <c r="AY65" s="59"/>
      <c r="AZ65" s="59"/>
      <c r="BA65" s="59"/>
      <c r="BB65" s="59"/>
      <c r="BC65" s="59"/>
      <c r="BD65" s="62"/>
      <c r="BE65" s="3166" t="str">
        <f>CR36</f>
        <v/>
      </c>
      <c r="BF65" s="3167"/>
      <c r="BG65" s="3167"/>
      <c r="BH65" s="3189"/>
      <c r="BI65" s="3188"/>
      <c r="BY65" s="37"/>
      <c r="CA65" s="46">
        <v>3</v>
      </c>
      <c r="CB65" s="49">
        <f t="shared" si="32"/>
        <v>0</v>
      </c>
      <c r="CC65" s="51" t="str">
        <f t="shared" si="33"/>
        <v/>
      </c>
      <c r="CE65" s="3074">
        <f>'Concr. Pg 1'!DX122</f>
        <v>0</v>
      </c>
      <c r="CF65" s="3074"/>
      <c r="CI65" s="371"/>
      <c r="CM65" s="46">
        <v>45</v>
      </c>
      <c r="CN65" s="49">
        <f t="shared" si="31"/>
        <v>0</v>
      </c>
      <c r="CO65" s="51" t="str">
        <f t="shared" si="29"/>
        <v/>
      </c>
      <c r="CQ65" s="49">
        <f t="shared" si="30"/>
        <v>0</v>
      </c>
      <c r="CR65" s="51" t="str">
        <f t="shared" si="28"/>
        <v/>
      </c>
      <c r="CS65" s="38"/>
    </row>
    <row r="66" spans="1:97" ht="12.9" customHeight="1">
      <c r="A66" s="3056"/>
      <c r="B66" s="3217"/>
      <c r="C66" s="3218"/>
      <c r="D66" s="3186"/>
      <c r="E66" s="3181" t="str">
        <f>CO35</f>
        <v/>
      </c>
      <c r="F66" s="3182"/>
      <c r="G66" s="58"/>
      <c r="H66" s="59"/>
      <c r="I66" s="59"/>
      <c r="J66" s="59"/>
      <c r="K66" s="59"/>
      <c r="L66" s="59"/>
      <c r="M66" s="59"/>
      <c r="N66" s="59"/>
      <c r="O66" s="59"/>
      <c r="P66" s="60"/>
      <c r="Q66" s="61"/>
      <c r="R66" s="59"/>
      <c r="S66" s="59"/>
      <c r="T66" s="59"/>
      <c r="U66" s="59"/>
      <c r="V66" s="59"/>
      <c r="W66" s="59"/>
      <c r="X66" s="59"/>
      <c r="Y66" s="59"/>
      <c r="Z66" s="60"/>
      <c r="AA66" s="61"/>
      <c r="AB66" s="59"/>
      <c r="AC66" s="59"/>
      <c r="AD66" s="59"/>
      <c r="AE66" s="59"/>
      <c r="AF66" s="59"/>
      <c r="AG66" s="59"/>
      <c r="AH66" s="59"/>
      <c r="AI66" s="59"/>
      <c r="AJ66" s="60"/>
      <c r="AK66" s="61"/>
      <c r="AL66" s="59"/>
      <c r="AM66" s="59"/>
      <c r="AN66" s="59"/>
      <c r="AO66" s="59"/>
      <c r="AP66" s="59"/>
      <c r="AQ66" s="59"/>
      <c r="AR66" s="59"/>
      <c r="AS66" s="59"/>
      <c r="AT66" s="60"/>
      <c r="AU66" s="61"/>
      <c r="AV66" s="59"/>
      <c r="AW66" s="59"/>
      <c r="AX66" s="59"/>
      <c r="AY66" s="59"/>
      <c r="AZ66" s="59"/>
      <c r="BA66" s="59"/>
      <c r="BB66" s="59"/>
      <c r="BC66" s="59"/>
      <c r="BD66" s="62"/>
      <c r="BE66" s="3166" t="str">
        <f>CR35</f>
        <v/>
      </c>
      <c r="BF66" s="3167"/>
      <c r="BG66" s="3167"/>
      <c r="BH66" s="3189"/>
      <c r="BI66" s="3188"/>
      <c r="BY66" s="37"/>
      <c r="CA66" s="46">
        <v>4</v>
      </c>
      <c r="CB66" s="49">
        <f t="shared" si="32"/>
        <v>0</v>
      </c>
      <c r="CC66" s="51" t="str">
        <f t="shared" si="33"/>
        <v/>
      </c>
      <c r="CE66" s="3110">
        <f>'Concr. Pg 1'!DX123</f>
        <v>0</v>
      </c>
      <c r="CF66" s="3110"/>
      <c r="CM66" s="46">
        <v>46</v>
      </c>
      <c r="CN66" s="49">
        <f t="shared" si="31"/>
        <v>0</v>
      </c>
      <c r="CO66" s="51" t="str">
        <f t="shared" si="29"/>
        <v/>
      </c>
      <c r="CQ66" s="49">
        <f t="shared" si="30"/>
        <v>0</v>
      </c>
      <c r="CR66" s="51" t="str">
        <f t="shared" si="28"/>
        <v/>
      </c>
      <c r="CS66" s="38"/>
    </row>
    <row r="67" spans="1:97" ht="12.9" customHeight="1">
      <c r="A67" s="3056"/>
      <c r="B67" s="3217"/>
      <c r="C67" s="3218"/>
      <c r="D67" s="3186"/>
      <c r="E67" s="3181" t="str">
        <f>CO34</f>
        <v/>
      </c>
      <c r="F67" s="3182"/>
      <c r="G67" s="58"/>
      <c r="H67" s="59"/>
      <c r="I67" s="59"/>
      <c r="J67" s="59"/>
      <c r="K67" s="59"/>
      <c r="L67" s="59"/>
      <c r="M67" s="59"/>
      <c r="N67" s="59"/>
      <c r="O67" s="59"/>
      <c r="P67" s="60"/>
      <c r="Q67" s="61"/>
      <c r="R67" s="59"/>
      <c r="S67" s="59"/>
      <c r="T67" s="59"/>
      <c r="U67" s="59"/>
      <c r="V67" s="59"/>
      <c r="W67" s="59"/>
      <c r="X67" s="59"/>
      <c r="Y67" s="59"/>
      <c r="Z67" s="60"/>
      <c r="AA67" s="61"/>
      <c r="AB67" s="59"/>
      <c r="AC67" s="59"/>
      <c r="AD67" s="59"/>
      <c r="AE67" s="59"/>
      <c r="AF67" s="59"/>
      <c r="AG67" s="59"/>
      <c r="AH67" s="59"/>
      <c r="AI67" s="59"/>
      <c r="AJ67" s="60"/>
      <c r="AK67" s="61"/>
      <c r="AL67" s="59"/>
      <c r="AM67" s="59"/>
      <c r="AN67" s="59"/>
      <c r="AO67" s="59"/>
      <c r="AP67" s="59"/>
      <c r="AQ67" s="59"/>
      <c r="AR67" s="59"/>
      <c r="AS67" s="59"/>
      <c r="AT67" s="60"/>
      <c r="AU67" s="61"/>
      <c r="AV67" s="59"/>
      <c r="AW67" s="59"/>
      <c r="AX67" s="59"/>
      <c r="AY67" s="59"/>
      <c r="AZ67" s="59"/>
      <c r="BA67" s="59"/>
      <c r="BB67" s="59"/>
      <c r="BC67" s="59"/>
      <c r="BD67" s="62"/>
      <c r="BE67" s="3166" t="str">
        <f>CR34</f>
        <v/>
      </c>
      <c r="BF67" s="3167"/>
      <c r="BG67" s="3167"/>
      <c r="BH67" s="3189"/>
      <c r="BI67" s="3188"/>
      <c r="BY67" s="37"/>
      <c r="CA67" s="46">
        <v>5</v>
      </c>
      <c r="CB67" s="49">
        <f t="shared" si="32"/>
        <v>0</v>
      </c>
      <c r="CC67" s="51" t="str">
        <f t="shared" si="33"/>
        <v/>
      </c>
      <c r="CE67" s="3074">
        <f>'Concr. Pg 1'!DX124</f>
        <v>0</v>
      </c>
      <c r="CF67" s="3074"/>
      <c r="CJ67" s="160"/>
      <c r="CM67" s="46">
        <v>47</v>
      </c>
      <c r="CN67" s="49">
        <f t="shared" si="31"/>
        <v>0</v>
      </c>
      <c r="CO67" s="51" t="str">
        <f t="shared" si="29"/>
        <v/>
      </c>
      <c r="CQ67" s="49">
        <f t="shared" si="30"/>
        <v>0</v>
      </c>
      <c r="CR67" s="51" t="str">
        <f t="shared" si="28"/>
        <v/>
      </c>
      <c r="CS67" s="38"/>
    </row>
    <row r="68" spans="1:97" ht="12.9" customHeight="1">
      <c r="A68" s="3056"/>
      <c r="B68" s="3217"/>
      <c r="C68" s="3218"/>
      <c r="D68" s="3186"/>
      <c r="E68" s="3181" t="str">
        <f>CO33</f>
        <v/>
      </c>
      <c r="F68" s="3182"/>
      <c r="G68" s="58"/>
      <c r="H68" s="59"/>
      <c r="I68" s="59"/>
      <c r="J68" s="59"/>
      <c r="K68" s="59"/>
      <c r="L68" s="59"/>
      <c r="M68" s="59"/>
      <c r="N68" s="59"/>
      <c r="O68" s="59"/>
      <c r="P68" s="60"/>
      <c r="Q68" s="61"/>
      <c r="R68" s="59"/>
      <c r="S68" s="59"/>
      <c r="T68" s="59"/>
      <c r="U68" s="59"/>
      <c r="V68" s="59"/>
      <c r="W68" s="59"/>
      <c r="X68" s="59"/>
      <c r="Y68" s="59"/>
      <c r="Z68" s="60"/>
      <c r="AA68" s="61"/>
      <c r="AB68" s="59"/>
      <c r="AC68" s="59"/>
      <c r="AD68" s="59"/>
      <c r="AE68" s="59"/>
      <c r="AF68" s="59"/>
      <c r="AG68" s="59"/>
      <c r="AH68" s="59"/>
      <c r="AI68" s="59"/>
      <c r="AJ68" s="60"/>
      <c r="AK68" s="61"/>
      <c r="AL68" s="59"/>
      <c r="AM68" s="59"/>
      <c r="AN68" s="59"/>
      <c r="AO68" s="59"/>
      <c r="AP68" s="59"/>
      <c r="AQ68" s="59"/>
      <c r="AR68" s="59"/>
      <c r="AS68" s="59"/>
      <c r="AT68" s="60"/>
      <c r="AU68" s="61"/>
      <c r="AV68" s="59"/>
      <c r="AW68" s="59"/>
      <c r="AX68" s="59"/>
      <c r="AY68" s="59"/>
      <c r="AZ68" s="59"/>
      <c r="BA68" s="59"/>
      <c r="BB68" s="59"/>
      <c r="BC68" s="59"/>
      <c r="BD68" s="62"/>
      <c r="BE68" s="3166" t="str">
        <f>CR33</f>
        <v/>
      </c>
      <c r="BF68" s="3167"/>
      <c r="BG68" s="3167"/>
      <c r="BH68" s="3189"/>
      <c r="BI68" s="3188"/>
      <c r="BY68" s="37"/>
      <c r="CA68" s="46">
        <v>6</v>
      </c>
      <c r="CB68" s="49">
        <f t="shared" si="32"/>
        <v>0</v>
      </c>
      <c r="CC68" s="51" t="str">
        <f t="shared" si="33"/>
        <v/>
      </c>
      <c r="CE68" s="3075">
        <f>'Concr. Pg 1'!L28</f>
        <v>0</v>
      </c>
      <c r="CF68" s="3075"/>
      <c r="CI68" s="371">
        <f>'Concr. Pg 1'!CQ29</f>
        <v>0</v>
      </c>
      <c r="CJ68" s="370" t="s">
        <v>410</v>
      </c>
      <c r="CM68" s="46">
        <v>48</v>
      </c>
      <c r="CN68" s="49">
        <f t="shared" si="31"/>
        <v>0</v>
      </c>
      <c r="CO68" s="51" t="str">
        <f t="shared" si="29"/>
        <v/>
      </c>
      <c r="CQ68" s="49">
        <f t="shared" si="30"/>
        <v>0</v>
      </c>
      <c r="CR68" s="51" t="str">
        <f t="shared" si="28"/>
        <v/>
      </c>
      <c r="CS68" s="38"/>
    </row>
    <row r="69" spans="1:97" ht="12.9" customHeight="1">
      <c r="A69" s="3056"/>
      <c r="B69" s="3217"/>
      <c r="C69" s="3218"/>
      <c r="D69" s="3186"/>
      <c r="E69" s="3181" t="str">
        <f>CO32</f>
        <v/>
      </c>
      <c r="F69" s="3182"/>
      <c r="G69" s="58"/>
      <c r="H69" s="59"/>
      <c r="I69" s="59"/>
      <c r="J69" s="59"/>
      <c r="K69" s="59"/>
      <c r="L69" s="59"/>
      <c r="M69" s="59"/>
      <c r="N69" s="59"/>
      <c r="O69" s="59"/>
      <c r="P69" s="60"/>
      <c r="Q69" s="61"/>
      <c r="R69" s="59"/>
      <c r="S69" s="59"/>
      <c r="T69" s="59"/>
      <c r="U69" s="59"/>
      <c r="V69" s="59"/>
      <c r="W69" s="59"/>
      <c r="X69" s="59"/>
      <c r="Y69" s="59"/>
      <c r="Z69" s="60"/>
      <c r="AA69" s="61"/>
      <c r="AB69" s="59"/>
      <c r="AC69" s="59"/>
      <c r="AD69" s="59"/>
      <c r="AE69" s="59"/>
      <c r="AF69" s="59"/>
      <c r="AG69" s="59"/>
      <c r="AH69" s="59"/>
      <c r="AI69" s="59"/>
      <c r="AJ69" s="60"/>
      <c r="AK69" s="61"/>
      <c r="AL69" s="59"/>
      <c r="AM69" s="59"/>
      <c r="AN69" s="59"/>
      <c r="AO69" s="59"/>
      <c r="AP69" s="59"/>
      <c r="AQ69" s="59"/>
      <c r="AR69" s="59"/>
      <c r="AS69" s="59"/>
      <c r="AT69" s="60"/>
      <c r="AU69" s="61"/>
      <c r="AV69" s="59"/>
      <c r="AW69" s="59"/>
      <c r="AX69" s="59"/>
      <c r="AY69" s="59"/>
      <c r="AZ69" s="59"/>
      <c r="BA69" s="59"/>
      <c r="BB69" s="59"/>
      <c r="BC69" s="59"/>
      <c r="BD69" s="62"/>
      <c r="BE69" s="3166" t="str">
        <f>CR32</f>
        <v/>
      </c>
      <c r="BF69" s="3167"/>
      <c r="BG69" s="3167"/>
      <c r="BH69" s="3189"/>
      <c r="BI69" s="3188"/>
      <c r="BY69" s="37"/>
      <c r="CA69" s="46">
        <v>7</v>
      </c>
      <c r="CB69" s="49">
        <f t="shared" si="32"/>
        <v>0</v>
      </c>
      <c r="CC69" s="51" t="str">
        <f t="shared" si="33"/>
        <v/>
      </c>
      <c r="CE69" s="3075">
        <f>'Concr. Pg 1'!L31</f>
        <v>0</v>
      </c>
      <c r="CF69" s="3075"/>
      <c r="CI69" s="371">
        <f>'Concr. Pg 1'!CQ37</f>
        <v>0</v>
      </c>
      <c r="CJ69" s="370" t="s">
        <v>409</v>
      </c>
      <c r="CM69" s="46">
        <v>49</v>
      </c>
      <c r="CN69" s="49">
        <f t="shared" si="31"/>
        <v>0</v>
      </c>
      <c r="CO69" s="51" t="str">
        <f t="shared" si="29"/>
        <v/>
      </c>
      <c r="CQ69" s="49">
        <f t="shared" si="30"/>
        <v>0</v>
      </c>
      <c r="CR69" s="51" t="str">
        <f t="shared" si="28"/>
        <v/>
      </c>
      <c r="CS69" s="38"/>
    </row>
    <row r="70" spans="1:97" ht="12.9" customHeight="1">
      <c r="A70" s="3056"/>
      <c r="B70" s="3217"/>
      <c r="C70" s="3218"/>
      <c r="D70" s="3186"/>
      <c r="E70" s="3181" t="str">
        <f>CO31</f>
        <v/>
      </c>
      <c r="F70" s="3182"/>
      <c r="G70" s="58"/>
      <c r="H70" s="59"/>
      <c r="I70" s="59"/>
      <c r="J70" s="59"/>
      <c r="K70" s="59"/>
      <c r="L70" s="59"/>
      <c r="M70" s="59"/>
      <c r="N70" s="59"/>
      <c r="O70" s="59"/>
      <c r="P70" s="60"/>
      <c r="Q70" s="61"/>
      <c r="R70" s="59"/>
      <c r="S70" s="59"/>
      <c r="T70" s="59"/>
      <c r="U70" s="59"/>
      <c r="V70" s="59"/>
      <c r="W70" s="59"/>
      <c r="X70" s="59"/>
      <c r="Y70" s="59"/>
      <c r="Z70" s="60"/>
      <c r="AA70" s="61"/>
      <c r="AB70" s="59"/>
      <c r="AC70" s="59"/>
      <c r="AD70" s="59"/>
      <c r="AE70" s="59"/>
      <c r="AF70" s="59"/>
      <c r="AG70" s="59"/>
      <c r="AH70" s="59"/>
      <c r="AI70" s="59"/>
      <c r="AJ70" s="60"/>
      <c r="AK70" s="61"/>
      <c r="AL70" s="59"/>
      <c r="AM70" s="59"/>
      <c r="AN70" s="59"/>
      <c r="AO70" s="59"/>
      <c r="AP70" s="59"/>
      <c r="AQ70" s="59"/>
      <c r="AR70" s="59"/>
      <c r="AS70" s="59"/>
      <c r="AT70" s="60"/>
      <c r="AU70" s="61"/>
      <c r="AV70" s="59"/>
      <c r="AW70" s="59"/>
      <c r="AX70" s="59"/>
      <c r="AY70" s="59"/>
      <c r="AZ70" s="59"/>
      <c r="BA70" s="59"/>
      <c r="BB70" s="59"/>
      <c r="BC70" s="59"/>
      <c r="BD70" s="62"/>
      <c r="BE70" s="3166" t="str">
        <f>CR31</f>
        <v/>
      </c>
      <c r="BF70" s="3167"/>
      <c r="BG70" s="3167"/>
      <c r="BH70" s="3189"/>
      <c r="BI70" s="3188"/>
      <c r="BY70" s="37"/>
      <c r="CA70" s="46">
        <v>8</v>
      </c>
      <c r="CB70" s="49">
        <f t="shared" si="32"/>
        <v>0</v>
      </c>
      <c r="CC70" s="51" t="str">
        <f t="shared" si="33"/>
        <v/>
      </c>
      <c r="CE70" s="3075">
        <f>'Concr. Pg 1'!L34</f>
        <v>0</v>
      </c>
      <c r="CF70" s="3075"/>
      <c r="CM70" s="46">
        <v>50</v>
      </c>
      <c r="CN70" s="52">
        <f t="shared" si="31"/>
        <v>0</v>
      </c>
      <c r="CO70" s="50" t="str">
        <f t="shared" si="29"/>
        <v/>
      </c>
      <c r="CQ70" s="52">
        <f t="shared" si="30"/>
        <v>0</v>
      </c>
      <c r="CR70" s="50" t="str">
        <f t="shared" si="28"/>
        <v/>
      </c>
      <c r="CS70" s="38"/>
    </row>
    <row r="71" spans="1:97" ht="12.9" customHeight="1">
      <c r="A71" s="3056"/>
      <c r="B71" s="3217"/>
      <c r="C71" s="3218"/>
      <c r="D71" s="3183" t="str">
        <f>CO30</f>
        <v/>
      </c>
      <c r="E71" s="3183"/>
      <c r="F71" s="3184"/>
      <c r="G71" s="65"/>
      <c r="H71" s="66"/>
      <c r="I71" s="66"/>
      <c r="J71" s="66"/>
      <c r="K71" s="66"/>
      <c r="L71" s="66"/>
      <c r="M71" s="66"/>
      <c r="N71" s="66"/>
      <c r="O71" s="66"/>
      <c r="P71" s="67"/>
      <c r="Q71" s="68"/>
      <c r="R71" s="66"/>
      <c r="S71" s="66"/>
      <c r="T71" s="66"/>
      <c r="U71" s="66"/>
      <c r="V71" s="66"/>
      <c r="W71" s="66"/>
      <c r="X71" s="66"/>
      <c r="Y71" s="66"/>
      <c r="Z71" s="67"/>
      <c r="AA71" s="68"/>
      <c r="AB71" s="66"/>
      <c r="AC71" s="66"/>
      <c r="AD71" s="66"/>
      <c r="AE71" s="66"/>
      <c r="AF71" s="66"/>
      <c r="AG71" s="66"/>
      <c r="AH71" s="66"/>
      <c r="AI71" s="66"/>
      <c r="AJ71" s="67"/>
      <c r="AK71" s="68"/>
      <c r="AL71" s="66"/>
      <c r="AM71" s="66"/>
      <c r="AN71" s="66"/>
      <c r="AO71" s="66"/>
      <c r="AP71" s="66"/>
      <c r="AQ71" s="66"/>
      <c r="AR71" s="66"/>
      <c r="AS71" s="66"/>
      <c r="AT71" s="67"/>
      <c r="AU71" s="68"/>
      <c r="AV71" s="66"/>
      <c r="AW71" s="66"/>
      <c r="AX71" s="66"/>
      <c r="AY71" s="66"/>
      <c r="AZ71" s="66"/>
      <c r="BA71" s="66"/>
      <c r="BB71" s="66"/>
      <c r="BC71" s="66"/>
      <c r="BD71" s="69"/>
      <c r="BE71" s="3174" t="str">
        <f>CR30</f>
        <v/>
      </c>
      <c r="BF71" s="3175"/>
      <c r="BG71" s="3175"/>
      <c r="BH71" s="3189"/>
      <c r="BI71" s="3188"/>
      <c r="BY71" s="37"/>
      <c r="CA71" s="46">
        <v>9</v>
      </c>
      <c r="CB71" s="49">
        <f t="shared" si="32"/>
        <v>0</v>
      </c>
      <c r="CC71" s="51" t="str">
        <f t="shared" si="33"/>
        <v/>
      </c>
      <c r="CH71" s="372" t="s">
        <v>412</v>
      </c>
      <c r="CI71" s="372" t="s">
        <v>411</v>
      </c>
      <c r="CJ71" s="370"/>
      <c r="CM71" s="46">
        <v>51</v>
      </c>
      <c r="CN71" s="49">
        <f t="shared" si="31"/>
        <v>0</v>
      </c>
      <c r="CO71" s="51" t="str">
        <f t="shared" si="29"/>
        <v/>
      </c>
      <c r="CQ71" s="49">
        <f t="shared" si="30"/>
        <v>0</v>
      </c>
      <c r="CR71" s="51" t="str">
        <f t="shared" si="28"/>
        <v/>
      </c>
      <c r="CS71" s="38"/>
    </row>
    <row r="72" spans="1:97" ht="12.9" customHeight="1">
      <c r="A72" s="3056"/>
      <c r="B72" s="3217"/>
      <c r="C72" s="3218"/>
      <c r="D72" s="3185"/>
      <c r="E72" s="3181" t="str">
        <f>CO29</f>
        <v/>
      </c>
      <c r="F72" s="3182"/>
      <c r="G72" s="71"/>
      <c r="H72" s="72"/>
      <c r="I72" s="72"/>
      <c r="J72" s="72"/>
      <c r="K72" s="72"/>
      <c r="L72" s="72"/>
      <c r="M72" s="72"/>
      <c r="N72" s="72"/>
      <c r="O72" s="72"/>
      <c r="P72" s="73"/>
      <c r="Q72" s="74"/>
      <c r="R72" s="72"/>
      <c r="S72" s="72"/>
      <c r="T72" s="72"/>
      <c r="U72" s="72"/>
      <c r="V72" s="72"/>
      <c r="W72" s="72"/>
      <c r="X72" s="72"/>
      <c r="Y72" s="72"/>
      <c r="Z72" s="73"/>
      <c r="AA72" s="74"/>
      <c r="AB72" s="72"/>
      <c r="AC72" s="72"/>
      <c r="AD72" s="72"/>
      <c r="AE72" s="72"/>
      <c r="AF72" s="72"/>
      <c r="AG72" s="72"/>
      <c r="AH72" s="72"/>
      <c r="AI72" s="72"/>
      <c r="AJ72" s="73"/>
      <c r="AK72" s="74"/>
      <c r="AL72" s="72"/>
      <c r="AM72" s="72"/>
      <c r="AN72" s="72"/>
      <c r="AO72" s="72"/>
      <c r="AP72" s="72"/>
      <c r="AQ72" s="72"/>
      <c r="AR72" s="72"/>
      <c r="AS72" s="72"/>
      <c r="AT72" s="73"/>
      <c r="AU72" s="74"/>
      <c r="AV72" s="72"/>
      <c r="AW72" s="72"/>
      <c r="AX72" s="72"/>
      <c r="AY72" s="72"/>
      <c r="AZ72" s="72"/>
      <c r="BA72" s="72"/>
      <c r="BB72" s="72"/>
      <c r="BC72" s="72"/>
      <c r="BD72" s="75"/>
      <c r="BE72" s="3166" t="str">
        <f>CR29</f>
        <v/>
      </c>
      <c r="BF72" s="3167"/>
      <c r="BG72" s="3167"/>
      <c r="BH72" s="3189"/>
      <c r="BI72" s="3188"/>
      <c r="BY72" s="37"/>
      <c r="CA72" s="46">
        <v>10</v>
      </c>
      <c r="CB72" s="52">
        <f t="shared" si="32"/>
        <v>0</v>
      </c>
      <c r="CC72" s="50" t="str">
        <f t="shared" si="33"/>
        <v/>
      </c>
      <c r="CF72" s="3164" t="s">
        <v>413</v>
      </c>
      <c r="CG72" s="3165"/>
      <c r="CH72" s="49" t="e">
        <f>'Concr. Curve'!CU69</f>
        <v>#DIV/0!</v>
      </c>
      <c r="CI72" s="49">
        <f>MAX(CI68:CI69)</f>
        <v>0</v>
      </c>
      <c r="CJ72" s="373" t="s">
        <v>414</v>
      </c>
      <c r="CM72" s="46">
        <v>52</v>
      </c>
      <c r="CN72" s="49">
        <f t="shared" si="31"/>
        <v>0</v>
      </c>
      <c r="CO72" s="51" t="str">
        <f t="shared" si="29"/>
        <v/>
      </c>
      <c r="CQ72" s="49">
        <f t="shared" si="30"/>
        <v>0</v>
      </c>
      <c r="CR72" s="51" t="str">
        <f t="shared" si="28"/>
        <v/>
      </c>
      <c r="CS72" s="38"/>
    </row>
    <row r="73" spans="1:97" ht="12.9" customHeight="1">
      <c r="A73" s="3056"/>
      <c r="B73" s="3217"/>
      <c r="C73" s="3218"/>
      <c r="D73" s="3186"/>
      <c r="E73" s="3181" t="str">
        <f>CO28</f>
        <v/>
      </c>
      <c r="F73" s="3182"/>
      <c r="G73" s="58"/>
      <c r="H73" s="59"/>
      <c r="I73" s="59"/>
      <c r="J73" s="59"/>
      <c r="K73" s="59"/>
      <c r="L73" s="59"/>
      <c r="M73" s="59"/>
      <c r="N73" s="59"/>
      <c r="O73" s="59"/>
      <c r="P73" s="60"/>
      <c r="Q73" s="61"/>
      <c r="R73" s="59"/>
      <c r="S73" s="59"/>
      <c r="T73" s="59"/>
      <c r="U73" s="59"/>
      <c r="V73" s="59"/>
      <c r="W73" s="59"/>
      <c r="X73" s="59"/>
      <c r="Y73" s="59"/>
      <c r="Z73" s="60"/>
      <c r="AA73" s="61"/>
      <c r="AB73" s="59"/>
      <c r="AC73" s="59"/>
      <c r="AD73" s="59"/>
      <c r="AE73" s="59"/>
      <c r="AF73" s="59"/>
      <c r="AG73" s="59"/>
      <c r="AH73" s="59"/>
      <c r="AI73" s="59"/>
      <c r="AJ73" s="60"/>
      <c r="AK73" s="61"/>
      <c r="AL73" s="59"/>
      <c r="AM73" s="59"/>
      <c r="AN73" s="59"/>
      <c r="AO73" s="59"/>
      <c r="AP73" s="59"/>
      <c r="AQ73" s="59"/>
      <c r="AR73" s="59"/>
      <c r="AS73" s="59"/>
      <c r="AT73" s="60"/>
      <c r="AU73" s="61"/>
      <c r="AV73" s="59"/>
      <c r="AW73" s="59"/>
      <c r="AX73" s="59"/>
      <c r="AY73" s="59"/>
      <c r="AZ73" s="59"/>
      <c r="BA73" s="59"/>
      <c r="BB73" s="59"/>
      <c r="BC73" s="59"/>
      <c r="BD73" s="62"/>
      <c r="BE73" s="3166" t="str">
        <f>CR28</f>
        <v/>
      </c>
      <c r="BF73" s="3167"/>
      <c r="BG73" s="3167"/>
      <c r="BH73" s="3189"/>
      <c r="BI73" s="3188"/>
      <c r="BY73" s="37"/>
      <c r="CA73" s="46">
        <v>11</v>
      </c>
      <c r="CB73" s="49">
        <f t="shared" si="32"/>
        <v>0</v>
      </c>
      <c r="CC73" s="51" t="str">
        <f t="shared" si="33"/>
        <v/>
      </c>
      <c r="CH73" s="372" t="s">
        <v>267</v>
      </c>
      <c r="CI73" s="372" t="s">
        <v>408</v>
      </c>
      <c r="CM73" s="46">
        <v>53</v>
      </c>
      <c r="CN73" s="49">
        <f t="shared" si="31"/>
        <v>0</v>
      </c>
      <c r="CO73" s="51" t="str">
        <f t="shared" si="29"/>
        <v/>
      </c>
      <c r="CQ73" s="49">
        <f t="shared" si="30"/>
        <v>0</v>
      </c>
      <c r="CR73" s="51" t="str">
        <f t="shared" si="28"/>
        <v/>
      </c>
      <c r="CS73" s="38"/>
    </row>
    <row r="74" spans="1:97" ht="12.9" customHeight="1">
      <c r="A74" s="3056"/>
      <c r="B74" s="3217"/>
      <c r="C74" s="3218"/>
      <c r="D74" s="3186"/>
      <c r="E74" s="3181" t="str">
        <f>CO27</f>
        <v/>
      </c>
      <c r="F74" s="3182"/>
      <c r="G74" s="58"/>
      <c r="H74" s="59"/>
      <c r="I74" s="59"/>
      <c r="J74" s="59"/>
      <c r="K74" s="59"/>
      <c r="L74" s="59"/>
      <c r="M74" s="59"/>
      <c r="N74" s="59"/>
      <c r="O74" s="59"/>
      <c r="P74" s="60"/>
      <c r="Q74" s="61"/>
      <c r="R74" s="59"/>
      <c r="S74" s="59"/>
      <c r="T74" s="59"/>
      <c r="U74" s="59"/>
      <c r="V74" s="59"/>
      <c r="W74" s="59"/>
      <c r="X74" s="59"/>
      <c r="Y74" s="59"/>
      <c r="Z74" s="60"/>
      <c r="AA74" s="61"/>
      <c r="AB74" s="59"/>
      <c r="AC74" s="59"/>
      <c r="AD74" s="59"/>
      <c r="AE74" s="59"/>
      <c r="AF74" s="59"/>
      <c r="AG74" s="59"/>
      <c r="AH74" s="59"/>
      <c r="AI74" s="59"/>
      <c r="AJ74" s="60"/>
      <c r="AK74" s="61"/>
      <c r="AL74" s="59"/>
      <c r="AM74" s="59"/>
      <c r="AN74" s="59"/>
      <c r="AO74" s="59"/>
      <c r="AP74" s="59"/>
      <c r="AQ74" s="59"/>
      <c r="AR74" s="59"/>
      <c r="AS74" s="59"/>
      <c r="AT74" s="60"/>
      <c r="AU74" s="61"/>
      <c r="AV74" s="59"/>
      <c r="AW74" s="59"/>
      <c r="AX74" s="59"/>
      <c r="AY74" s="59"/>
      <c r="AZ74" s="59"/>
      <c r="BA74" s="59"/>
      <c r="BB74" s="59"/>
      <c r="BC74" s="59"/>
      <c r="BD74" s="62"/>
      <c r="BE74" s="3166" t="str">
        <f>CR27</f>
        <v/>
      </c>
      <c r="BF74" s="3167"/>
      <c r="BG74" s="3167"/>
      <c r="BH74" s="3189"/>
      <c r="BI74" s="3188"/>
      <c r="BY74" s="37"/>
      <c r="CA74" s="46">
        <v>12</v>
      </c>
      <c r="CB74" s="49">
        <f t="shared" si="32"/>
        <v>0</v>
      </c>
      <c r="CC74" s="51" t="str">
        <f t="shared" si="33"/>
        <v/>
      </c>
      <c r="CM74" s="46">
        <v>54</v>
      </c>
      <c r="CN74" s="49">
        <f t="shared" si="31"/>
        <v>0</v>
      </c>
      <c r="CO74" s="51" t="str">
        <f t="shared" si="29"/>
        <v/>
      </c>
      <c r="CQ74" s="49">
        <f t="shared" si="30"/>
        <v>0</v>
      </c>
      <c r="CR74" s="51" t="str">
        <f t="shared" si="28"/>
        <v/>
      </c>
      <c r="CS74" s="38"/>
    </row>
    <row r="75" spans="1:97" ht="12.9" customHeight="1">
      <c r="A75" s="3056"/>
      <c r="B75" s="3217"/>
      <c r="C75" s="3218"/>
      <c r="D75" s="3186"/>
      <c r="E75" s="3181" t="str">
        <f>CO26</f>
        <v/>
      </c>
      <c r="F75" s="3182"/>
      <c r="G75" s="58"/>
      <c r="H75" s="59"/>
      <c r="I75" s="59"/>
      <c r="J75" s="59"/>
      <c r="K75" s="59"/>
      <c r="L75" s="59"/>
      <c r="M75" s="59"/>
      <c r="N75" s="59"/>
      <c r="O75" s="59"/>
      <c r="P75" s="60"/>
      <c r="Q75" s="61"/>
      <c r="R75" s="59"/>
      <c r="S75" s="59"/>
      <c r="T75" s="59"/>
      <c r="U75" s="59"/>
      <c r="V75" s="59"/>
      <c r="W75" s="59"/>
      <c r="X75" s="59"/>
      <c r="Y75" s="59"/>
      <c r="Z75" s="60"/>
      <c r="AA75" s="61"/>
      <c r="AB75" s="59"/>
      <c r="AC75" s="59"/>
      <c r="AD75" s="59"/>
      <c r="AE75" s="59"/>
      <c r="AF75" s="59"/>
      <c r="AG75" s="59"/>
      <c r="AH75" s="59"/>
      <c r="AI75" s="59"/>
      <c r="AJ75" s="60"/>
      <c r="AK75" s="61"/>
      <c r="AL75" s="59"/>
      <c r="AM75" s="59"/>
      <c r="AN75" s="59"/>
      <c r="AO75" s="59"/>
      <c r="AP75" s="59"/>
      <c r="AQ75" s="59"/>
      <c r="AR75" s="59"/>
      <c r="AS75" s="59"/>
      <c r="AT75" s="60"/>
      <c r="AU75" s="61"/>
      <c r="AV75" s="59"/>
      <c r="AW75" s="59"/>
      <c r="AX75" s="59"/>
      <c r="AY75" s="59"/>
      <c r="AZ75" s="59"/>
      <c r="BA75" s="59"/>
      <c r="BB75" s="59"/>
      <c r="BC75" s="59"/>
      <c r="BD75" s="62"/>
      <c r="BE75" s="3166" t="str">
        <f>CR26</f>
        <v/>
      </c>
      <c r="BF75" s="3167"/>
      <c r="BG75" s="3167"/>
      <c r="BH75" s="3189"/>
      <c r="BI75" s="3188"/>
      <c r="BY75" s="37"/>
      <c r="CA75" s="46">
        <v>13</v>
      </c>
      <c r="CB75" s="49">
        <f t="shared" si="32"/>
        <v>0</v>
      </c>
      <c r="CC75" s="51" t="str">
        <f t="shared" si="33"/>
        <v/>
      </c>
      <c r="CF75" s="3164" t="s">
        <v>415</v>
      </c>
      <c r="CG75" s="3165"/>
      <c r="CH75" s="40" t="e">
        <f>CONCATENATE("&gt; ",ROUNDUP(CH72,0)," ft")</f>
        <v>#DIV/0!</v>
      </c>
      <c r="CI75" s="40" t="str">
        <f>CONCATENATE("&gt; ",ROUNDUP(CI72,0)," ft")</f>
        <v>&gt; 0 ft</v>
      </c>
      <c r="CM75" s="46">
        <v>55</v>
      </c>
      <c r="CN75" s="49">
        <f t="shared" si="31"/>
        <v>0</v>
      </c>
      <c r="CO75" s="51" t="str">
        <f t="shared" si="29"/>
        <v/>
      </c>
      <c r="CQ75" s="49">
        <f t="shared" si="30"/>
        <v>0</v>
      </c>
      <c r="CR75" s="51" t="str">
        <f t="shared" si="28"/>
        <v/>
      </c>
      <c r="CS75" s="38"/>
    </row>
    <row r="76" spans="1:97" ht="12.9" customHeight="1">
      <c r="A76" s="3056"/>
      <c r="B76" s="3217"/>
      <c r="C76" s="3218"/>
      <c r="D76" s="3186"/>
      <c r="E76" s="3181" t="str">
        <f>CO25</f>
        <v/>
      </c>
      <c r="F76" s="3182"/>
      <c r="G76" s="58"/>
      <c r="H76" s="59"/>
      <c r="I76" s="59"/>
      <c r="J76" s="59"/>
      <c r="K76" s="59"/>
      <c r="L76" s="59"/>
      <c r="M76" s="59"/>
      <c r="N76" s="59"/>
      <c r="O76" s="59"/>
      <c r="P76" s="60"/>
      <c r="Q76" s="61"/>
      <c r="R76" s="59"/>
      <c r="S76" s="59"/>
      <c r="T76" s="59"/>
      <c r="U76" s="59"/>
      <c r="V76" s="59"/>
      <c r="W76" s="59"/>
      <c r="X76" s="59"/>
      <c r="Y76" s="59"/>
      <c r="Z76" s="60"/>
      <c r="AA76" s="61"/>
      <c r="AB76" s="59"/>
      <c r="AC76" s="59"/>
      <c r="AD76" s="59"/>
      <c r="AE76" s="59"/>
      <c r="AF76" s="59"/>
      <c r="AG76" s="59"/>
      <c r="AH76" s="59"/>
      <c r="AI76" s="59"/>
      <c r="AJ76" s="60"/>
      <c r="AK76" s="61"/>
      <c r="AL76" s="59"/>
      <c r="AM76" s="59"/>
      <c r="AN76" s="59"/>
      <c r="AO76" s="59"/>
      <c r="AP76" s="59"/>
      <c r="AQ76" s="59"/>
      <c r="AR76" s="59"/>
      <c r="AS76" s="59"/>
      <c r="AT76" s="60"/>
      <c r="AU76" s="61"/>
      <c r="AV76" s="59"/>
      <c r="AW76" s="59"/>
      <c r="AX76" s="59"/>
      <c r="AY76" s="59"/>
      <c r="AZ76" s="59"/>
      <c r="BA76" s="59"/>
      <c r="BB76" s="59"/>
      <c r="BC76" s="59"/>
      <c r="BD76" s="62"/>
      <c r="BE76" s="3166" t="str">
        <f>CR25</f>
        <v/>
      </c>
      <c r="BF76" s="3167"/>
      <c r="BG76" s="3167"/>
      <c r="BH76" s="3189"/>
      <c r="BI76" s="3188"/>
      <c r="BY76" s="37"/>
      <c r="CA76" s="46">
        <v>14</v>
      </c>
      <c r="CB76" s="49">
        <f t="shared" si="32"/>
        <v>0</v>
      </c>
      <c r="CC76" s="51" t="str">
        <f t="shared" si="33"/>
        <v/>
      </c>
      <c r="CM76" s="46">
        <v>56</v>
      </c>
      <c r="CN76" s="49">
        <f t="shared" si="31"/>
        <v>0</v>
      </c>
      <c r="CO76" s="51" t="str">
        <f t="shared" si="29"/>
        <v/>
      </c>
      <c r="CQ76" s="49">
        <f t="shared" si="30"/>
        <v>0</v>
      </c>
      <c r="CR76" s="51" t="str">
        <f t="shared" si="28"/>
        <v/>
      </c>
      <c r="CS76" s="38"/>
    </row>
    <row r="77" spans="1:97" ht="12.9" customHeight="1">
      <c r="A77" s="3056"/>
      <c r="B77" s="3217"/>
      <c r="C77" s="3218"/>
      <c r="D77" s="3186"/>
      <c r="E77" s="3181" t="str">
        <f>CO24</f>
        <v/>
      </c>
      <c r="F77" s="3182"/>
      <c r="G77" s="58"/>
      <c r="H77" s="59"/>
      <c r="I77" s="59"/>
      <c r="J77" s="59"/>
      <c r="K77" s="59"/>
      <c r="L77" s="59"/>
      <c r="M77" s="59"/>
      <c r="N77" s="59"/>
      <c r="O77" s="59"/>
      <c r="P77" s="60"/>
      <c r="Q77" s="61"/>
      <c r="R77" s="59"/>
      <c r="S77" s="59"/>
      <c r="T77" s="59"/>
      <c r="U77" s="59"/>
      <c r="V77" s="59"/>
      <c r="W77" s="59"/>
      <c r="X77" s="59"/>
      <c r="Y77" s="59"/>
      <c r="Z77" s="60"/>
      <c r="AA77" s="61"/>
      <c r="AB77" s="59"/>
      <c r="AC77" s="59"/>
      <c r="AD77" s="59"/>
      <c r="AE77" s="59"/>
      <c r="AF77" s="59"/>
      <c r="AG77" s="59"/>
      <c r="AH77" s="59"/>
      <c r="AI77" s="59"/>
      <c r="AJ77" s="60"/>
      <c r="AK77" s="61"/>
      <c r="AL77" s="59"/>
      <c r="AM77" s="59"/>
      <c r="AN77" s="59"/>
      <c r="AO77" s="59"/>
      <c r="AP77" s="59"/>
      <c r="AQ77" s="59"/>
      <c r="AR77" s="59"/>
      <c r="AS77" s="59"/>
      <c r="AT77" s="60"/>
      <c r="AU77" s="61"/>
      <c r="AV77" s="59"/>
      <c r="AW77" s="59"/>
      <c r="AX77" s="59"/>
      <c r="AY77" s="59"/>
      <c r="AZ77" s="59"/>
      <c r="BA77" s="59"/>
      <c r="BB77" s="59"/>
      <c r="BC77" s="59"/>
      <c r="BD77" s="62"/>
      <c r="BE77" s="3166" t="str">
        <f>CR24</f>
        <v/>
      </c>
      <c r="BF77" s="3167"/>
      <c r="BG77" s="3167"/>
      <c r="BH77" s="3189"/>
      <c r="BI77" s="3188"/>
      <c r="BY77" s="37"/>
      <c r="CA77" s="46">
        <v>15</v>
      </c>
      <c r="CB77" s="49">
        <f t="shared" si="32"/>
        <v>0</v>
      </c>
      <c r="CC77" s="51" t="str">
        <f t="shared" si="33"/>
        <v/>
      </c>
      <c r="CM77" s="46">
        <v>57</v>
      </c>
      <c r="CN77" s="49">
        <f t="shared" si="31"/>
        <v>0</v>
      </c>
      <c r="CO77" s="51" t="str">
        <f t="shared" si="29"/>
        <v/>
      </c>
      <c r="CQ77" s="49">
        <f t="shared" si="30"/>
        <v>0</v>
      </c>
      <c r="CR77" s="51" t="str">
        <f t="shared" si="28"/>
        <v/>
      </c>
      <c r="CS77" s="38"/>
    </row>
    <row r="78" spans="1:97" ht="12.9" customHeight="1">
      <c r="A78" s="3056"/>
      <c r="B78" s="3217"/>
      <c r="C78" s="3218"/>
      <c r="D78" s="3186"/>
      <c r="E78" s="3181" t="str">
        <f>CO23</f>
        <v/>
      </c>
      <c r="F78" s="3182"/>
      <c r="G78" s="58"/>
      <c r="H78" s="59"/>
      <c r="I78" s="59"/>
      <c r="J78" s="59"/>
      <c r="K78" s="59"/>
      <c r="L78" s="59"/>
      <c r="M78" s="59"/>
      <c r="N78" s="59"/>
      <c r="O78" s="59"/>
      <c r="P78" s="60"/>
      <c r="Q78" s="61"/>
      <c r="R78" s="59"/>
      <c r="S78" s="59"/>
      <c r="T78" s="59"/>
      <c r="U78" s="59"/>
      <c r="V78" s="59"/>
      <c r="W78" s="59"/>
      <c r="X78" s="59"/>
      <c r="Y78" s="59"/>
      <c r="Z78" s="60"/>
      <c r="AA78" s="61"/>
      <c r="AB78" s="59"/>
      <c r="AC78" s="59"/>
      <c r="AD78" s="59"/>
      <c r="AE78" s="59"/>
      <c r="AF78" s="59"/>
      <c r="AG78" s="59"/>
      <c r="AH78" s="59"/>
      <c r="AI78" s="59"/>
      <c r="AJ78" s="60"/>
      <c r="AK78" s="61"/>
      <c r="AL78" s="59"/>
      <c r="AM78" s="59"/>
      <c r="AN78" s="59"/>
      <c r="AO78" s="59"/>
      <c r="AP78" s="59"/>
      <c r="AQ78" s="59"/>
      <c r="AR78" s="59"/>
      <c r="AS78" s="59"/>
      <c r="AT78" s="60"/>
      <c r="AU78" s="61"/>
      <c r="AV78" s="59"/>
      <c r="AW78" s="59"/>
      <c r="AX78" s="59"/>
      <c r="AY78" s="59"/>
      <c r="AZ78" s="59"/>
      <c r="BA78" s="59"/>
      <c r="BB78" s="59"/>
      <c r="BC78" s="59"/>
      <c r="BD78" s="62"/>
      <c r="BE78" s="3166" t="str">
        <f>CR23</f>
        <v/>
      </c>
      <c r="BF78" s="3167"/>
      <c r="BG78" s="3167"/>
      <c r="BH78" s="3189"/>
      <c r="BI78" s="3188"/>
      <c r="BY78" s="37"/>
      <c r="CA78" s="46">
        <v>16</v>
      </c>
      <c r="CB78" s="49">
        <f t="shared" si="32"/>
        <v>0</v>
      </c>
      <c r="CC78" s="51" t="str">
        <f t="shared" si="33"/>
        <v/>
      </c>
      <c r="CM78" s="46">
        <v>58</v>
      </c>
      <c r="CN78" s="49">
        <f t="shared" si="31"/>
        <v>0</v>
      </c>
      <c r="CO78" s="51" t="str">
        <f t="shared" si="29"/>
        <v/>
      </c>
      <c r="CQ78" s="49">
        <f t="shared" si="30"/>
        <v>0</v>
      </c>
      <c r="CR78" s="51" t="str">
        <f t="shared" si="28"/>
        <v/>
      </c>
      <c r="CS78" s="38"/>
    </row>
    <row r="79" spans="1:97" ht="12.9" customHeight="1">
      <c r="A79" s="3056"/>
      <c r="B79" s="3217"/>
      <c r="C79" s="3218"/>
      <c r="D79" s="3186"/>
      <c r="E79" s="3181" t="str">
        <f>CO22</f>
        <v/>
      </c>
      <c r="F79" s="3182"/>
      <c r="G79" s="58"/>
      <c r="H79" s="59"/>
      <c r="I79" s="59"/>
      <c r="J79" s="59"/>
      <c r="K79" s="59"/>
      <c r="L79" s="59"/>
      <c r="M79" s="59"/>
      <c r="N79" s="59"/>
      <c r="O79" s="59"/>
      <c r="P79" s="60"/>
      <c r="Q79" s="61"/>
      <c r="R79" s="59"/>
      <c r="S79" s="59"/>
      <c r="T79" s="59"/>
      <c r="U79" s="59"/>
      <c r="V79" s="59"/>
      <c r="W79" s="59"/>
      <c r="X79" s="59"/>
      <c r="Y79" s="59"/>
      <c r="Z79" s="60"/>
      <c r="AA79" s="61"/>
      <c r="AB79" s="59"/>
      <c r="AC79" s="59"/>
      <c r="AD79" s="59"/>
      <c r="AE79" s="59"/>
      <c r="AF79" s="59"/>
      <c r="AG79" s="59"/>
      <c r="AH79" s="59"/>
      <c r="AI79" s="59"/>
      <c r="AJ79" s="60"/>
      <c r="AK79" s="61"/>
      <c r="AL79" s="59"/>
      <c r="AM79" s="59"/>
      <c r="AN79" s="59"/>
      <c r="AO79" s="59"/>
      <c r="AP79" s="59"/>
      <c r="AQ79" s="59"/>
      <c r="AR79" s="59"/>
      <c r="AS79" s="59"/>
      <c r="AT79" s="60"/>
      <c r="AU79" s="61"/>
      <c r="AV79" s="59"/>
      <c r="AW79" s="59"/>
      <c r="AX79" s="59"/>
      <c r="AY79" s="59"/>
      <c r="AZ79" s="59"/>
      <c r="BA79" s="59"/>
      <c r="BB79" s="59"/>
      <c r="BC79" s="59"/>
      <c r="BD79" s="62"/>
      <c r="BE79" s="3166" t="str">
        <f>CR22</f>
        <v/>
      </c>
      <c r="BF79" s="3167"/>
      <c r="BG79" s="3167"/>
      <c r="BH79" s="3189"/>
      <c r="BI79" s="3188"/>
      <c r="BY79" s="37"/>
      <c r="CA79" s="46">
        <v>17</v>
      </c>
      <c r="CB79" s="49">
        <f t="shared" si="32"/>
        <v>0</v>
      </c>
      <c r="CC79" s="51" t="str">
        <f t="shared" si="33"/>
        <v/>
      </c>
      <c r="CM79" s="46">
        <v>59</v>
      </c>
      <c r="CN79" s="49">
        <f t="shared" si="31"/>
        <v>0</v>
      </c>
      <c r="CO79" s="51" t="str">
        <f t="shared" si="29"/>
        <v/>
      </c>
      <c r="CQ79" s="49">
        <f t="shared" si="30"/>
        <v>0</v>
      </c>
      <c r="CR79" s="51" t="str">
        <f t="shared" si="28"/>
        <v/>
      </c>
      <c r="CS79" s="38"/>
    </row>
    <row r="80" spans="1:97" ht="12.9" customHeight="1">
      <c r="A80" s="3056"/>
      <c r="B80" s="3217"/>
      <c r="C80" s="3218"/>
      <c r="D80" s="3186"/>
      <c r="E80" s="3181" t="str">
        <f>CO21</f>
        <v/>
      </c>
      <c r="F80" s="3182"/>
      <c r="G80" s="58"/>
      <c r="H80" s="59"/>
      <c r="I80" s="59"/>
      <c r="J80" s="59"/>
      <c r="K80" s="59"/>
      <c r="L80" s="59"/>
      <c r="M80" s="59"/>
      <c r="N80" s="59"/>
      <c r="O80" s="59"/>
      <c r="P80" s="60"/>
      <c r="Q80" s="61"/>
      <c r="R80" s="59"/>
      <c r="S80" s="59"/>
      <c r="T80" s="59"/>
      <c r="U80" s="59"/>
      <c r="V80" s="59"/>
      <c r="W80" s="59"/>
      <c r="X80" s="59"/>
      <c r="Y80" s="59"/>
      <c r="Z80" s="60"/>
      <c r="AA80" s="61"/>
      <c r="AB80" s="59"/>
      <c r="AC80" s="59"/>
      <c r="AD80" s="59"/>
      <c r="AE80" s="59"/>
      <c r="AF80" s="59"/>
      <c r="AG80" s="59"/>
      <c r="AH80" s="59"/>
      <c r="AI80" s="59"/>
      <c r="AJ80" s="60"/>
      <c r="AK80" s="61"/>
      <c r="AL80" s="59"/>
      <c r="AM80" s="59"/>
      <c r="AN80" s="59"/>
      <c r="AO80" s="59"/>
      <c r="AP80" s="59"/>
      <c r="AQ80" s="59"/>
      <c r="AR80" s="59"/>
      <c r="AS80" s="59"/>
      <c r="AT80" s="60"/>
      <c r="AU80" s="61"/>
      <c r="AV80" s="59"/>
      <c r="AW80" s="59"/>
      <c r="AX80" s="59"/>
      <c r="AY80" s="59"/>
      <c r="AZ80" s="59"/>
      <c r="BA80" s="59"/>
      <c r="BB80" s="59"/>
      <c r="BC80" s="59"/>
      <c r="BD80" s="62"/>
      <c r="BE80" s="3166" t="str">
        <f>CR21</f>
        <v/>
      </c>
      <c r="BF80" s="3167"/>
      <c r="BG80" s="3167"/>
      <c r="BH80" s="3230"/>
      <c r="BI80" s="3231"/>
      <c r="BY80" s="37"/>
      <c r="CA80" s="46">
        <v>18</v>
      </c>
      <c r="CB80" s="49">
        <f t="shared" si="32"/>
        <v>0</v>
      </c>
      <c r="CC80" s="51" t="str">
        <f t="shared" si="33"/>
        <v/>
      </c>
      <c r="CM80" s="46">
        <v>60</v>
      </c>
      <c r="CN80" s="52">
        <f t="shared" si="31"/>
        <v>0</v>
      </c>
      <c r="CO80" s="50" t="str">
        <f t="shared" si="29"/>
        <v/>
      </c>
      <c r="CQ80" s="52">
        <f t="shared" si="30"/>
        <v>0</v>
      </c>
      <c r="CR80" s="50" t="str">
        <f t="shared" si="28"/>
        <v/>
      </c>
      <c r="CS80" s="38"/>
    </row>
    <row r="81" spans="1:97" ht="12.9" customHeight="1">
      <c r="A81" s="3056"/>
      <c r="B81" s="3217"/>
      <c r="C81" s="3218"/>
      <c r="D81" s="3183">
        <v>0</v>
      </c>
      <c r="E81" s="3183"/>
      <c r="F81" s="3184"/>
      <c r="G81" s="88"/>
      <c r="H81" s="89"/>
      <c r="I81" s="89"/>
      <c r="J81" s="89"/>
      <c r="K81" s="89"/>
      <c r="L81" s="89"/>
      <c r="M81" s="89"/>
      <c r="N81" s="89"/>
      <c r="O81" s="89"/>
      <c r="P81" s="90"/>
      <c r="Q81" s="91"/>
      <c r="R81" s="89"/>
      <c r="S81" s="89"/>
      <c r="T81" s="89"/>
      <c r="U81" s="89"/>
      <c r="V81" s="89"/>
      <c r="W81" s="89"/>
      <c r="X81" s="89"/>
      <c r="Y81" s="89"/>
      <c r="Z81" s="90"/>
      <c r="AA81" s="91"/>
      <c r="AB81" s="89"/>
      <c r="AC81" s="89"/>
      <c r="AD81" s="89"/>
      <c r="AE81" s="89"/>
      <c r="AF81" s="89"/>
      <c r="AG81" s="89"/>
      <c r="AH81" s="89"/>
      <c r="AI81" s="89"/>
      <c r="AJ81" s="90"/>
      <c r="AK81" s="91"/>
      <c r="AL81" s="89"/>
      <c r="AM81" s="89"/>
      <c r="AN81" s="89"/>
      <c r="AO81" s="89"/>
      <c r="AP81" s="89"/>
      <c r="AQ81" s="89"/>
      <c r="AR81" s="89"/>
      <c r="AS81" s="89"/>
      <c r="AT81" s="90"/>
      <c r="AU81" s="91"/>
      <c r="AV81" s="89"/>
      <c r="AW81" s="89"/>
      <c r="AX81" s="89"/>
      <c r="AY81" s="89"/>
      <c r="AZ81" s="89"/>
      <c r="BA81" s="89"/>
      <c r="BB81" s="89"/>
      <c r="BC81" s="89"/>
      <c r="BD81" s="92"/>
      <c r="BE81" s="3174" t="str">
        <f>CR20</f>
        <v/>
      </c>
      <c r="BF81" s="3175"/>
      <c r="BG81" s="3175"/>
      <c r="BH81" s="3230"/>
      <c r="BI81" s="3231"/>
      <c r="BY81" s="37"/>
      <c r="CA81" s="46">
        <v>19</v>
      </c>
      <c r="CB81" s="49">
        <f t="shared" si="32"/>
        <v>0</v>
      </c>
      <c r="CC81" s="51" t="str">
        <f t="shared" si="33"/>
        <v/>
      </c>
      <c r="CM81" s="46">
        <v>61</v>
      </c>
      <c r="CN81" s="49">
        <f t="shared" si="31"/>
        <v>0</v>
      </c>
      <c r="CO81" s="51" t="str">
        <f t="shared" si="29"/>
        <v/>
      </c>
      <c r="CQ81" s="49">
        <f t="shared" si="30"/>
        <v>0</v>
      </c>
      <c r="CR81" s="51" t="str">
        <f t="shared" si="28"/>
        <v/>
      </c>
      <c r="CS81" s="38"/>
    </row>
    <row r="82" spans="1:97" ht="12.9" customHeight="1">
      <c r="A82" s="3056"/>
      <c r="B82" s="3209" t="s">
        <v>59</v>
      </c>
      <c r="C82" s="3210"/>
      <c r="D82" s="3210"/>
      <c r="E82" s="3210"/>
      <c r="F82" s="3211"/>
      <c r="G82" s="3213" t="str">
        <f>CC63</f>
        <v/>
      </c>
      <c r="H82" s="3206" t="str">
        <f>CC64</f>
        <v/>
      </c>
      <c r="I82" s="3206" t="str">
        <f>CC65</f>
        <v/>
      </c>
      <c r="J82" s="3206" t="str">
        <f>CC66</f>
        <v/>
      </c>
      <c r="K82" s="3206" t="str">
        <f>CC67</f>
        <v/>
      </c>
      <c r="L82" s="3206" t="str">
        <f>CC68</f>
        <v/>
      </c>
      <c r="M82" s="3206" t="str">
        <f>CC69</f>
        <v/>
      </c>
      <c r="N82" s="3206" t="str">
        <f>CC70</f>
        <v/>
      </c>
      <c r="O82" s="3206" t="str">
        <f>CC71</f>
        <v/>
      </c>
      <c r="P82" s="3219"/>
      <c r="Q82" s="3204" t="str">
        <f>CC73</f>
        <v/>
      </c>
      <c r="R82" s="3206" t="str">
        <f>CC74</f>
        <v/>
      </c>
      <c r="S82" s="3208" t="str">
        <f>CC75</f>
        <v/>
      </c>
      <c r="T82" s="3206" t="str">
        <f>CC76</f>
        <v/>
      </c>
      <c r="U82" s="3206" t="str">
        <f>CC77</f>
        <v/>
      </c>
      <c r="V82" s="3206" t="str">
        <f>CC78</f>
        <v/>
      </c>
      <c r="W82" s="3206" t="str">
        <f>CC79</f>
        <v/>
      </c>
      <c r="X82" s="3206" t="str">
        <f>CC80</f>
        <v/>
      </c>
      <c r="Y82" s="3206" t="str">
        <f>CC81</f>
        <v/>
      </c>
      <c r="Z82" s="3219"/>
      <c r="AA82" s="3204" t="str">
        <f>CC83</f>
        <v/>
      </c>
      <c r="AB82" s="3206" t="str">
        <f>CC84</f>
        <v/>
      </c>
      <c r="AC82" s="3206" t="str">
        <f>CC85</f>
        <v/>
      </c>
      <c r="AD82" s="3206" t="str">
        <f>CC86</f>
        <v/>
      </c>
      <c r="AE82" s="3206" t="str">
        <f>CC87</f>
        <v/>
      </c>
      <c r="AF82" s="3206" t="str">
        <f>CC88</f>
        <v/>
      </c>
      <c r="AG82" s="3206" t="str">
        <f>CC89</f>
        <v/>
      </c>
      <c r="AH82" s="3206" t="str">
        <f>CC90</f>
        <v/>
      </c>
      <c r="AI82" s="3206" t="str">
        <f>CC91</f>
        <v/>
      </c>
      <c r="AJ82" s="3219"/>
      <c r="AK82" s="3204" t="str">
        <f>CC93</f>
        <v/>
      </c>
      <c r="AL82" s="3206" t="str">
        <f>CC94</f>
        <v/>
      </c>
      <c r="AM82" s="3206" t="str">
        <f>CC95</f>
        <v/>
      </c>
      <c r="AN82" s="3206" t="str">
        <f>CC96</f>
        <v/>
      </c>
      <c r="AO82" s="3206" t="str">
        <f>CC97</f>
        <v/>
      </c>
      <c r="AP82" s="3206" t="str">
        <f>CC98</f>
        <v/>
      </c>
      <c r="AQ82" s="3206" t="str">
        <f>CC99</f>
        <v/>
      </c>
      <c r="AR82" s="3206" t="str">
        <f>CC100</f>
        <v/>
      </c>
      <c r="AS82" s="3206" t="str">
        <f>CC101</f>
        <v/>
      </c>
      <c r="AT82" s="3219"/>
      <c r="AU82" s="3204" t="str">
        <f>CC103</f>
        <v/>
      </c>
      <c r="AV82" s="3206" t="str">
        <f>CC104</f>
        <v/>
      </c>
      <c r="AW82" s="3206" t="str">
        <f>CC105</f>
        <v/>
      </c>
      <c r="AX82" s="3206" t="str">
        <f>CC106</f>
        <v/>
      </c>
      <c r="AY82" s="3206" t="str">
        <f>CC107</f>
        <v/>
      </c>
      <c r="AZ82" s="3206" t="str">
        <f>CC108</f>
        <v/>
      </c>
      <c r="BA82" s="3206" t="str">
        <f>CC109</f>
        <v/>
      </c>
      <c r="BB82" s="3206" t="str">
        <f>CC110</f>
        <v/>
      </c>
      <c r="BC82" s="3206" t="str">
        <f>CC111</f>
        <v/>
      </c>
      <c r="BD82" s="3219"/>
      <c r="BE82" s="3209" t="s">
        <v>88</v>
      </c>
      <c r="BF82" s="3210"/>
      <c r="BG82" s="3210"/>
      <c r="BH82" s="3210"/>
      <c r="BI82" s="3232"/>
      <c r="BY82" s="37"/>
      <c r="CA82" s="46">
        <v>20</v>
      </c>
      <c r="CB82" s="52">
        <f t="shared" si="32"/>
        <v>0</v>
      </c>
      <c r="CC82" s="50" t="str">
        <f t="shared" si="33"/>
        <v/>
      </c>
      <c r="CM82" s="46">
        <v>62</v>
      </c>
      <c r="CN82" s="49">
        <f t="shared" si="31"/>
        <v>0</v>
      </c>
      <c r="CO82" s="51" t="str">
        <f t="shared" si="29"/>
        <v/>
      </c>
      <c r="CQ82" s="49">
        <f t="shared" si="30"/>
        <v>0</v>
      </c>
      <c r="CR82" s="51" t="str">
        <f t="shared" si="28"/>
        <v/>
      </c>
      <c r="CS82" s="38"/>
    </row>
    <row r="83" spans="1:97" ht="12.9" customHeight="1">
      <c r="A83" s="3056"/>
      <c r="B83" s="3061"/>
      <c r="C83" s="3056"/>
      <c r="D83" s="3056"/>
      <c r="E83" s="3056"/>
      <c r="F83" s="3212"/>
      <c r="G83" s="3214"/>
      <c r="H83" s="3207"/>
      <c r="I83" s="3207"/>
      <c r="J83" s="3207"/>
      <c r="K83" s="3207"/>
      <c r="L83" s="3207"/>
      <c r="M83" s="3207"/>
      <c r="N83" s="3207"/>
      <c r="O83" s="3207"/>
      <c r="P83" s="3220"/>
      <c r="Q83" s="3205"/>
      <c r="R83" s="3207"/>
      <c r="S83" s="3207"/>
      <c r="T83" s="3207"/>
      <c r="U83" s="3207"/>
      <c r="V83" s="3207"/>
      <c r="W83" s="3207"/>
      <c r="X83" s="3207"/>
      <c r="Y83" s="3207"/>
      <c r="Z83" s="3220"/>
      <c r="AA83" s="3205"/>
      <c r="AB83" s="3207"/>
      <c r="AC83" s="3207"/>
      <c r="AD83" s="3207"/>
      <c r="AE83" s="3207"/>
      <c r="AF83" s="3207"/>
      <c r="AG83" s="3207"/>
      <c r="AH83" s="3207"/>
      <c r="AI83" s="3207"/>
      <c r="AJ83" s="3220"/>
      <c r="AK83" s="3205"/>
      <c r="AL83" s="3207"/>
      <c r="AM83" s="3207"/>
      <c r="AN83" s="3207"/>
      <c r="AO83" s="3207"/>
      <c r="AP83" s="3207"/>
      <c r="AQ83" s="3207"/>
      <c r="AR83" s="3207"/>
      <c r="AS83" s="3207"/>
      <c r="AT83" s="3220"/>
      <c r="AU83" s="3205"/>
      <c r="AV83" s="3207"/>
      <c r="AW83" s="3207"/>
      <c r="AX83" s="3207"/>
      <c r="AY83" s="3207"/>
      <c r="AZ83" s="3207"/>
      <c r="BA83" s="3207"/>
      <c r="BB83" s="3207"/>
      <c r="BC83" s="3207"/>
      <c r="BD83" s="3220"/>
      <c r="BE83" s="3061"/>
      <c r="BF83" s="3056"/>
      <c r="BG83" s="3056"/>
      <c r="BH83" s="3056"/>
      <c r="BI83" s="3057"/>
      <c r="BY83" s="37"/>
      <c r="CA83" s="46">
        <v>21</v>
      </c>
      <c r="CB83" s="49">
        <f t="shared" si="32"/>
        <v>0</v>
      </c>
      <c r="CC83" s="51" t="str">
        <f t="shared" si="33"/>
        <v/>
      </c>
      <c r="CM83" s="46">
        <v>63</v>
      </c>
      <c r="CN83" s="49">
        <f t="shared" si="31"/>
        <v>0</v>
      </c>
      <c r="CO83" s="51" t="str">
        <f t="shared" si="29"/>
        <v/>
      </c>
      <c r="CQ83" s="49">
        <f t="shared" si="30"/>
        <v>0</v>
      </c>
      <c r="CR83" s="51" t="str">
        <f t="shared" si="28"/>
        <v/>
      </c>
      <c r="CS83" s="38"/>
    </row>
    <row r="84" spans="1:97" ht="12.75" customHeight="1">
      <c r="A84" s="3056"/>
      <c r="B84" s="3253"/>
      <c r="C84" s="3254"/>
      <c r="D84" s="3226">
        <v>0</v>
      </c>
      <c r="E84" s="3226"/>
      <c r="F84" s="3227"/>
      <c r="G84" s="3061"/>
      <c r="H84" s="3056"/>
      <c r="I84" s="3056"/>
      <c r="J84" s="3056"/>
      <c r="K84" s="3056"/>
      <c r="L84" s="3056"/>
      <c r="M84" s="3056"/>
      <c r="N84" s="3226" t="str">
        <f>IF(AX88=0,"",CC72)</f>
        <v/>
      </c>
      <c r="O84" s="3226"/>
      <c r="P84" s="3227"/>
      <c r="Q84" s="3061"/>
      <c r="R84" s="3056"/>
      <c r="S84" s="3056"/>
      <c r="T84" s="3056"/>
      <c r="U84" s="3056"/>
      <c r="V84" s="3056"/>
      <c r="W84" s="3056"/>
      <c r="X84" s="3226" t="str">
        <f>IF(AX88=0,"",CC82)</f>
        <v/>
      </c>
      <c r="Y84" s="3226"/>
      <c r="Z84" s="3227"/>
      <c r="AA84" s="3061"/>
      <c r="AB84" s="3056"/>
      <c r="AC84" s="3056"/>
      <c r="AD84" s="3056"/>
      <c r="AE84" s="3056"/>
      <c r="AF84" s="3056"/>
      <c r="AG84" s="3056"/>
      <c r="AH84" s="3226" t="str">
        <f>IF(AX88=0,"",CC92)</f>
        <v/>
      </c>
      <c r="AI84" s="3226"/>
      <c r="AJ84" s="3227"/>
      <c r="AK84" s="3061"/>
      <c r="AL84" s="3056"/>
      <c r="AM84" s="3056"/>
      <c r="AN84" s="3056"/>
      <c r="AO84" s="3056"/>
      <c r="AP84" s="3056"/>
      <c r="AQ84" s="3056"/>
      <c r="AR84" s="3226" t="str">
        <f>IF(AX88=0,"",CC102)</f>
        <v/>
      </c>
      <c r="AS84" s="3226"/>
      <c r="AT84" s="3227"/>
      <c r="AU84" s="3061"/>
      <c r="AV84" s="3056"/>
      <c r="AW84" s="3056"/>
      <c r="AX84" s="3056"/>
      <c r="AY84" s="3056"/>
      <c r="AZ84" s="3056"/>
      <c r="BA84" s="3056"/>
      <c r="BB84" s="3226" t="str">
        <f>IF(AX88=0,"",CC112)</f>
        <v/>
      </c>
      <c r="BC84" s="3226"/>
      <c r="BD84" s="3227"/>
      <c r="BE84" s="3061"/>
      <c r="BF84" s="3056"/>
      <c r="BG84" s="3056"/>
      <c r="BH84" s="3056"/>
      <c r="BI84" s="3057"/>
      <c r="BY84" s="37"/>
      <c r="CA84" s="46">
        <v>22</v>
      </c>
      <c r="CB84" s="49">
        <f t="shared" si="32"/>
        <v>0</v>
      </c>
      <c r="CC84" s="51" t="str">
        <f t="shared" si="33"/>
        <v/>
      </c>
      <c r="CM84" s="46">
        <v>64</v>
      </c>
      <c r="CN84" s="49">
        <f t="shared" si="31"/>
        <v>0</v>
      </c>
      <c r="CO84" s="51" t="str">
        <f t="shared" si="29"/>
        <v/>
      </c>
      <c r="CQ84" s="49">
        <f t="shared" si="30"/>
        <v>0</v>
      </c>
      <c r="CR84" s="51" t="str">
        <f t="shared" ref="CR84:CR90" si="34">IF(BE$88="","",IF($BB$9="","",CQ84))</f>
        <v/>
      </c>
      <c r="CS84" s="38"/>
    </row>
    <row r="85" spans="1:97" ht="12.75" customHeight="1">
      <c r="A85" s="3056"/>
      <c r="B85" s="3061"/>
      <c r="C85" s="3056"/>
      <c r="D85" s="3056"/>
      <c r="E85" s="3056"/>
      <c r="F85" s="3056"/>
      <c r="G85" s="3056"/>
      <c r="H85" s="3056"/>
      <c r="I85" s="3056"/>
      <c r="J85" s="3056"/>
      <c r="K85" s="3056"/>
      <c r="L85" s="3056"/>
      <c r="M85" s="3056"/>
      <c r="N85" s="3056"/>
      <c r="O85" s="3056"/>
      <c r="P85" s="3056"/>
      <c r="Q85" s="3056"/>
      <c r="R85" s="3056"/>
      <c r="S85" s="3056"/>
      <c r="T85" s="3056"/>
      <c r="U85" s="3056"/>
      <c r="V85" s="3056"/>
      <c r="W85" s="3056"/>
      <c r="X85" s="3056"/>
      <c r="Y85" s="3056"/>
      <c r="Z85" s="3056"/>
      <c r="AA85" s="3056"/>
      <c r="AB85" s="3056"/>
      <c r="AC85" s="3056"/>
      <c r="AD85" s="3056"/>
      <c r="AE85" s="3056"/>
      <c r="AF85" s="3056"/>
      <c r="AG85" s="3056"/>
      <c r="AH85" s="3056"/>
      <c r="AI85" s="3056"/>
      <c r="AJ85" s="3056"/>
      <c r="AK85" s="3056"/>
      <c r="AL85" s="3056"/>
      <c r="AM85" s="3056"/>
      <c r="AN85" s="3056"/>
      <c r="AO85" s="3056"/>
      <c r="AP85" s="3056"/>
      <c r="AQ85" s="3056"/>
      <c r="AR85" s="3056"/>
      <c r="AS85" s="3056"/>
      <c r="AT85" s="3056"/>
      <c r="AU85" s="3056"/>
      <c r="AV85" s="3056"/>
      <c r="AW85" s="3056"/>
      <c r="AX85" s="3056"/>
      <c r="AY85" s="3056"/>
      <c r="AZ85" s="3056"/>
      <c r="BA85" s="3056"/>
      <c r="BB85" s="3056"/>
      <c r="BC85" s="3056"/>
      <c r="BD85" s="3056"/>
      <c r="BE85" s="3056"/>
      <c r="BF85" s="3056"/>
      <c r="BG85" s="3056"/>
      <c r="BH85" s="3056"/>
      <c r="BI85" s="3057"/>
      <c r="BY85" s="37"/>
      <c r="CA85" s="46">
        <v>23</v>
      </c>
      <c r="CB85" s="49">
        <f t="shared" si="32"/>
        <v>0</v>
      </c>
      <c r="CC85" s="51" t="str">
        <f t="shared" si="33"/>
        <v/>
      </c>
      <c r="CM85" s="46">
        <v>65</v>
      </c>
      <c r="CN85" s="49">
        <f t="shared" si="31"/>
        <v>0</v>
      </c>
      <c r="CO85" s="51" t="str">
        <f t="shared" ref="CO85:CO90" si="35">IF(BE$88=0,"",CN85)</f>
        <v/>
      </c>
      <c r="CQ85" s="49">
        <f t="shared" ref="CQ85:CQ90" si="36">CQ84+CN$21</f>
        <v>0</v>
      </c>
      <c r="CR85" s="51" t="str">
        <f t="shared" si="34"/>
        <v/>
      </c>
      <c r="CS85" s="38"/>
    </row>
    <row r="86" spans="1:97" ht="15.9" customHeight="1">
      <c r="A86" s="3056"/>
      <c r="B86" s="3223" t="s">
        <v>106</v>
      </c>
      <c r="C86" s="3224"/>
      <c r="D86" s="3224"/>
      <c r="E86" s="3224"/>
      <c r="F86" s="3224"/>
      <c r="G86" s="3224"/>
      <c r="H86" s="3224"/>
      <c r="I86" s="3224"/>
      <c r="J86" s="3224"/>
      <c r="K86" s="3224"/>
      <c r="L86" s="3225" t="str">
        <f>CONCATENATE("  1 unit =  ",G82," cy")</f>
        <v xml:space="preserve">  1 unit =   cy</v>
      </c>
      <c r="M86" s="3225"/>
      <c r="N86" s="3225"/>
      <c r="O86" s="3225"/>
      <c r="P86" s="3225"/>
      <c r="Q86" s="3225"/>
      <c r="R86" s="3225"/>
      <c r="S86" s="3221" t="s">
        <v>92</v>
      </c>
      <c r="T86" s="3222"/>
      <c r="U86" s="3222"/>
      <c r="V86" s="3222"/>
      <c r="W86" s="3222"/>
      <c r="X86" s="3222"/>
      <c r="Y86" s="3222"/>
      <c r="Z86" s="3222"/>
      <c r="AA86" s="3222"/>
      <c r="AB86" s="3222"/>
      <c r="AC86" s="3222"/>
      <c r="AD86" s="3222"/>
      <c r="AE86" s="3222"/>
      <c r="AF86" s="3222"/>
      <c r="AG86" s="3222"/>
      <c r="AH86" s="3222"/>
      <c r="AI86" s="3222"/>
      <c r="AJ86" s="3222"/>
      <c r="AK86" s="3222"/>
      <c r="AL86" s="3222"/>
      <c r="AM86" s="3222"/>
      <c r="AN86" s="3222"/>
      <c r="AO86" s="3222"/>
      <c r="AP86" s="3222"/>
      <c r="AQ86" s="3222"/>
      <c r="AR86" s="3222"/>
      <c r="AS86" s="3224" t="s">
        <v>105</v>
      </c>
      <c r="AT86" s="3224"/>
      <c r="AU86" s="3224"/>
      <c r="AV86" s="3224"/>
      <c r="AW86" s="3224"/>
      <c r="AX86" s="3224"/>
      <c r="AY86" s="3224"/>
      <c r="AZ86" s="3224"/>
      <c r="BA86" s="3224"/>
      <c r="BB86" s="3224"/>
      <c r="BC86" s="3228" t="str">
        <f>CONCATENATE("  1 unit =  ",CO21," ft")</f>
        <v xml:space="preserve">  1 unit =   ft</v>
      </c>
      <c r="BD86" s="3228"/>
      <c r="BE86" s="3228"/>
      <c r="BF86" s="3228"/>
      <c r="BG86" s="3228"/>
      <c r="BH86" s="3228"/>
      <c r="BI86" s="3229"/>
      <c r="BY86" s="37"/>
      <c r="CA86" s="46">
        <v>24</v>
      </c>
      <c r="CB86" s="49">
        <f t="shared" si="32"/>
        <v>0</v>
      </c>
      <c r="CC86" s="51" t="str">
        <f t="shared" si="33"/>
        <v/>
      </c>
      <c r="CM86" s="46">
        <v>66</v>
      </c>
      <c r="CN86" s="49">
        <f t="shared" si="31"/>
        <v>0</v>
      </c>
      <c r="CO86" s="51" t="str">
        <f t="shared" si="35"/>
        <v/>
      </c>
      <c r="CQ86" s="49">
        <f t="shared" si="36"/>
        <v>0</v>
      </c>
      <c r="CR86" s="51" t="str">
        <f t="shared" si="34"/>
        <v/>
      </c>
      <c r="CS86" s="38"/>
    </row>
    <row r="87" spans="1:97" ht="21.9" customHeight="1">
      <c r="A87" s="3056"/>
      <c r="B87" s="3065" t="s">
        <v>104</v>
      </c>
      <c r="C87" s="3067"/>
      <c r="D87" s="3067"/>
      <c r="E87" s="3067"/>
      <c r="F87" s="3067"/>
      <c r="G87" s="3067"/>
      <c r="H87" s="3067"/>
      <c r="I87" s="3067"/>
      <c r="J87" s="3067"/>
      <c r="K87" s="3067"/>
      <c r="L87" s="3067"/>
      <c r="M87" s="3067"/>
      <c r="N87" s="3067"/>
      <c r="O87" s="3067"/>
      <c r="P87" s="3067"/>
      <c r="Q87" s="3067"/>
      <c r="R87" s="3067"/>
      <c r="S87" s="3067"/>
      <c r="T87" s="3067"/>
      <c r="U87" s="3067"/>
      <c r="V87" s="3067"/>
      <c r="W87" s="3067"/>
      <c r="X87" s="3067"/>
      <c r="Y87" s="3067"/>
      <c r="Z87" s="3067"/>
      <c r="AA87" s="3067"/>
      <c r="AB87" s="3067"/>
      <c r="AC87" s="3067"/>
      <c r="AD87" s="3067"/>
      <c r="AE87" s="3067"/>
      <c r="AF87" s="3067"/>
      <c r="AG87" s="3067"/>
      <c r="AH87" s="3067"/>
      <c r="AI87" s="3067"/>
      <c r="AJ87" s="3067"/>
      <c r="AK87" s="3067"/>
      <c r="AL87" s="3067"/>
      <c r="AM87" s="3067"/>
      <c r="AN87" s="3067"/>
      <c r="AO87" s="3067"/>
      <c r="AP87" s="3067"/>
      <c r="AQ87" s="3067"/>
      <c r="AR87" s="3215" t="s">
        <v>107</v>
      </c>
      <c r="AS87" s="3215"/>
      <c r="AT87" s="3215"/>
      <c r="AU87" s="3215"/>
      <c r="AV87" s="3215"/>
      <c r="AW87" s="3215"/>
      <c r="AX87" s="3215"/>
      <c r="AY87" s="3215"/>
      <c r="AZ87" s="3215"/>
      <c r="BA87" s="3215"/>
      <c r="BB87" s="3215"/>
      <c r="BC87" s="3215"/>
      <c r="BD87" s="3215"/>
      <c r="BE87" s="3215"/>
      <c r="BF87" s="3215"/>
      <c r="BG87" s="3215"/>
      <c r="BH87" s="3215"/>
      <c r="BI87" s="3216"/>
      <c r="BY87" s="37"/>
      <c r="CA87" s="46">
        <v>25</v>
      </c>
      <c r="CB87" s="49">
        <f t="shared" si="32"/>
        <v>0</v>
      </c>
      <c r="CC87" s="51" t="str">
        <f t="shared" si="33"/>
        <v/>
      </c>
      <c r="CM87" s="46">
        <v>67</v>
      </c>
      <c r="CN87" s="49">
        <f t="shared" si="31"/>
        <v>0</v>
      </c>
      <c r="CO87" s="51" t="str">
        <f t="shared" si="35"/>
        <v/>
      </c>
      <c r="CQ87" s="49">
        <f t="shared" si="36"/>
        <v>0</v>
      </c>
      <c r="CR87" s="51" t="str">
        <f t="shared" si="34"/>
        <v/>
      </c>
      <c r="CS87" s="38"/>
    </row>
    <row r="88" spans="1:97" ht="21.9" customHeight="1">
      <c r="A88" s="3056"/>
      <c r="B88" s="3065"/>
      <c r="C88" s="3067"/>
      <c r="D88" s="3067"/>
      <c r="E88" s="3067"/>
      <c r="F88" s="3067"/>
      <c r="G88" s="3067"/>
      <c r="H88" s="3067"/>
      <c r="I88" s="3067"/>
      <c r="J88" s="3067"/>
      <c r="K88" s="3067"/>
      <c r="L88" s="3067"/>
      <c r="M88" s="3067"/>
      <c r="N88" s="3067"/>
      <c r="O88" s="3067"/>
      <c r="P88" s="3067"/>
      <c r="Q88" s="3067"/>
      <c r="R88" s="3067"/>
      <c r="S88" s="3067"/>
      <c r="T88" s="3067"/>
      <c r="U88" s="3067"/>
      <c r="V88" s="3067"/>
      <c r="W88" s="3067"/>
      <c r="X88" s="3067"/>
      <c r="Y88" s="3067"/>
      <c r="Z88" s="3067"/>
      <c r="AA88" s="3067"/>
      <c r="AB88" s="3067"/>
      <c r="AC88" s="3067"/>
      <c r="AD88" s="3067"/>
      <c r="AE88" s="3067"/>
      <c r="AF88" s="3067"/>
      <c r="AG88" s="3067"/>
      <c r="AH88" s="3067"/>
      <c r="AI88" s="3067"/>
      <c r="AJ88" s="3067"/>
      <c r="AK88" s="3067"/>
      <c r="AL88" s="3067"/>
      <c r="AM88" s="3067"/>
      <c r="AN88" s="3067"/>
      <c r="AO88" s="3067"/>
      <c r="AP88" s="3067"/>
      <c r="AQ88" s="3067"/>
      <c r="AR88" s="3255" t="s">
        <v>108</v>
      </c>
      <c r="AS88" s="3255"/>
      <c r="AT88" s="3255"/>
      <c r="AU88" s="3255"/>
      <c r="AV88" s="3255"/>
      <c r="AW88" s="3256"/>
      <c r="AX88" s="3244"/>
      <c r="AY88" s="3245"/>
      <c r="AZ88" s="3245"/>
      <c r="BA88" s="3246"/>
      <c r="BB88" s="3247" t="s">
        <v>109</v>
      </c>
      <c r="BC88" s="3248"/>
      <c r="BD88" s="3249"/>
      <c r="BE88" s="3250"/>
      <c r="BF88" s="3251"/>
      <c r="BG88" s="3251"/>
      <c r="BH88" s="3252"/>
      <c r="BI88" s="96"/>
      <c r="BY88" s="37"/>
      <c r="CA88" s="46">
        <v>26</v>
      </c>
      <c r="CB88" s="49">
        <f t="shared" si="32"/>
        <v>0</v>
      </c>
      <c r="CC88" s="51" t="str">
        <f t="shared" si="33"/>
        <v/>
      </c>
      <c r="CM88" s="46">
        <v>68</v>
      </c>
      <c r="CN88" s="49">
        <f t="shared" si="31"/>
        <v>0</v>
      </c>
      <c r="CO88" s="51" t="str">
        <f t="shared" si="35"/>
        <v/>
      </c>
      <c r="CQ88" s="49">
        <f t="shared" si="36"/>
        <v>0</v>
      </c>
      <c r="CR88" s="51" t="str">
        <f t="shared" si="34"/>
        <v/>
      </c>
      <c r="CS88" s="38"/>
    </row>
    <row r="89" spans="1:97" ht="21.9" customHeight="1">
      <c r="B89" s="3065"/>
      <c r="C89" s="3233"/>
      <c r="D89" s="3233"/>
      <c r="E89" s="3233"/>
      <c r="F89" s="3233"/>
      <c r="G89" s="3233"/>
      <c r="H89" s="3233"/>
      <c r="I89" s="3233"/>
      <c r="J89" s="3233"/>
      <c r="K89" s="3233"/>
      <c r="L89" s="3233"/>
      <c r="M89" s="3233"/>
      <c r="N89" s="3233"/>
      <c r="O89" s="3233"/>
      <c r="P89" s="3233"/>
      <c r="Q89" s="3233"/>
      <c r="R89" s="3233"/>
      <c r="S89" s="3233"/>
      <c r="T89" s="3233"/>
      <c r="U89" s="3233"/>
      <c r="V89" s="3233"/>
      <c r="W89" s="3233"/>
      <c r="X89" s="3233"/>
      <c r="Y89" s="3233"/>
      <c r="Z89" s="3233"/>
      <c r="AA89" s="3233"/>
      <c r="AB89" s="3233"/>
      <c r="AC89" s="3233"/>
      <c r="AD89" s="3233"/>
      <c r="AE89" s="3233"/>
      <c r="AF89" s="3233"/>
      <c r="AG89" s="3233"/>
      <c r="AH89" s="3233"/>
      <c r="AI89" s="3233"/>
      <c r="AJ89" s="3233"/>
      <c r="AK89" s="3233"/>
      <c r="AL89" s="3233"/>
      <c r="AM89" s="3233"/>
      <c r="AN89" s="3234" t="s">
        <v>442</v>
      </c>
      <c r="AO89" s="3234"/>
      <c r="AP89" s="3234"/>
      <c r="AQ89" s="3234"/>
      <c r="AR89" s="3234"/>
      <c r="AS89" s="3234"/>
      <c r="AT89" s="3234"/>
      <c r="AU89" s="3234"/>
      <c r="AV89" s="3234"/>
      <c r="AW89" s="3234"/>
      <c r="AX89" s="3234"/>
      <c r="AY89" s="3234"/>
      <c r="AZ89" s="3234"/>
      <c r="BA89" s="3234"/>
      <c r="BB89" s="3234"/>
      <c r="BC89" s="3234"/>
      <c r="BD89" s="3234"/>
      <c r="BE89" s="3234"/>
      <c r="BF89" s="3234"/>
      <c r="BG89" s="3234"/>
      <c r="BH89" s="3234"/>
      <c r="BI89" s="394"/>
      <c r="BY89" s="37"/>
      <c r="CA89" s="46">
        <v>27</v>
      </c>
      <c r="CB89" s="49">
        <f t="shared" si="32"/>
        <v>0</v>
      </c>
      <c r="CC89" s="51" t="str">
        <f t="shared" si="33"/>
        <v/>
      </c>
      <c r="CM89" s="46">
        <v>69</v>
      </c>
      <c r="CN89" s="49">
        <f t="shared" si="31"/>
        <v>0</v>
      </c>
      <c r="CO89" s="51" t="str">
        <f t="shared" si="35"/>
        <v/>
      </c>
      <c r="CQ89" s="49">
        <f t="shared" si="36"/>
        <v>0</v>
      </c>
      <c r="CR89" s="51" t="str">
        <f t="shared" si="34"/>
        <v/>
      </c>
      <c r="CS89" s="38"/>
    </row>
    <row r="90" spans="1:97" ht="9.9" customHeight="1">
      <c r="B90" s="3066"/>
      <c r="C90" s="3063"/>
      <c r="D90" s="3063"/>
      <c r="E90" s="3063"/>
      <c r="F90" s="3063"/>
      <c r="G90" s="3063"/>
      <c r="H90" s="3063"/>
      <c r="I90" s="3063"/>
      <c r="J90" s="3063"/>
      <c r="K90" s="3063"/>
      <c r="L90" s="3063"/>
      <c r="M90" s="3063"/>
      <c r="N90" s="3063"/>
      <c r="O90" s="3063"/>
      <c r="P90" s="3063"/>
      <c r="Q90" s="3063"/>
      <c r="R90" s="3063"/>
      <c r="S90" s="3063"/>
      <c r="T90" s="3063"/>
      <c r="U90" s="3063"/>
      <c r="V90" s="3063"/>
      <c r="W90" s="3063"/>
      <c r="X90" s="3063"/>
      <c r="Y90" s="3063"/>
      <c r="Z90" s="3063"/>
      <c r="AA90" s="3063"/>
      <c r="AB90" s="3063"/>
      <c r="AC90" s="3063"/>
      <c r="AD90" s="3063"/>
      <c r="AE90" s="3063"/>
      <c r="AF90" s="3063"/>
      <c r="AG90" s="3063"/>
      <c r="AH90" s="3063"/>
      <c r="AI90" s="3063"/>
      <c r="AJ90" s="3063"/>
      <c r="AK90" s="3063"/>
      <c r="AL90" s="3063"/>
      <c r="AM90" s="3063"/>
      <c r="AN90" s="3063"/>
      <c r="AO90" s="3063"/>
      <c r="AP90" s="3063"/>
      <c r="AQ90" s="3063"/>
      <c r="AR90" s="3063"/>
      <c r="AS90" s="3063"/>
      <c r="AT90" s="3063"/>
      <c r="AU90" s="3063"/>
      <c r="AV90" s="3063"/>
      <c r="AW90" s="3063"/>
      <c r="AX90" s="3063"/>
      <c r="AY90" s="3063"/>
      <c r="AZ90" s="3063"/>
      <c r="BA90" s="3063"/>
      <c r="BB90" s="3063"/>
      <c r="BC90" s="3063"/>
      <c r="BD90" s="3063"/>
      <c r="BE90" s="3063"/>
      <c r="BF90" s="3063"/>
      <c r="BG90" s="3063"/>
      <c r="BH90" s="3063"/>
      <c r="BI90" s="105"/>
      <c r="BY90" s="37"/>
      <c r="CA90" s="46">
        <v>28</v>
      </c>
      <c r="CB90" s="49">
        <f t="shared" si="32"/>
        <v>0</v>
      </c>
      <c r="CC90" s="51" t="str">
        <f t="shared" si="33"/>
        <v/>
      </c>
      <c r="CM90" s="46">
        <v>70</v>
      </c>
      <c r="CN90" s="52">
        <f t="shared" si="31"/>
        <v>0</v>
      </c>
      <c r="CO90" s="50" t="str">
        <f t="shared" si="35"/>
        <v/>
      </c>
      <c r="CQ90" s="52">
        <f t="shared" si="36"/>
        <v>0</v>
      </c>
      <c r="CR90" s="50" t="str">
        <f t="shared" si="34"/>
        <v/>
      </c>
      <c r="CS90" s="38"/>
    </row>
    <row r="91" spans="1:97" ht="12.75" customHeight="1">
      <c r="BY91" s="37"/>
      <c r="CA91" s="46">
        <v>29</v>
      </c>
      <c r="CB91" s="49">
        <f t="shared" si="32"/>
        <v>0</v>
      </c>
      <c r="CC91" s="51" t="str">
        <f t="shared" si="33"/>
        <v/>
      </c>
      <c r="CS91" s="38"/>
    </row>
    <row r="92" spans="1:97" ht="15.75" customHeight="1">
      <c r="AY92" s="3142" t="s">
        <v>444</v>
      </c>
      <c r="AZ92" s="3143"/>
      <c r="BF92" s="3142" t="s">
        <v>444</v>
      </c>
      <c r="BG92" s="3143"/>
      <c r="BY92" s="37"/>
      <c r="CA92" s="46">
        <v>30</v>
      </c>
      <c r="CB92" s="52">
        <f t="shared" si="32"/>
        <v>0</v>
      </c>
      <c r="CC92" s="50" t="str">
        <f t="shared" si="33"/>
        <v/>
      </c>
      <c r="CS92" s="38"/>
    </row>
    <row r="93" spans="1:97" ht="12.75" customHeight="1">
      <c r="AN93" s="31"/>
      <c r="AO93" s="31"/>
      <c r="AP93" s="31"/>
      <c r="AQ93" s="31"/>
      <c r="AR93" s="31"/>
      <c r="AS93" s="31"/>
      <c r="AT93" s="31"/>
      <c r="AU93" s="31"/>
      <c r="AV93" s="31"/>
      <c r="AW93" s="31"/>
      <c r="AX93" s="3152" t="s">
        <v>425</v>
      </c>
      <c r="AY93" s="3152"/>
      <c r="AZ93" s="3152"/>
      <c r="BA93" s="3152"/>
      <c r="BB93" s="379"/>
      <c r="BC93" s="379"/>
      <c r="BD93" s="379"/>
      <c r="BE93" s="3152" t="s">
        <v>426</v>
      </c>
      <c r="BF93" s="3152"/>
      <c r="BG93" s="3152"/>
      <c r="BH93" s="3152"/>
      <c r="BI93" s="31"/>
      <c r="BY93" s="37"/>
      <c r="CA93" s="46">
        <v>31</v>
      </c>
      <c r="CB93" s="49">
        <f t="shared" si="32"/>
        <v>0</v>
      </c>
      <c r="CC93" s="51" t="str">
        <f t="shared" si="33"/>
        <v/>
      </c>
      <c r="CS93" s="38"/>
    </row>
    <row r="94" spans="1:97" ht="12.75" customHeight="1">
      <c r="AF94" s="3140" t="s">
        <v>443</v>
      </c>
      <c r="AG94" s="3140"/>
      <c r="AH94" s="3140"/>
      <c r="AI94" s="3140"/>
      <c r="AJ94" s="3140"/>
      <c r="AK94" s="3140"/>
      <c r="AL94" s="3140"/>
      <c r="AM94" s="3140"/>
      <c r="AN94" s="3140"/>
      <c r="AO94" s="3140"/>
      <c r="AP94" s="3140"/>
      <c r="AQ94" s="3140"/>
      <c r="AR94" s="3140"/>
      <c r="AS94" s="3140"/>
      <c r="AT94" s="3140"/>
      <c r="AU94" s="3140"/>
      <c r="AV94" s="3140"/>
      <c r="AW94" s="3141"/>
      <c r="AX94" s="3149" t="e">
        <f>CV49</f>
        <v>#DIV/0!</v>
      </c>
      <c r="AY94" s="3150"/>
      <c r="AZ94" s="3150"/>
      <c r="BA94" s="3151"/>
      <c r="BB94" s="31"/>
      <c r="BC94" s="31"/>
      <c r="BD94" s="31"/>
      <c r="BE94" s="3146">
        <f>CY45</f>
        <v>7</v>
      </c>
      <c r="BF94" s="3147"/>
      <c r="BG94" s="3147"/>
      <c r="BH94" s="3148"/>
      <c r="BI94" s="31"/>
      <c r="BY94" s="37"/>
      <c r="CA94" s="46">
        <v>32</v>
      </c>
      <c r="CB94" s="49">
        <f t="shared" si="32"/>
        <v>0</v>
      </c>
      <c r="CC94" s="51" t="str">
        <f t="shared" si="33"/>
        <v/>
      </c>
      <c r="CS94" s="38"/>
    </row>
    <row r="95" spans="1:97" ht="12.75" customHeight="1">
      <c r="AF95" s="3144" t="s">
        <v>445</v>
      </c>
      <c r="AG95" s="3144"/>
      <c r="AH95" s="3144"/>
      <c r="AI95" s="3144"/>
      <c r="AJ95" s="3144"/>
      <c r="AK95" s="3144"/>
      <c r="AL95" s="3144"/>
      <c r="AM95" s="3144"/>
      <c r="AN95" s="3144"/>
      <c r="AO95" s="3144"/>
      <c r="AP95" s="3144"/>
      <c r="AQ95" s="3144"/>
      <c r="AR95" s="3144"/>
      <c r="AS95" s="3144"/>
      <c r="AT95" s="3144"/>
      <c r="AU95" s="3144"/>
      <c r="AV95" s="3144"/>
      <c r="AW95" s="3144"/>
      <c r="AX95" s="3144"/>
      <c r="AY95" s="3144"/>
      <c r="AZ95" s="3144"/>
      <c r="BA95" s="3144"/>
      <c r="BB95" s="3144"/>
      <c r="BC95" s="3144"/>
      <c r="BD95" s="3144"/>
      <c r="BE95" s="3144"/>
      <c r="BF95" s="3144"/>
      <c r="BG95" s="3144"/>
      <c r="BH95" s="3144"/>
      <c r="BI95" s="31"/>
      <c r="BY95" s="37"/>
      <c r="CA95" s="46">
        <v>33</v>
      </c>
      <c r="CB95" s="49">
        <f t="shared" si="32"/>
        <v>0</v>
      </c>
      <c r="CC95" s="51" t="str">
        <f t="shared" si="33"/>
        <v/>
      </c>
      <c r="CS95" s="38"/>
    </row>
    <row r="96" spans="1:97" ht="12.75" customHeight="1">
      <c r="BN96" s="381" t="s">
        <v>427</v>
      </c>
      <c r="BY96" s="37"/>
      <c r="CA96" s="46">
        <v>34</v>
      </c>
      <c r="CB96" s="49">
        <f t="shared" ref="CB96:CB112" si="37">CB95+CB$63</f>
        <v>0</v>
      </c>
      <c r="CC96" s="51" t="str">
        <f t="shared" ref="CC96:CC112" si="38">IF(AX$88=0,"",CB96)</f>
        <v/>
      </c>
      <c r="CS96" s="38"/>
    </row>
    <row r="97" spans="37:97" ht="12.75" customHeight="1">
      <c r="BY97" s="37"/>
      <c r="CA97" s="46">
        <v>35</v>
      </c>
      <c r="CB97" s="49">
        <f t="shared" si="37"/>
        <v>0</v>
      </c>
      <c r="CC97" s="51" t="str">
        <f t="shared" si="38"/>
        <v/>
      </c>
      <c r="CS97" s="38"/>
    </row>
    <row r="98" spans="37:97" ht="12.75" customHeight="1">
      <c r="BY98" s="37"/>
      <c r="CA98" s="46">
        <v>36</v>
      </c>
      <c r="CB98" s="49">
        <f t="shared" si="37"/>
        <v>0</v>
      </c>
      <c r="CC98" s="51" t="str">
        <f t="shared" si="38"/>
        <v/>
      </c>
      <c r="CS98" s="38"/>
    </row>
    <row r="99" spans="37:97" ht="12.75" customHeight="1">
      <c r="BY99" s="37"/>
      <c r="CA99" s="46">
        <v>37</v>
      </c>
      <c r="CB99" s="49">
        <f t="shared" si="37"/>
        <v>0</v>
      </c>
      <c r="CC99" s="51" t="str">
        <f t="shared" si="38"/>
        <v/>
      </c>
      <c r="CS99" s="38"/>
    </row>
    <row r="100" spans="37:97" ht="15" customHeight="1">
      <c r="AK100" s="3153" t="s">
        <v>429</v>
      </c>
      <c r="AL100" s="3153"/>
      <c r="AM100" s="3153"/>
      <c r="AN100" s="3153"/>
      <c r="AO100" s="3153"/>
      <c r="AP100" s="3153"/>
      <c r="AQ100" s="3153"/>
      <c r="AR100" s="3153"/>
      <c r="AS100" s="3153"/>
      <c r="AT100" s="3153"/>
      <c r="AU100" s="3153"/>
      <c r="AV100" s="3153"/>
      <c r="AW100" s="3154"/>
      <c r="AX100" s="3161" t="e">
        <f>CV27</f>
        <v>#DIV/0!</v>
      </c>
      <c r="AY100" s="3162"/>
      <c r="AZ100" s="3162"/>
      <c r="BA100" s="3163"/>
      <c r="BB100" s="382" t="s">
        <v>267</v>
      </c>
      <c r="BC100" s="382"/>
      <c r="BD100" s="382"/>
      <c r="BE100" s="3161">
        <f>CY27</f>
        <v>0</v>
      </c>
      <c r="BF100" s="3162"/>
      <c r="BG100" s="3162"/>
      <c r="BH100" s="3163"/>
      <c r="BI100" s="382" t="s">
        <v>408</v>
      </c>
      <c r="BY100" s="37"/>
      <c r="CA100" s="46">
        <v>38</v>
      </c>
      <c r="CB100" s="49">
        <f t="shared" si="37"/>
        <v>0</v>
      </c>
      <c r="CC100" s="51" t="str">
        <f t="shared" si="38"/>
        <v/>
      </c>
      <c r="CS100" s="38"/>
    </row>
    <row r="101" spans="37:97" ht="15" customHeight="1">
      <c r="AK101" s="3153" t="s">
        <v>430</v>
      </c>
      <c r="AL101" s="3153"/>
      <c r="AM101" s="3153"/>
      <c r="AN101" s="3153"/>
      <c r="AO101" s="3153"/>
      <c r="AP101" s="3153"/>
      <c r="AQ101" s="3153"/>
      <c r="AR101" s="3153"/>
      <c r="AS101" s="3153"/>
      <c r="AT101" s="3153"/>
      <c r="AU101" s="3153"/>
      <c r="AV101" s="3153"/>
      <c r="AW101" s="3154"/>
      <c r="AX101" s="3161" t="e">
        <f>CV26</f>
        <v>#DIV/0!</v>
      </c>
      <c r="AY101" s="3162"/>
      <c r="AZ101" s="3162"/>
      <c r="BA101" s="3163"/>
      <c r="BB101" s="383" t="s">
        <v>267</v>
      </c>
      <c r="BC101" s="382"/>
      <c r="BD101" s="382"/>
      <c r="BE101" s="3161">
        <f>CY26</f>
        <v>0</v>
      </c>
      <c r="BF101" s="3162"/>
      <c r="BG101" s="3162"/>
      <c r="BH101" s="3163"/>
      <c r="BI101" s="382" t="s">
        <v>408</v>
      </c>
      <c r="BY101" s="37"/>
      <c r="CA101" s="46">
        <v>39</v>
      </c>
      <c r="CB101" s="49">
        <f t="shared" si="37"/>
        <v>0</v>
      </c>
      <c r="CC101" s="51" t="str">
        <f t="shared" si="38"/>
        <v/>
      </c>
      <c r="CS101" s="38"/>
    </row>
    <row r="102" spans="37:97" ht="12.75" customHeight="1">
      <c r="AL102" s="384"/>
      <c r="AM102" s="384"/>
      <c r="AN102" s="380"/>
      <c r="AO102" s="380"/>
      <c r="AP102" s="380"/>
      <c r="AQ102" s="380"/>
      <c r="AR102" s="380"/>
      <c r="AS102" s="380"/>
      <c r="AT102" s="380"/>
      <c r="AU102" s="380"/>
      <c r="AV102" s="380"/>
      <c r="AW102" s="380"/>
      <c r="AX102" s="3160" t="s">
        <v>416</v>
      </c>
      <c r="AY102" s="3160"/>
      <c r="AZ102" s="3160"/>
      <c r="BA102" s="3160"/>
      <c r="BB102" s="380"/>
      <c r="BC102" s="380"/>
      <c r="BD102" s="380"/>
      <c r="BE102" s="3140" t="s">
        <v>417</v>
      </c>
      <c r="BF102" s="3140"/>
      <c r="BG102" s="3140"/>
      <c r="BH102" s="3140"/>
      <c r="BY102" s="37"/>
      <c r="CA102" s="46">
        <v>40</v>
      </c>
      <c r="CB102" s="52">
        <f t="shared" si="37"/>
        <v>0</v>
      </c>
      <c r="CC102" s="50" t="str">
        <f t="shared" si="38"/>
        <v/>
      </c>
      <c r="CS102" s="38"/>
    </row>
    <row r="103" spans="37:97" ht="12.75" customHeight="1">
      <c r="BY103" s="37"/>
      <c r="CA103" s="46">
        <v>41</v>
      </c>
      <c r="CB103" s="49">
        <f t="shared" si="37"/>
        <v>0</v>
      </c>
      <c r="CC103" s="51" t="str">
        <f t="shared" si="38"/>
        <v/>
      </c>
      <c r="CS103" s="38"/>
    </row>
    <row r="104" spans="37:97" ht="12.75" customHeight="1">
      <c r="AL104" s="3145" t="s">
        <v>428</v>
      </c>
      <c r="AM104" s="3145"/>
      <c r="AN104" s="3145"/>
      <c r="AO104" s="3145"/>
      <c r="AP104" s="3145"/>
      <c r="AQ104" s="3145"/>
      <c r="AR104" s="3145"/>
      <c r="AS104" s="3145"/>
      <c r="AT104" s="3145"/>
      <c r="AU104" s="3145"/>
      <c r="AV104" s="3145"/>
      <c r="AW104" s="3145"/>
      <c r="AX104" s="3145"/>
      <c r="AY104" s="3145"/>
      <c r="AZ104" s="3145"/>
      <c r="BA104" s="3145"/>
      <c r="BB104" s="3145"/>
      <c r="BC104" s="3145"/>
      <c r="BD104" s="3145"/>
      <c r="BE104" s="3145"/>
      <c r="BF104" s="3145"/>
      <c r="BG104" s="3145"/>
      <c r="BH104" s="3145"/>
      <c r="BI104" s="3145"/>
      <c r="BY104" s="37"/>
      <c r="CA104" s="46">
        <v>42</v>
      </c>
      <c r="CB104" s="49">
        <f t="shared" si="37"/>
        <v>0</v>
      </c>
      <c r="CC104" s="51" t="str">
        <f t="shared" si="38"/>
        <v/>
      </c>
      <c r="CS104" s="38"/>
    </row>
    <row r="105" spans="37:97">
      <c r="AL105" s="3145"/>
      <c r="AM105" s="3145"/>
      <c r="AN105" s="3145"/>
      <c r="AO105" s="3145"/>
      <c r="AP105" s="3145"/>
      <c r="AQ105" s="3145"/>
      <c r="AR105" s="3145"/>
      <c r="AS105" s="3145"/>
      <c r="AT105" s="3145"/>
      <c r="AU105" s="3145"/>
      <c r="AV105" s="3145"/>
      <c r="AW105" s="3145"/>
      <c r="AX105" s="3145"/>
      <c r="AY105" s="3145"/>
      <c r="AZ105" s="3145"/>
      <c r="BA105" s="3145"/>
      <c r="BB105" s="3145"/>
      <c r="BC105" s="3145"/>
      <c r="BD105" s="3145"/>
      <c r="BE105" s="3145"/>
      <c r="BF105" s="3145"/>
      <c r="BG105" s="3145"/>
      <c r="BH105" s="3145"/>
      <c r="BI105" s="3145"/>
      <c r="BY105" s="37"/>
      <c r="CA105" s="46">
        <v>43</v>
      </c>
      <c r="CB105" s="49">
        <f t="shared" si="37"/>
        <v>0</v>
      </c>
      <c r="CC105" s="51" t="str">
        <f t="shared" si="38"/>
        <v/>
      </c>
      <c r="CS105" s="38"/>
    </row>
    <row r="106" spans="37:97">
      <c r="AL106" s="3145"/>
      <c r="AM106" s="3145"/>
      <c r="AN106" s="3145"/>
      <c r="AO106" s="3145"/>
      <c r="AP106" s="3145"/>
      <c r="AQ106" s="3145"/>
      <c r="AR106" s="3145"/>
      <c r="AS106" s="3145"/>
      <c r="AT106" s="3145"/>
      <c r="AU106" s="3145"/>
      <c r="AV106" s="3145"/>
      <c r="AW106" s="3145"/>
      <c r="AX106" s="3145"/>
      <c r="AY106" s="3145"/>
      <c r="AZ106" s="3145"/>
      <c r="BA106" s="3145"/>
      <c r="BB106" s="3145"/>
      <c r="BC106" s="3145"/>
      <c r="BD106" s="3145"/>
      <c r="BE106" s="3145"/>
      <c r="BF106" s="3145"/>
      <c r="BG106" s="3145"/>
      <c r="BH106" s="3145"/>
      <c r="BI106" s="3145"/>
      <c r="BY106" s="37"/>
      <c r="CA106" s="46">
        <v>44</v>
      </c>
      <c r="CB106" s="49">
        <f t="shared" si="37"/>
        <v>0</v>
      </c>
      <c r="CC106" s="51" t="str">
        <f t="shared" si="38"/>
        <v/>
      </c>
      <c r="CS106" s="38"/>
    </row>
    <row r="107" spans="37:97">
      <c r="AL107" s="3145"/>
      <c r="AM107" s="3145"/>
      <c r="AN107" s="3145"/>
      <c r="AO107" s="3145"/>
      <c r="AP107" s="3145"/>
      <c r="AQ107" s="3145"/>
      <c r="AR107" s="3145"/>
      <c r="AS107" s="3145"/>
      <c r="AT107" s="3145"/>
      <c r="AU107" s="3145"/>
      <c r="AV107" s="3145"/>
      <c r="AW107" s="3145"/>
      <c r="AX107" s="3145"/>
      <c r="AY107" s="3145"/>
      <c r="AZ107" s="3145"/>
      <c r="BA107" s="3145"/>
      <c r="BB107" s="3145"/>
      <c r="BC107" s="3145"/>
      <c r="BD107" s="3145"/>
      <c r="BE107" s="3145"/>
      <c r="BF107" s="3145"/>
      <c r="BG107" s="3145"/>
      <c r="BH107" s="3145"/>
      <c r="BI107" s="3145"/>
      <c r="BY107" s="37"/>
      <c r="CA107" s="46">
        <v>45</v>
      </c>
      <c r="CB107" s="49">
        <f t="shared" si="37"/>
        <v>0</v>
      </c>
      <c r="CC107" s="51" t="str">
        <f t="shared" si="38"/>
        <v/>
      </c>
      <c r="CS107" s="38"/>
    </row>
    <row r="108" spans="37:97" ht="12.75" customHeight="1">
      <c r="AL108" s="3145"/>
      <c r="AM108" s="3145"/>
      <c r="AN108" s="3145"/>
      <c r="AO108" s="3145"/>
      <c r="AP108" s="3145"/>
      <c r="AQ108" s="3145"/>
      <c r="AR108" s="3145"/>
      <c r="AS108" s="3145"/>
      <c r="AT108" s="3145"/>
      <c r="AU108" s="3145"/>
      <c r="AV108" s="3145"/>
      <c r="AW108" s="3145"/>
      <c r="AX108" s="3145"/>
      <c r="AY108" s="3145"/>
      <c r="AZ108" s="3145"/>
      <c r="BA108" s="3145"/>
      <c r="BB108" s="3145"/>
      <c r="BC108" s="3145"/>
      <c r="BD108" s="3145"/>
      <c r="BE108" s="3145"/>
      <c r="BF108" s="3145"/>
      <c r="BG108" s="3145"/>
      <c r="BH108" s="3145"/>
      <c r="BI108" s="3145"/>
      <c r="BY108" s="37"/>
      <c r="CA108" s="46">
        <v>46</v>
      </c>
      <c r="CB108" s="49">
        <f t="shared" si="37"/>
        <v>0</v>
      </c>
      <c r="CC108" s="51" t="str">
        <f t="shared" si="38"/>
        <v/>
      </c>
      <c r="CS108" s="38"/>
    </row>
    <row r="109" spans="37:97">
      <c r="BY109" s="37"/>
      <c r="CA109" s="46">
        <v>47</v>
      </c>
      <c r="CB109" s="49">
        <f t="shared" si="37"/>
        <v>0</v>
      </c>
      <c r="CC109" s="51" t="str">
        <f t="shared" si="38"/>
        <v/>
      </c>
      <c r="CS109" s="38"/>
    </row>
    <row r="110" spans="37:97">
      <c r="BY110" s="37"/>
      <c r="CA110" s="46">
        <v>48</v>
      </c>
      <c r="CB110" s="49">
        <f t="shared" si="37"/>
        <v>0</v>
      </c>
      <c r="CC110" s="51" t="str">
        <f t="shared" si="38"/>
        <v/>
      </c>
      <c r="CS110" s="38"/>
    </row>
    <row r="111" spans="37:97">
      <c r="BY111" s="37"/>
      <c r="CA111" s="46">
        <v>49</v>
      </c>
      <c r="CB111" s="49">
        <f t="shared" si="37"/>
        <v>0</v>
      </c>
      <c r="CC111" s="51" t="str">
        <f t="shared" si="38"/>
        <v/>
      </c>
      <c r="CS111" s="38"/>
    </row>
    <row r="112" spans="37:97">
      <c r="BY112" s="37"/>
      <c r="CA112" s="46">
        <v>50</v>
      </c>
      <c r="CB112" s="52">
        <f t="shared" si="37"/>
        <v>0</v>
      </c>
      <c r="CC112" s="50" t="str">
        <f t="shared" si="38"/>
        <v/>
      </c>
      <c r="CS112" s="38"/>
    </row>
    <row r="113" spans="77:97">
      <c r="BY113" s="37"/>
      <c r="CS113" s="38"/>
    </row>
    <row r="114" spans="77:97">
      <c r="BY114" s="37"/>
      <c r="CS114" s="38"/>
    </row>
    <row r="115" spans="77:97">
      <c r="BY115" s="93"/>
      <c r="BZ115" s="94"/>
      <c r="CA115" s="94"/>
      <c r="CB115" s="94"/>
      <c r="CC115" s="94"/>
      <c r="CD115" s="94"/>
      <c r="CE115" s="94"/>
      <c r="CF115" s="94"/>
      <c r="CG115" s="94"/>
      <c r="CH115" s="94"/>
      <c r="CI115" s="94"/>
      <c r="CJ115" s="94"/>
      <c r="CK115" s="94"/>
      <c r="CL115" s="94"/>
      <c r="CM115" s="94"/>
      <c r="CN115" s="94"/>
      <c r="CO115" s="94"/>
      <c r="CP115" s="94"/>
      <c r="CQ115" s="94"/>
      <c r="CR115" s="94"/>
      <c r="CS115" s="95"/>
    </row>
    <row r="152" spans="101:101">
      <c r="CW152" s="81"/>
    </row>
    <row r="153" spans="101:101">
      <c r="CW153" s="81"/>
    </row>
    <row r="154" spans="101:101">
      <c r="CW154" s="81"/>
    </row>
    <row r="163" spans="89:89">
      <c r="CK163" s="81"/>
    </row>
  </sheetData>
  <sheetProtection algorithmName="SHA-512" hashValue="Ym7n/NzA2mj37rZLg4HDkFwOFP7YaP/bX8sA+cM+bZa8f3FbG3jj0/nwaU9saVCtxRA0S3mP16NejOalmqb3Bw==" saltValue="y1vzylHPS4zcmuXzD7dSsw==" spinCount="100000" sheet="1" objects="1" scenarios="1" selectLockedCells="1"/>
  <mergeCells count="335">
    <mergeCell ref="CA9:CI12"/>
    <mergeCell ref="C88:AQ88"/>
    <mergeCell ref="AX88:BA88"/>
    <mergeCell ref="BB88:BD88"/>
    <mergeCell ref="BE88:BH88"/>
    <mergeCell ref="B83:E83"/>
    <mergeCell ref="BE83:BI83"/>
    <mergeCell ref="AU82:AU83"/>
    <mergeCell ref="AK84:AQ84"/>
    <mergeCell ref="AR84:AT84"/>
    <mergeCell ref="AU84:BA84"/>
    <mergeCell ref="BB84:BD84"/>
    <mergeCell ref="B84:C84"/>
    <mergeCell ref="D84:F84"/>
    <mergeCell ref="G84:M84"/>
    <mergeCell ref="N84:P84"/>
    <mergeCell ref="Q84:W84"/>
    <mergeCell ref="X84:Z84"/>
    <mergeCell ref="AF82:AF83"/>
    <mergeCell ref="AC82:AC83"/>
    <mergeCell ref="AR88:AW88"/>
    <mergeCell ref="AV82:AV83"/>
    <mergeCell ref="AW82:AW83"/>
    <mergeCell ref="AJ9:AM9"/>
    <mergeCell ref="C90:BH90"/>
    <mergeCell ref="AS86:BB86"/>
    <mergeCell ref="BC86:BI86"/>
    <mergeCell ref="BH80:BI81"/>
    <mergeCell ref="AS82:AS83"/>
    <mergeCell ref="AT82:AT83"/>
    <mergeCell ref="AI82:AI83"/>
    <mergeCell ref="AJ82:AJ83"/>
    <mergeCell ref="AK82:AK83"/>
    <mergeCell ref="AL82:AL83"/>
    <mergeCell ref="AM82:AM83"/>
    <mergeCell ref="AN82:AN83"/>
    <mergeCell ref="BE84:BI84"/>
    <mergeCell ref="BA82:BA83"/>
    <mergeCell ref="BB82:BB83"/>
    <mergeCell ref="BC82:BC83"/>
    <mergeCell ref="BD82:BD83"/>
    <mergeCell ref="BE82:BI82"/>
    <mergeCell ref="C89:AM89"/>
    <mergeCell ref="AN89:BH89"/>
    <mergeCell ref="C87:AQ87"/>
    <mergeCell ref="AX82:AX83"/>
    <mergeCell ref="AY82:AY83"/>
    <mergeCell ref="AZ82:AZ83"/>
    <mergeCell ref="B85:BI85"/>
    <mergeCell ref="S86:AR86"/>
    <mergeCell ref="B86:K86"/>
    <mergeCell ref="L86:R86"/>
    <mergeCell ref="AA84:AG84"/>
    <mergeCell ref="AH84:AJ84"/>
    <mergeCell ref="Z82:Z83"/>
    <mergeCell ref="BE71:BG71"/>
    <mergeCell ref="D61:F61"/>
    <mergeCell ref="E77:F77"/>
    <mergeCell ref="BE77:BG77"/>
    <mergeCell ref="E78:F78"/>
    <mergeCell ref="BE78:BG78"/>
    <mergeCell ref="D81:F81"/>
    <mergeCell ref="D72:D80"/>
    <mergeCell ref="E72:F72"/>
    <mergeCell ref="BE72:BG72"/>
    <mergeCell ref="E73:F73"/>
    <mergeCell ref="BE73:BG73"/>
    <mergeCell ref="E74:F74"/>
    <mergeCell ref="BE74:BG74"/>
    <mergeCell ref="E75:F75"/>
    <mergeCell ref="E79:F79"/>
    <mergeCell ref="BE79:BG79"/>
    <mergeCell ref="W5:AA5"/>
    <mergeCell ref="W6:AA6"/>
    <mergeCell ref="W9:AI9"/>
    <mergeCell ref="AR87:BI87"/>
    <mergeCell ref="B10:AT10"/>
    <mergeCell ref="AO82:AO83"/>
    <mergeCell ref="AP82:AP83"/>
    <mergeCell ref="AQ82:AQ83"/>
    <mergeCell ref="AR82:AR83"/>
    <mergeCell ref="B87:B90"/>
    <mergeCell ref="I7:V7"/>
    <mergeCell ref="C8:H8"/>
    <mergeCell ref="I8:V8"/>
    <mergeCell ref="W8:Y8"/>
    <mergeCell ref="AN8:AS8"/>
    <mergeCell ref="B14:C79"/>
    <mergeCell ref="H82:H83"/>
    <mergeCell ref="I82:I83"/>
    <mergeCell ref="J82:J83"/>
    <mergeCell ref="B80:C81"/>
    <mergeCell ref="E80:F80"/>
    <mergeCell ref="O82:O83"/>
    <mergeCell ref="P82:P83"/>
    <mergeCell ref="D71:F71"/>
    <mergeCell ref="D62:D70"/>
    <mergeCell ref="E62:F62"/>
    <mergeCell ref="W82:W83"/>
    <mergeCell ref="X82:X83"/>
    <mergeCell ref="N82:N83"/>
    <mergeCell ref="AG82:AG83"/>
    <mergeCell ref="AH82:AH83"/>
    <mergeCell ref="Q82:Q83"/>
    <mergeCell ref="R82:R83"/>
    <mergeCell ref="S82:S83"/>
    <mergeCell ref="T82:T83"/>
    <mergeCell ref="U82:U83"/>
    <mergeCell ref="V82:V83"/>
    <mergeCell ref="K82:K83"/>
    <mergeCell ref="L82:L83"/>
    <mergeCell ref="M82:M83"/>
    <mergeCell ref="AD82:AD83"/>
    <mergeCell ref="AE82:AE83"/>
    <mergeCell ref="AB82:AB83"/>
    <mergeCell ref="B82:E82"/>
    <mergeCell ref="F82:F83"/>
    <mergeCell ref="G82:G83"/>
    <mergeCell ref="E76:F76"/>
    <mergeCell ref="BE80:BG80"/>
    <mergeCell ref="BE81:BG81"/>
    <mergeCell ref="BE75:BG75"/>
    <mergeCell ref="AA82:AA83"/>
    <mergeCell ref="E60:F60"/>
    <mergeCell ref="BE60:BG60"/>
    <mergeCell ref="E64:F64"/>
    <mergeCell ref="E68:F68"/>
    <mergeCell ref="BE68:BG68"/>
    <mergeCell ref="E69:F69"/>
    <mergeCell ref="BE69:BG69"/>
    <mergeCell ref="E70:F70"/>
    <mergeCell ref="BE70:BG70"/>
    <mergeCell ref="BE64:BG64"/>
    <mergeCell ref="E65:F65"/>
    <mergeCell ref="BE65:BG65"/>
    <mergeCell ref="E66:F66"/>
    <mergeCell ref="BE66:BG66"/>
    <mergeCell ref="E67:F67"/>
    <mergeCell ref="BE67:BG67"/>
    <mergeCell ref="BE62:BG62"/>
    <mergeCell ref="E63:F63"/>
    <mergeCell ref="Y82:Y83"/>
    <mergeCell ref="BE76:BG76"/>
    <mergeCell ref="E53:F53"/>
    <mergeCell ref="BE53:BG53"/>
    <mergeCell ref="E57:F57"/>
    <mergeCell ref="BE57:BG57"/>
    <mergeCell ref="E58:F58"/>
    <mergeCell ref="BE58:BG58"/>
    <mergeCell ref="E59:F59"/>
    <mergeCell ref="BE59:BG59"/>
    <mergeCell ref="E54:F54"/>
    <mergeCell ref="BE54:BG54"/>
    <mergeCell ref="E55:F55"/>
    <mergeCell ref="BE55:BG55"/>
    <mergeCell ref="E56:F56"/>
    <mergeCell ref="BE56:BG56"/>
    <mergeCell ref="CR16:CR18"/>
    <mergeCell ref="BB9:BF9"/>
    <mergeCell ref="CK14:CK16"/>
    <mergeCell ref="AW1:BI1"/>
    <mergeCell ref="AW2:BI2"/>
    <mergeCell ref="AW3:BI3"/>
    <mergeCell ref="O2:AV2"/>
    <mergeCell ref="B11:C13"/>
    <mergeCell ref="D11:F11"/>
    <mergeCell ref="G11:BD11"/>
    <mergeCell ref="BE11:BG11"/>
    <mergeCell ref="BH11:BI13"/>
    <mergeCell ref="D12:D20"/>
    <mergeCell ref="E12:F12"/>
    <mergeCell ref="BE12:BG12"/>
    <mergeCell ref="BE15:BG15"/>
    <mergeCell ref="E16:F16"/>
    <mergeCell ref="BE16:BG16"/>
    <mergeCell ref="E17:F17"/>
    <mergeCell ref="BE17:BG17"/>
    <mergeCell ref="E13:F13"/>
    <mergeCell ref="BE13:BG13"/>
    <mergeCell ref="E14:F14"/>
    <mergeCell ref="C7:H7"/>
    <mergeCell ref="CO16:CO18"/>
    <mergeCell ref="BE14:BG14"/>
    <mergeCell ref="BH14:BI79"/>
    <mergeCell ref="E15:F15"/>
    <mergeCell ref="E20:F20"/>
    <mergeCell ref="BE20:BG20"/>
    <mergeCell ref="D21:F21"/>
    <mergeCell ref="BE21:BG21"/>
    <mergeCell ref="E18:F18"/>
    <mergeCell ref="BE18:BG18"/>
    <mergeCell ref="E19:F19"/>
    <mergeCell ref="BE19:BG19"/>
    <mergeCell ref="E25:F25"/>
    <mergeCell ref="BE25:BG25"/>
    <mergeCell ref="E26:F26"/>
    <mergeCell ref="BE26:BG26"/>
    <mergeCell ref="D22:D30"/>
    <mergeCell ref="E22:F22"/>
    <mergeCell ref="BE22:BG22"/>
    <mergeCell ref="E23:F23"/>
    <mergeCell ref="BE23:BG23"/>
    <mergeCell ref="E24:F24"/>
    <mergeCell ref="BE24:BG24"/>
    <mergeCell ref="E34:F34"/>
    <mergeCell ref="A1:A88"/>
    <mergeCell ref="O1:AV1"/>
    <mergeCell ref="B4:BI4"/>
    <mergeCell ref="E29:F29"/>
    <mergeCell ref="BE29:BG29"/>
    <mergeCell ref="E30:F30"/>
    <mergeCell ref="BE30:BG30"/>
    <mergeCell ref="E27:F27"/>
    <mergeCell ref="BE27:BG27"/>
    <mergeCell ref="E28:F28"/>
    <mergeCell ref="BE28:BG28"/>
    <mergeCell ref="E36:F36"/>
    <mergeCell ref="BE36:BG36"/>
    <mergeCell ref="D31:F31"/>
    <mergeCell ref="BE31:BG31"/>
    <mergeCell ref="D32:D40"/>
    <mergeCell ref="E32:F32"/>
    <mergeCell ref="BE32:BG32"/>
    <mergeCell ref="E33:F33"/>
    <mergeCell ref="BE33:BG33"/>
    <mergeCell ref="D51:F51"/>
    <mergeCell ref="BE51:BG51"/>
    <mergeCell ref="D52:D60"/>
    <mergeCell ref="E52:F52"/>
    <mergeCell ref="E37:F37"/>
    <mergeCell ref="BE37:BG37"/>
    <mergeCell ref="E38:F38"/>
    <mergeCell ref="BE38:BG38"/>
    <mergeCell ref="E39:F39"/>
    <mergeCell ref="BE39:BG39"/>
    <mergeCell ref="E35:F35"/>
    <mergeCell ref="BE35:BG35"/>
    <mergeCell ref="B1:N1"/>
    <mergeCell ref="B2:N2"/>
    <mergeCell ref="O3:AV3"/>
    <mergeCell ref="B3:N3"/>
    <mergeCell ref="C9:H9"/>
    <mergeCell ref="I9:V9"/>
    <mergeCell ref="BG9:BH9"/>
    <mergeCell ref="AO5:AV5"/>
    <mergeCell ref="C5:H5"/>
    <mergeCell ref="I5:V5"/>
    <mergeCell ref="AB5:AF5"/>
    <mergeCell ref="C6:H6"/>
    <mergeCell ref="Z8:AI8"/>
    <mergeCell ref="I6:V6"/>
    <mergeCell ref="AB6:AF6"/>
    <mergeCell ref="AJ8:AM8"/>
    <mergeCell ref="E40:F40"/>
    <mergeCell ref="BE40:BG40"/>
    <mergeCell ref="D41:F41"/>
    <mergeCell ref="D42:D50"/>
    <mergeCell ref="E42:F42"/>
    <mergeCell ref="BE42:BG42"/>
    <mergeCell ref="E43:F43"/>
    <mergeCell ref="BE43:BG43"/>
    <mergeCell ref="E44:F44"/>
    <mergeCell ref="E47:F47"/>
    <mergeCell ref="BE47:BG47"/>
    <mergeCell ref="E48:F48"/>
    <mergeCell ref="BE48:BG48"/>
    <mergeCell ref="E49:F49"/>
    <mergeCell ref="BE49:BG49"/>
    <mergeCell ref="BE44:BG44"/>
    <mergeCell ref="E45:F45"/>
    <mergeCell ref="BE45:BG45"/>
    <mergeCell ref="E46:F46"/>
    <mergeCell ref="BE46:BG46"/>
    <mergeCell ref="E50:F50"/>
    <mergeCell ref="BE50:BG50"/>
    <mergeCell ref="BE41:BG41"/>
    <mergeCell ref="CA5:CB6"/>
    <mergeCell ref="BD5:BE5"/>
    <mergeCell ref="AU6:AX6"/>
    <mergeCell ref="AY6:BH6"/>
    <mergeCell ref="AG5:AN5"/>
    <mergeCell ref="AG6:AL6"/>
    <mergeCell ref="AW5:AZ5"/>
    <mergeCell ref="BL8:CK8"/>
    <mergeCell ref="BE63:BG63"/>
    <mergeCell ref="BE61:BG61"/>
    <mergeCell ref="W7:AT7"/>
    <mergeCell ref="AM6:AT6"/>
    <mergeCell ref="AW7:BA7"/>
    <mergeCell ref="AW8:BA8"/>
    <mergeCell ref="AW9:BA9"/>
    <mergeCell ref="BA5:BC5"/>
    <mergeCell ref="BB7:BF7"/>
    <mergeCell ref="BB8:BF8"/>
    <mergeCell ref="AN9:AS9"/>
    <mergeCell ref="BF5:BH5"/>
    <mergeCell ref="BG7:BH7"/>
    <mergeCell ref="BG8:BH8"/>
    <mergeCell ref="AU7:AV10"/>
    <mergeCell ref="AW10:BI10"/>
    <mergeCell ref="CU21:CY21"/>
    <mergeCell ref="CU22:CY22"/>
    <mergeCell ref="CU23:CY23"/>
    <mergeCell ref="AX102:BA102"/>
    <mergeCell ref="AX101:BA101"/>
    <mergeCell ref="BE102:BH102"/>
    <mergeCell ref="BE101:BH101"/>
    <mergeCell ref="AX100:BA100"/>
    <mergeCell ref="BE100:BH100"/>
    <mergeCell ref="CE70:CF70"/>
    <mergeCell ref="CF72:CG72"/>
    <mergeCell ref="CF75:CG75"/>
    <mergeCell ref="CE63:CF63"/>
    <mergeCell ref="CE64:CF64"/>
    <mergeCell ref="CE65:CF65"/>
    <mergeCell ref="CE66:CF66"/>
    <mergeCell ref="CE67:CF67"/>
    <mergeCell ref="CE68:CF68"/>
    <mergeCell ref="CE69:CF69"/>
    <mergeCell ref="BE34:BG34"/>
    <mergeCell ref="CC58:CC60"/>
    <mergeCell ref="BE52:BG52"/>
    <mergeCell ref="CE61:CF61"/>
    <mergeCell ref="CE62:CF62"/>
    <mergeCell ref="AF94:AW94"/>
    <mergeCell ref="AY92:AZ92"/>
    <mergeCell ref="BF92:BG92"/>
    <mergeCell ref="AF95:BH95"/>
    <mergeCell ref="AL104:BI108"/>
    <mergeCell ref="BE94:BH94"/>
    <mergeCell ref="AX94:BA94"/>
    <mergeCell ref="AX93:BA93"/>
    <mergeCell ref="BE93:BH93"/>
    <mergeCell ref="AK100:AW100"/>
    <mergeCell ref="AK101:AW101"/>
  </mergeCells>
  <conditionalFormatting sqref="I8:J8">
    <cfRule type="expression" dxfId="23" priority="78">
      <formula>I8=CE63</formula>
    </cfRule>
  </conditionalFormatting>
  <conditionalFormatting sqref="I9:J9">
    <cfRule type="expression" dxfId="22" priority="80">
      <formula>I9=CE66</formula>
    </cfRule>
  </conditionalFormatting>
  <conditionalFormatting sqref="K8">
    <cfRule type="expression" dxfId="21" priority="46">
      <formula>K8=CI59</formula>
    </cfRule>
  </conditionalFormatting>
  <conditionalFormatting sqref="K9">
    <cfRule type="expression" dxfId="20" priority="49">
      <formula>K9=CI62</formula>
    </cfRule>
  </conditionalFormatting>
  <conditionalFormatting sqref="L8:U8">
    <cfRule type="expression" dxfId="19" priority="9">
      <formula>L8=CK53</formula>
    </cfRule>
  </conditionalFormatting>
  <conditionalFormatting sqref="L9:U9">
    <cfRule type="expression" dxfId="18" priority="6">
      <formula>L9=CK56</formula>
    </cfRule>
  </conditionalFormatting>
  <conditionalFormatting sqref="V9">
    <cfRule type="expression" dxfId="17" priority="37">
      <formula>V9=#REF!</formula>
    </cfRule>
  </conditionalFormatting>
  <conditionalFormatting sqref="Z8:AA8">
    <cfRule type="expression" dxfId="16" priority="77">
      <formula>Z8=CE64</formula>
    </cfRule>
  </conditionalFormatting>
  <conditionalFormatting sqref="AB8">
    <cfRule type="expression" dxfId="15" priority="42">
      <formula>AB8=CI60</formula>
    </cfRule>
  </conditionalFormatting>
  <conditionalFormatting sqref="AC8:AI8">
    <cfRule type="expression" dxfId="14" priority="8">
      <formula>AC8=CK54</formula>
    </cfRule>
  </conditionalFormatting>
  <conditionalFormatting sqref="AN8:AO8">
    <cfRule type="expression" dxfId="13" priority="79">
      <formula>AN8=CE65</formula>
    </cfRule>
  </conditionalFormatting>
  <conditionalFormatting sqref="AN9:AO9">
    <cfRule type="expression" dxfId="12" priority="81">
      <formula>AN9=CE67</formula>
    </cfRule>
  </conditionalFormatting>
  <conditionalFormatting sqref="AP8">
    <cfRule type="expression" dxfId="11" priority="48">
      <formula>AP8=CI61</formula>
    </cfRule>
  </conditionalFormatting>
  <conditionalFormatting sqref="AP9">
    <cfRule type="expression" dxfId="10" priority="50">
      <formula>AP9=CI63</formula>
    </cfRule>
  </conditionalFormatting>
  <conditionalFormatting sqref="AQ8:AS8">
    <cfRule type="expression" dxfId="9" priority="7">
      <formula>AQ8=CK55</formula>
    </cfRule>
  </conditionalFormatting>
  <conditionalFormatting sqref="AR9:AS9">
    <cfRule type="expression" dxfId="8" priority="5">
      <formula>AR9=CL57</formula>
    </cfRule>
  </conditionalFormatting>
  <conditionalFormatting sqref="BB7:BC9">
    <cfRule type="expression" dxfId="7" priority="82">
      <formula>BB7=CE68</formula>
    </cfRule>
  </conditionalFormatting>
  <conditionalFormatting sqref="BD7:BD9">
    <cfRule type="expression" dxfId="6" priority="51">
      <formula>BD7=CI64</formula>
    </cfRule>
  </conditionalFormatting>
  <conditionalFormatting sqref="BE7:BE9 V8 AQ9">
    <cfRule type="expression" dxfId="5" priority="54">
      <formula>V7=#REF!</formula>
    </cfRule>
  </conditionalFormatting>
  <conditionalFormatting sqref="BF7:BF9">
    <cfRule type="expression" dxfId="4" priority="4">
      <formula>BF7=CL58</formula>
    </cfRule>
  </conditionalFormatting>
  <conditionalFormatting sqref="BL8">
    <cfRule type="expression" dxfId="3" priority="83">
      <formula>AND(I8=CE63,Z8=CE64,AN8=CE65,I9=CE66,AN9=CE67,BB7=CE68,BB8=CE69,BB9=CE70)</formula>
    </cfRule>
  </conditionalFormatting>
  <dataValidations count="11">
    <dataValidation type="list" allowBlank="1" showInputMessage="1" sqref="BA5:BC5 BF5:BH5" xr:uid="{00000000-0002-0000-0D00-000000000000}">
      <formula1>$CK$17:$CK$27</formula1>
    </dataValidation>
    <dataValidation type="list" allowBlank="1" showInputMessage="1" showErrorMessage="1" errorTitle="X-axis MAX value selection:" error="MAX value manually input here must match a value included in this cell's drop-down list, or you may opt to leave cell BLANK.  If left BLANK, units can be manually applied along the X-axis on a printed copy of the Field Sheet." sqref="AX88:BA88" xr:uid="{00000000-0002-0000-0D00-000001000000}">
      <formula1>$CG$19:$CG$38</formula1>
    </dataValidation>
    <dataValidation type="list" allowBlank="1" showInputMessage="1" showErrorMessage="1" errorTitle="Y-axis MAX value selection:" error="MAX value manually input here must match a value included in this cell's drop-down list, or you may opt to leave cell BLANK.  If left BLANK, units can be manually applied along the Y-axis on a printed copy of the Field Sheet." sqref="BE88:BH88" xr:uid="{00000000-0002-0000-0D00-000002000000}">
      <formula1>$CI$41:$CI$54</formula1>
    </dataValidation>
    <dataValidation type="list" allowBlank="1" showInputMessage="1" sqref="BB9:BF9" xr:uid="{00000000-0002-0000-0D00-000003000000}">
      <formula1>$CE$70</formula1>
    </dataValidation>
    <dataValidation type="list" allowBlank="1" showInputMessage="1" sqref="I8:V8" xr:uid="{00000000-0002-0000-0D00-000004000000}">
      <formula1>$CE$63</formula1>
    </dataValidation>
    <dataValidation type="list" allowBlank="1" showInputMessage="1" sqref="I9:V9" xr:uid="{00000000-0002-0000-0D00-000005000000}">
      <formula1>$CE$66</formula1>
    </dataValidation>
    <dataValidation type="list" allowBlank="1" showInputMessage="1" sqref="Z8" xr:uid="{00000000-0002-0000-0D00-000006000000}">
      <formula1>$CE$64</formula1>
    </dataValidation>
    <dataValidation type="list" allowBlank="1" showInputMessage="1" sqref="AN8:AS8" xr:uid="{00000000-0002-0000-0D00-000007000000}">
      <formula1>$CE$65</formula1>
    </dataValidation>
    <dataValidation type="list" allowBlank="1" showInputMessage="1" sqref="AN9:AS9" xr:uid="{00000000-0002-0000-0D00-000008000000}">
      <formula1>$CE$67</formula1>
    </dataValidation>
    <dataValidation type="list" allowBlank="1" showInputMessage="1" sqref="BB7:BF7" xr:uid="{00000000-0002-0000-0D00-000009000000}">
      <formula1>$CE$68</formula1>
    </dataValidation>
    <dataValidation type="list" allowBlank="1" showInputMessage="1" sqref="BB8:BF8" xr:uid="{00000000-0002-0000-0D00-00000A000000}">
      <formula1>$CE$69</formula1>
    </dataValidation>
  </dataValidations>
  <printOptions horizontalCentered="1" verticalCentered="1"/>
  <pageMargins left="0" right="0" top="0" bottom="0" header="0" footer="0"/>
  <pageSetup scale="61" orientation="portrait"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1">
    <tabColor rgb="FFFFCC66"/>
    <pageSetUpPr fitToPage="1"/>
  </sheetPr>
  <dimension ref="B1:AC59"/>
  <sheetViews>
    <sheetView topLeftCell="A4" zoomScale="56" zoomScaleNormal="56" workbookViewId="0">
      <selection activeCell="X37" sqref="X37:Y37"/>
    </sheetView>
  </sheetViews>
  <sheetFormatPr defaultColWidth="8.88671875" defaultRowHeight="14.4"/>
  <cols>
    <col min="1" max="2" width="1.88671875" customWidth="1"/>
    <col min="3" max="3" width="21.109375" customWidth="1"/>
    <col min="6" max="6" width="2.44140625" customWidth="1"/>
    <col min="7" max="7" width="10.5546875" customWidth="1"/>
    <col min="8" max="8" width="13.33203125" customWidth="1"/>
    <col min="9" max="10" width="1.5546875" customWidth="1"/>
    <col min="11" max="11" width="14.44140625" customWidth="1"/>
    <col min="13" max="13" width="6.6640625" customWidth="1"/>
    <col min="15" max="15" width="12" customWidth="1"/>
    <col min="17" max="17" width="8" customWidth="1"/>
    <col min="18" max="18" width="5.109375" customWidth="1"/>
    <col min="19" max="19" width="1.109375" customWidth="1"/>
    <col min="20" max="20" width="6.5546875" customWidth="1"/>
    <col min="21" max="21" width="31.44140625" customWidth="1"/>
    <col min="22" max="22" width="8" customWidth="1"/>
    <col min="23" max="23" width="2.33203125" customWidth="1"/>
    <col min="26" max="26" width="2.6640625" customWidth="1"/>
    <col min="28" max="28" width="9.109375" customWidth="1"/>
    <col min="29" max="29" width="2.33203125" customWidth="1"/>
  </cols>
  <sheetData>
    <row r="1" spans="2:29" ht="21.75" customHeight="1">
      <c r="B1" s="702"/>
      <c r="C1" s="597"/>
      <c r="D1" s="597"/>
      <c r="E1" s="597"/>
      <c r="F1" s="597"/>
      <c r="G1" s="597"/>
      <c r="H1" s="597"/>
      <c r="I1" s="597"/>
      <c r="J1" s="597"/>
      <c r="K1" s="597"/>
      <c r="L1" s="598"/>
      <c r="M1" s="597"/>
      <c r="N1" s="597"/>
      <c r="O1" s="597"/>
      <c r="P1" s="597"/>
      <c r="Q1" s="597"/>
      <c r="R1" s="597"/>
      <c r="S1" s="597"/>
      <c r="T1" s="597"/>
      <c r="U1" s="597"/>
      <c r="V1" s="597"/>
      <c r="W1" s="597"/>
      <c r="X1" s="597"/>
      <c r="Y1" s="597"/>
      <c r="Z1" s="1588" t="str">
        <f>'DS Log Pg 1'!U1</f>
        <v>700-010-84</v>
      </c>
      <c r="AA1" s="1588"/>
      <c r="AB1" s="1588"/>
      <c r="AC1" s="1588"/>
    </row>
    <row r="2" spans="2:29" ht="21.75" customHeight="1">
      <c r="B2" s="1589" t="s">
        <v>805</v>
      </c>
      <c r="C2" s="1589"/>
      <c r="D2" s="1589"/>
      <c r="E2" s="1589"/>
      <c r="F2" s="1589"/>
      <c r="G2" s="1589"/>
      <c r="H2" s="1589"/>
      <c r="I2" s="1589"/>
      <c r="J2" s="1589"/>
      <c r="K2" s="1589"/>
      <c r="L2" s="1589"/>
      <c r="M2" s="1589"/>
      <c r="N2" s="1589"/>
      <c r="O2" s="1589"/>
      <c r="P2" s="1589"/>
      <c r="Q2" s="1589"/>
      <c r="R2" s="1589"/>
      <c r="S2" s="1589"/>
      <c r="T2" s="1589"/>
      <c r="U2" s="1589"/>
      <c r="V2" s="1589"/>
      <c r="W2" s="1589"/>
      <c r="X2" s="1589"/>
      <c r="Y2" s="1589"/>
      <c r="Z2" s="1589"/>
      <c r="AA2" s="1589"/>
      <c r="AB2" s="1589"/>
      <c r="AC2" s="1589"/>
    </row>
    <row r="3" spans="2:29" ht="21.75" customHeight="1">
      <c r="B3" s="702"/>
      <c r="C3" s="751"/>
      <c r="D3" s="1591" t="s">
        <v>98</v>
      </c>
      <c r="E3" s="1591"/>
      <c r="F3" s="1591"/>
      <c r="G3" s="1591"/>
      <c r="H3" s="1591"/>
      <c r="I3" s="1591"/>
      <c r="J3" s="1591"/>
      <c r="K3" s="1591"/>
      <c r="L3" s="1591"/>
      <c r="M3" s="1591"/>
      <c r="N3" s="1591"/>
      <c r="O3" s="1591"/>
      <c r="P3" s="1591"/>
      <c r="Q3" s="1591"/>
      <c r="R3" s="1591"/>
      <c r="S3" s="1591"/>
      <c r="T3" s="1591"/>
      <c r="U3" s="1591"/>
      <c r="V3" s="1591"/>
      <c r="W3" s="1591"/>
      <c r="X3" s="1591"/>
      <c r="Y3" s="1591"/>
      <c r="Z3" s="1685">
        <f>'DS Log Pg 1'!U3</f>
        <v>45222</v>
      </c>
      <c r="AA3" s="1685"/>
      <c r="AB3" s="1685"/>
      <c r="AC3" s="1685"/>
    </row>
    <row r="4" spans="2:29" ht="25.5" customHeight="1">
      <c r="B4" s="702"/>
      <c r="C4" s="3257" t="s">
        <v>806</v>
      </c>
      <c r="D4" s="3257"/>
      <c r="E4" s="3257"/>
      <c r="F4" s="3257"/>
      <c r="G4" s="3257"/>
      <c r="H4" s="3257"/>
      <c r="I4" s="3257"/>
      <c r="J4" s="3257"/>
      <c r="K4" s="3257"/>
      <c r="L4" s="3257"/>
      <c r="M4" s="3257"/>
      <c r="N4" s="3257"/>
      <c r="O4" s="3257"/>
      <c r="P4" s="3257"/>
      <c r="Q4" s="3257"/>
      <c r="R4" s="3257"/>
      <c r="S4" s="3257"/>
      <c r="T4" s="3257"/>
      <c r="U4" s="3257"/>
      <c r="V4" s="3257"/>
      <c r="W4" s="3257"/>
      <c r="X4" s="3257"/>
      <c r="Y4" s="3257"/>
      <c r="Z4" s="3257"/>
      <c r="AA4" s="3257"/>
      <c r="AB4" s="3257"/>
      <c r="AC4" s="3257"/>
    </row>
    <row r="5" spans="2:29" ht="24.6" thickBot="1">
      <c r="B5" s="702"/>
      <c r="C5" s="696" t="s">
        <v>807</v>
      </c>
      <c r="D5" s="698"/>
      <c r="E5" s="698"/>
      <c r="F5" s="698"/>
      <c r="G5" s="698"/>
      <c r="H5" s="698"/>
      <c r="I5" s="698"/>
      <c r="J5" s="698"/>
      <c r="K5" s="698"/>
      <c r="L5" s="695"/>
      <c r="M5" s="698"/>
      <c r="N5" s="698"/>
      <c r="O5" s="698"/>
      <c r="P5" s="698"/>
      <c r="Q5" s="698"/>
      <c r="R5" s="698"/>
      <c r="S5" s="698"/>
      <c r="T5" s="698"/>
      <c r="U5" s="694"/>
      <c r="V5" s="698"/>
      <c r="W5" s="698"/>
      <c r="X5" s="698"/>
      <c r="Y5" s="3258"/>
      <c r="Z5" s="3259"/>
      <c r="AA5" s="3259"/>
      <c r="AB5" s="698"/>
      <c r="AC5" s="698"/>
    </row>
    <row r="6" spans="2:29" ht="28.8" thickTop="1" thickBot="1">
      <c r="B6" s="703"/>
      <c r="C6" s="597"/>
      <c r="D6" s="597"/>
      <c r="E6" s="597"/>
      <c r="F6" s="597"/>
      <c r="G6" s="597"/>
      <c r="H6" s="597"/>
      <c r="I6" s="597"/>
      <c r="J6" s="597"/>
      <c r="K6" s="597"/>
      <c r="L6" s="598"/>
      <c r="M6" s="597"/>
      <c r="N6" s="597"/>
      <c r="O6" s="597"/>
      <c r="P6" s="597"/>
      <c r="Q6" s="597"/>
      <c r="R6" s="597"/>
      <c r="S6" s="597"/>
      <c r="T6" s="597"/>
      <c r="U6" s="700" t="s">
        <v>10</v>
      </c>
      <c r="V6" s="700"/>
      <c r="W6" s="700"/>
      <c r="X6" s="937"/>
      <c r="Y6" s="936" t="s">
        <v>981</v>
      </c>
      <c r="Z6" s="693"/>
      <c r="AA6" s="937"/>
      <c r="AB6" s="693"/>
      <c r="AC6" s="692"/>
    </row>
    <row r="7" spans="2:29" ht="32.4" customHeight="1" thickTop="1" thickBot="1">
      <c r="B7" s="704"/>
      <c r="C7" s="1594" t="s">
        <v>78</v>
      </c>
      <c r="D7" s="1594"/>
      <c r="E7" s="3260" t="str">
        <f>IF('DS Log Pg 1'!D7="","",'DS Log Pg 1'!D7)</f>
        <v/>
      </c>
      <c r="F7" s="3260"/>
      <c r="G7" s="3260"/>
      <c r="H7" s="3260"/>
      <c r="I7" s="3260"/>
      <c r="J7" s="3260"/>
      <c r="K7" s="3260"/>
      <c r="L7" s="3260"/>
      <c r="M7" s="3260"/>
      <c r="N7" s="3260"/>
      <c r="O7" s="3260"/>
      <c r="P7" s="3260"/>
      <c r="Q7" s="3260"/>
      <c r="R7" s="3260"/>
      <c r="S7" s="705"/>
      <c r="T7" s="687"/>
      <c r="U7" s="700" t="s">
        <v>680</v>
      </c>
      <c r="V7" s="700"/>
      <c r="W7" s="700"/>
      <c r="X7" s="3261" t="str">
        <f>IF('DS Log Pg 1'!S7="","",'DS Log Pg 1'!S7)</f>
        <v/>
      </c>
      <c r="Y7" s="3261"/>
      <c r="Z7" s="3261"/>
      <c r="AA7" s="3261"/>
      <c r="AB7" s="3261"/>
      <c r="AC7" s="699"/>
    </row>
    <row r="8" spans="2:29" ht="32.4" thickTop="1" thickBot="1">
      <c r="B8" s="704"/>
      <c r="C8" s="1594" t="s">
        <v>681</v>
      </c>
      <c r="D8" s="1593"/>
      <c r="E8" s="3260" t="str">
        <f>IF('DS Log Pg 1'!D8="","",'DS Log Pg 1'!D8)</f>
        <v/>
      </c>
      <c r="F8" s="3260"/>
      <c r="G8" s="3260"/>
      <c r="H8" s="3260"/>
      <c r="I8" s="3260"/>
      <c r="J8" s="3260"/>
      <c r="K8" s="3260"/>
      <c r="L8" s="3260"/>
      <c r="M8" s="3260"/>
      <c r="N8" s="3260"/>
      <c r="O8" s="3260"/>
      <c r="P8" s="3260"/>
      <c r="Q8" s="3260"/>
      <c r="R8" s="3260"/>
      <c r="S8" s="706"/>
      <c r="T8" s="687"/>
      <c r="U8" s="700" t="s">
        <v>671</v>
      </c>
      <c r="V8" s="700"/>
      <c r="W8" s="700"/>
      <c r="X8" s="3261" t="str">
        <f>IF('DS Log Pg 1'!S8="","",'DS Log Pg 1'!S8)</f>
        <v/>
      </c>
      <c r="Y8" s="3261"/>
      <c r="Z8" s="3261"/>
      <c r="AA8" s="3261"/>
      <c r="AB8" s="3261"/>
      <c r="AC8" s="699"/>
    </row>
    <row r="9" spans="2:29" ht="32.4" thickTop="1" thickBot="1">
      <c r="B9" s="704"/>
      <c r="C9" s="1594" t="s">
        <v>82</v>
      </c>
      <c r="D9" s="1593"/>
      <c r="E9" s="3260" t="str">
        <f>IF('DS Log Pg 1'!D9="","",'DS Log Pg 1'!D9)</f>
        <v/>
      </c>
      <c r="F9" s="3260"/>
      <c r="G9" s="3260"/>
      <c r="H9" s="3260"/>
      <c r="I9" s="3260"/>
      <c r="J9" s="3260"/>
      <c r="K9" s="3260"/>
      <c r="L9" s="3260"/>
      <c r="M9" s="3260"/>
      <c r="N9" s="3260"/>
      <c r="O9" s="3260"/>
      <c r="P9" s="3260"/>
      <c r="Q9" s="3260"/>
      <c r="R9" s="3260"/>
      <c r="S9" s="705"/>
      <c r="T9" s="687"/>
      <c r="U9" s="700" t="s">
        <v>673</v>
      </c>
      <c r="V9" s="700"/>
      <c r="W9" s="700"/>
      <c r="X9" s="3261" t="str">
        <f>IF('DS Log Pg 1'!S9="","",'DS Log Pg 1'!S9)</f>
        <v/>
      </c>
      <c r="Y9" s="3261"/>
      <c r="Z9" s="3261"/>
      <c r="AA9" s="3261"/>
      <c r="AB9" s="3261"/>
      <c r="AC9" s="699"/>
    </row>
    <row r="10" spans="2:29" ht="30" customHeight="1" thickTop="1" thickBot="1">
      <c r="B10" s="704"/>
      <c r="C10" s="1594" t="s">
        <v>682</v>
      </c>
      <c r="D10" s="1593"/>
      <c r="E10" s="3262"/>
      <c r="F10" s="3262"/>
      <c r="G10" s="3262"/>
      <c r="H10" s="3262"/>
      <c r="I10" s="3262"/>
      <c r="J10" s="3262"/>
      <c r="K10" s="707" t="s">
        <v>674</v>
      </c>
      <c r="L10" s="3263"/>
      <c r="M10" s="3263"/>
      <c r="N10" s="3263"/>
      <c r="O10" s="690" t="s">
        <v>683</v>
      </c>
      <c r="P10" s="3264"/>
      <c r="Q10" s="3265"/>
      <c r="R10" s="3265"/>
      <c r="S10" s="708"/>
      <c r="T10" s="687"/>
      <c r="U10" s="700" t="s">
        <v>676</v>
      </c>
      <c r="V10" s="700"/>
      <c r="W10" s="700"/>
      <c r="X10" s="3261" t="str">
        <f>IF('DS Log Pg 1'!S10="","",'DS Log Pg 1'!S10)</f>
        <v/>
      </c>
      <c r="Y10" s="3261"/>
      <c r="Z10" s="3261"/>
      <c r="AA10" s="3261"/>
      <c r="AB10" s="3261"/>
      <c r="AC10" s="699"/>
    </row>
    <row r="11" spans="2:29" ht="29.4" thickTop="1" thickBot="1">
      <c r="B11" s="704"/>
      <c r="C11" s="1594" t="s">
        <v>684</v>
      </c>
      <c r="D11" s="1593"/>
      <c r="E11" s="3268"/>
      <c r="F11" s="3268"/>
      <c r="G11" s="3268"/>
      <c r="H11" s="3268"/>
      <c r="I11" s="3268"/>
      <c r="J11" s="3268"/>
      <c r="K11" s="3268"/>
      <c r="L11" s="3268"/>
      <c r="M11" s="3268"/>
      <c r="N11" s="3268"/>
      <c r="O11" s="688" t="s">
        <v>683</v>
      </c>
      <c r="P11" s="3264"/>
      <c r="Q11" s="3265"/>
      <c r="R11" s="3265"/>
      <c r="S11" s="708"/>
      <c r="T11" s="687"/>
      <c r="U11" s="1594" t="s">
        <v>685</v>
      </c>
      <c r="V11" s="3269"/>
      <c r="W11" s="701"/>
      <c r="X11" s="3261" t="str">
        <f>IF('DS Log Pg 1'!S11="","",'DS Log Pg 1'!S11)</f>
        <v/>
      </c>
      <c r="Y11" s="3261"/>
      <c r="Z11" s="3261"/>
      <c r="AA11" s="3261"/>
      <c r="AB11" s="3261"/>
      <c r="AC11" s="699"/>
    </row>
    <row r="12" spans="2:29" ht="28.8" thickTop="1">
      <c r="B12" s="704"/>
      <c r="C12" s="700"/>
      <c r="D12" s="597"/>
      <c r="E12" s="1738" t="s">
        <v>686</v>
      </c>
      <c r="F12" s="1738"/>
      <c r="G12" s="1738"/>
      <c r="H12" s="1738"/>
      <c r="I12" s="1738"/>
      <c r="J12" s="1738"/>
      <c r="K12" s="1738"/>
      <c r="L12" s="1738"/>
      <c r="M12" s="1738"/>
      <c r="N12" s="689"/>
      <c r="O12" s="688"/>
      <c r="P12" s="709"/>
      <c r="Q12" s="708"/>
      <c r="R12" s="708"/>
      <c r="S12" s="708"/>
      <c r="T12" s="687"/>
      <c r="U12" s="700"/>
      <c r="V12" s="701"/>
      <c r="W12" s="701"/>
      <c r="X12" s="710"/>
      <c r="Y12" s="693"/>
      <c r="Z12" s="693"/>
      <c r="AA12" s="693"/>
      <c r="AB12" s="693"/>
      <c r="AC12" s="699"/>
    </row>
    <row r="13" spans="2:29" ht="7.5" customHeight="1" thickBot="1">
      <c r="B13" s="711"/>
      <c r="C13" s="698"/>
      <c r="D13" s="698"/>
      <c r="E13" s="712"/>
      <c r="F13" s="712"/>
      <c r="G13" s="712"/>
      <c r="H13" s="712"/>
      <c r="I13" s="712"/>
      <c r="J13" s="712"/>
      <c r="K13" s="712"/>
      <c r="L13" s="712"/>
      <c r="M13" s="712"/>
      <c r="N13" s="698"/>
      <c r="O13" s="698"/>
      <c r="P13" s="698"/>
      <c r="Q13" s="698"/>
      <c r="R13" s="698"/>
      <c r="S13" s="698"/>
      <c r="T13" s="698"/>
      <c r="U13" s="698"/>
      <c r="V13" s="698"/>
      <c r="W13" s="698"/>
      <c r="X13" s="698"/>
      <c r="Y13" s="698"/>
      <c r="Z13" s="698"/>
      <c r="AA13" s="698"/>
      <c r="AB13" s="698"/>
      <c r="AC13" s="713"/>
    </row>
    <row r="14" spans="2:29" ht="7.5" customHeight="1" thickTop="1">
      <c r="B14" s="704"/>
      <c r="C14" s="597"/>
      <c r="D14" s="597"/>
      <c r="E14" s="702"/>
      <c r="F14" s="702"/>
      <c r="G14" s="702"/>
      <c r="H14" s="702"/>
      <c r="I14" s="702"/>
      <c r="J14" s="702"/>
      <c r="K14" s="702"/>
      <c r="L14" s="702"/>
      <c r="M14" s="702"/>
      <c r="N14" s="597"/>
      <c r="O14" s="597"/>
      <c r="P14" s="597"/>
      <c r="Q14" s="597"/>
      <c r="R14" s="597"/>
      <c r="S14" s="597"/>
      <c r="T14" s="597"/>
      <c r="U14" s="597"/>
      <c r="V14" s="597"/>
      <c r="W14" s="597"/>
      <c r="X14" s="597"/>
      <c r="Y14" s="597"/>
      <c r="Z14" s="597"/>
      <c r="AA14" s="597"/>
      <c r="AB14" s="597"/>
      <c r="AC14" s="714"/>
    </row>
    <row r="15" spans="2:29" ht="28.2" thickBot="1">
      <c r="B15" s="704"/>
      <c r="C15" s="715" t="s">
        <v>808</v>
      </c>
      <c r="D15" s="715"/>
      <c r="E15" s="715"/>
      <c r="F15" s="715"/>
      <c r="G15" s="715"/>
      <c r="H15" s="702"/>
      <c r="I15" s="702"/>
      <c r="J15" s="702"/>
      <c r="K15" s="702"/>
      <c r="L15" s="702"/>
      <c r="M15" s="702"/>
      <c r="N15" s="702"/>
      <c r="O15" s="702"/>
      <c r="P15" s="702"/>
      <c r="Q15" s="702"/>
      <c r="R15" s="702"/>
      <c r="S15" s="702"/>
      <c r="T15" s="702"/>
      <c r="U15" s="691" t="s">
        <v>809</v>
      </c>
      <c r="V15" s="3266"/>
      <c r="W15" s="3266"/>
      <c r="X15" s="3266"/>
      <c r="Y15" s="715" t="s">
        <v>810</v>
      </c>
      <c r="Z15" s="715"/>
      <c r="AA15" s="702"/>
      <c r="AB15" s="702"/>
      <c r="AC15" s="716"/>
    </row>
    <row r="16" spans="2:29" ht="28.8" thickTop="1" thickBot="1">
      <c r="B16" s="704"/>
      <c r="C16" s="702"/>
      <c r="D16" s="3266"/>
      <c r="E16" s="3266"/>
      <c r="F16" s="710"/>
      <c r="G16" s="715" t="s">
        <v>811</v>
      </c>
      <c r="H16" s="702"/>
      <c r="I16" s="702"/>
      <c r="J16" s="702"/>
      <c r="K16" s="702"/>
      <c r="L16" s="3266"/>
      <c r="M16" s="3266"/>
      <c r="N16" s="715" t="s">
        <v>812</v>
      </c>
      <c r="O16" s="702"/>
      <c r="P16" s="702"/>
      <c r="Q16" s="702"/>
      <c r="R16" s="702"/>
      <c r="S16" s="702"/>
      <c r="T16" s="702"/>
      <c r="U16" s="702"/>
      <c r="V16" s="3267"/>
      <c r="W16" s="3267"/>
      <c r="X16" s="3267"/>
      <c r="Y16" s="717" t="s">
        <v>813</v>
      </c>
      <c r="Z16" s="717"/>
      <c r="AA16" s="702"/>
      <c r="AB16" s="702"/>
      <c r="AC16" s="716"/>
    </row>
    <row r="17" spans="2:29" ht="28.8" thickTop="1" thickBot="1">
      <c r="B17" s="704"/>
      <c r="C17" s="702"/>
      <c r="D17" s="3266"/>
      <c r="E17" s="3266"/>
      <c r="F17" s="710"/>
      <c r="G17" s="715" t="s">
        <v>814</v>
      </c>
      <c r="H17" s="702"/>
      <c r="I17" s="702"/>
      <c r="J17" s="702"/>
      <c r="K17" s="702"/>
      <c r="L17" s="3266"/>
      <c r="M17" s="3266"/>
      <c r="N17" s="715" t="s">
        <v>815</v>
      </c>
      <c r="O17" s="702"/>
      <c r="P17" s="702"/>
      <c r="Q17" s="702"/>
      <c r="R17" s="702"/>
      <c r="S17" s="702"/>
      <c r="T17" s="702"/>
      <c r="U17" s="702"/>
      <c r="V17" s="3267"/>
      <c r="W17" s="3267"/>
      <c r="X17" s="3267"/>
      <c r="Y17" s="717" t="s">
        <v>816</v>
      </c>
      <c r="Z17" s="717"/>
      <c r="AA17" s="702"/>
      <c r="AB17" s="702"/>
      <c r="AC17" s="716"/>
    </row>
    <row r="18" spans="2:29" ht="15" thickTop="1">
      <c r="B18" s="704"/>
      <c r="C18" s="702"/>
      <c r="D18" s="702"/>
      <c r="E18" s="702"/>
      <c r="F18" s="702"/>
      <c r="G18" s="702"/>
      <c r="H18" s="702"/>
      <c r="I18" s="702"/>
      <c r="J18" s="702"/>
      <c r="K18" s="702"/>
      <c r="L18" s="702"/>
      <c r="M18" s="702"/>
      <c r="N18" s="702"/>
      <c r="O18" s="702"/>
      <c r="P18" s="702"/>
      <c r="Q18" s="702"/>
      <c r="R18" s="702"/>
      <c r="S18" s="702"/>
      <c r="T18" s="702"/>
      <c r="U18" s="702"/>
      <c r="V18" s="702"/>
      <c r="W18" s="702"/>
      <c r="X18" s="702"/>
      <c r="Y18" s="702"/>
      <c r="Z18" s="702"/>
      <c r="AA18" s="702"/>
      <c r="AB18" s="702"/>
      <c r="AC18" s="716"/>
    </row>
    <row r="19" spans="2:29" ht="28.2" thickBot="1">
      <c r="B19" s="704"/>
      <c r="C19" s="718" t="s">
        <v>3</v>
      </c>
      <c r="D19" s="3275"/>
      <c r="E19" s="3275"/>
      <c r="F19" s="3275"/>
      <c r="G19" s="3275"/>
      <c r="H19" s="3275"/>
      <c r="I19" s="3275"/>
      <c r="J19" s="3275"/>
      <c r="K19" s="3275"/>
      <c r="L19" s="3275"/>
      <c r="M19" s="3275"/>
      <c r="N19" s="3275"/>
      <c r="O19" s="3275"/>
      <c r="P19" s="3275"/>
      <c r="Q19" s="3275"/>
      <c r="R19" s="3275"/>
      <c r="S19" s="3275"/>
      <c r="T19" s="3275"/>
      <c r="U19" s="3275"/>
      <c r="V19" s="3275"/>
      <c r="W19" s="3275"/>
      <c r="X19" s="3275"/>
      <c r="Y19" s="3275"/>
      <c r="Z19" s="3275"/>
      <c r="AA19" s="3275"/>
      <c r="AB19" s="3275"/>
      <c r="AC19" s="719"/>
    </row>
    <row r="20" spans="2:29" ht="28.8" thickTop="1" thickBot="1">
      <c r="B20" s="704"/>
      <c r="C20" s="3275"/>
      <c r="D20" s="3275"/>
      <c r="E20" s="3275"/>
      <c r="F20" s="3275"/>
      <c r="G20" s="3275"/>
      <c r="H20" s="3275"/>
      <c r="I20" s="3275"/>
      <c r="J20" s="3275"/>
      <c r="K20" s="3275"/>
      <c r="L20" s="3275"/>
      <c r="M20" s="3275"/>
      <c r="N20" s="3275"/>
      <c r="O20" s="3275"/>
      <c r="P20" s="3275"/>
      <c r="Q20" s="3275"/>
      <c r="R20" s="3275"/>
      <c r="S20" s="3275"/>
      <c r="T20" s="3275"/>
      <c r="U20" s="3275"/>
      <c r="V20" s="3275"/>
      <c r="W20" s="3275"/>
      <c r="X20" s="3275"/>
      <c r="Y20" s="3275"/>
      <c r="Z20" s="3275"/>
      <c r="AA20" s="3275"/>
      <c r="AB20" s="3275"/>
      <c r="AC20" s="719"/>
    </row>
    <row r="21" spans="2:29" ht="28.8" thickTop="1" thickBot="1">
      <c r="B21" s="704"/>
      <c r="C21" s="3276"/>
      <c r="D21" s="3276"/>
      <c r="E21" s="3276"/>
      <c r="F21" s="3276"/>
      <c r="G21" s="3276"/>
      <c r="H21" s="3276"/>
      <c r="I21" s="3276"/>
      <c r="J21" s="3276"/>
      <c r="K21" s="3276"/>
      <c r="L21" s="3276"/>
      <c r="M21" s="3276"/>
      <c r="N21" s="3276"/>
      <c r="O21" s="3276"/>
      <c r="P21" s="3276"/>
      <c r="Q21" s="3276"/>
      <c r="R21" s="3276"/>
      <c r="S21" s="3276"/>
      <c r="T21" s="3276"/>
      <c r="U21" s="3276"/>
      <c r="V21" s="3276"/>
      <c r="W21" s="3276"/>
      <c r="X21" s="3276"/>
      <c r="Y21" s="3276"/>
      <c r="Z21" s="3276"/>
      <c r="AA21" s="3276"/>
      <c r="AB21" s="3276"/>
      <c r="AC21" s="719"/>
    </row>
    <row r="22" spans="2:29" ht="28.8" thickTop="1" thickBot="1">
      <c r="B22" s="704"/>
      <c r="C22" s="3276"/>
      <c r="D22" s="3276"/>
      <c r="E22" s="3276"/>
      <c r="F22" s="3276"/>
      <c r="G22" s="3276"/>
      <c r="H22" s="3276"/>
      <c r="I22" s="3276"/>
      <c r="J22" s="3276"/>
      <c r="K22" s="3276"/>
      <c r="L22" s="3276"/>
      <c r="M22" s="3276"/>
      <c r="N22" s="3276"/>
      <c r="O22" s="3276"/>
      <c r="P22" s="3276"/>
      <c r="Q22" s="3276"/>
      <c r="R22" s="3276"/>
      <c r="S22" s="3276"/>
      <c r="T22" s="3276"/>
      <c r="U22" s="3276"/>
      <c r="V22" s="3276"/>
      <c r="W22" s="3276"/>
      <c r="X22" s="3276"/>
      <c r="Y22" s="3276"/>
      <c r="Z22" s="3276"/>
      <c r="AA22" s="3276"/>
      <c r="AB22" s="3276"/>
      <c r="AC22" s="719"/>
    </row>
    <row r="23" spans="2:29" ht="22.2" thickTop="1" thickBot="1">
      <c r="B23" s="704"/>
      <c r="C23" s="712"/>
      <c r="D23" s="712"/>
      <c r="E23" s="712"/>
      <c r="F23" s="712"/>
      <c r="G23" s="712"/>
      <c r="H23" s="712"/>
      <c r="I23" s="712"/>
      <c r="J23" s="712"/>
      <c r="K23" s="712"/>
      <c r="L23" s="712"/>
      <c r="M23" s="712"/>
      <c r="N23" s="712"/>
      <c r="O23" s="712"/>
      <c r="P23" s="712"/>
      <c r="Q23" s="712"/>
      <c r="R23" s="712"/>
      <c r="S23" s="712"/>
      <c r="T23" s="712"/>
      <c r="U23" s="712"/>
      <c r="V23" s="712"/>
      <c r="W23" s="712"/>
      <c r="X23" s="712"/>
      <c r="Y23" s="712"/>
      <c r="Z23" s="712"/>
      <c r="AA23" s="712"/>
      <c r="AB23" s="712"/>
      <c r="AC23" s="720"/>
    </row>
    <row r="24" spans="2:29" ht="15" thickTop="1">
      <c r="B24" s="704"/>
      <c r="C24" s="721"/>
      <c r="D24" s="721"/>
      <c r="E24" s="721"/>
      <c r="F24" s="721"/>
      <c r="G24" s="721"/>
      <c r="H24" s="721"/>
      <c r="I24" s="721"/>
      <c r="J24" s="721"/>
      <c r="K24" s="721"/>
      <c r="L24" s="721"/>
      <c r="M24" s="721"/>
      <c r="N24" s="722"/>
      <c r="O24" s="721"/>
      <c r="P24" s="721"/>
      <c r="Q24" s="721"/>
      <c r="R24" s="721"/>
      <c r="S24" s="721"/>
      <c r="T24" s="721"/>
      <c r="U24" s="721"/>
      <c r="V24" s="721"/>
      <c r="W24" s="721"/>
      <c r="X24" s="721"/>
      <c r="Y24" s="721"/>
      <c r="Z24" s="721"/>
      <c r="AA24" s="721"/>
      <c r="AB24" s="721"/>
      <c r="AC24" s="723"/>
    </row>
    <row r="25" spans="2:29" ht="53.25" customHeight="1">
      <c r="B25" s="704"/>
      <c r="C25" s="3277" t="s">
        <v>817</v>
      </c>
      <c r="D25" s="3277"/>
      <c r="E25" s="3277"/>
      <c r="F25" s="724"/>
      <c r="G25" s="3277" t="s">
        <v>705</v>
      </c>
      <c r="H25" s="3277"/>
      <c r="I25" s="724"/>
      <c r="J25" s="724"/>
      <c r="K25" s="3277" t="s">
        <v>683</v>
      </c>
      <c r="L25" s="3277"/>
      <c r="M25" s="725"/>
      <c r="N25" s="726"/>
      <c r="O25" s="702"/>
      <c r="P25" s="702"/>
      <c r="Q25" s="725"/>
      <c r="R25" s="3278" t="s">
        <v>818</v>
      </c>
      <c r="S25" s="3278"/>
      <c r="T25" s="3278"/>
      <c r="U25" s="3278"/>
      <c r="V25" s="727"/>
      <c r="W25" s="727"/>
      <c r="X25" s="3277" t="s">
        <v>819</v>
      </c>
      <c r="Y25" s="3277"/>
      <c r="Z25" s="728"/>
      <c r="AA25" s="3277" t="s">
        <v>820</v>
      </c>
      <c r="AB25" s="3277"/>
      <c r="AC25" s="729"/>
    </row>
    <row r="26" spans="2:29" ht="28.2" thickBot="1">
      <c r="B26" s="704"/>
      <c r="C26" s="3270" t="s">
        <v>821</v>
      </c>
      <c r="D26" s="3270"/>
      <c r="E26" s="3270"/>
      <c r="F26" s="730"/>
      <c r="G26" s="3271"/>
      <c r="H26" s="3271"/>
      <c r="I26" s="731"/>
      <c r="J26" s="710"/>
      <c r="K26" s="3272"/>
      <c r="L26" s="3272"/>
      <c r="M26" s="702"/>
      <c r="N26" s="726"/>
      <c r="O26" s="702"/>
      <c r="P26" s="702"/>
      <c r="Q26" s="702"/>
      <c r="R26" s="3273" t="s">
        <v>822</v>
      </c>
      <c r="S26" s="3273"/>
      <c r="T26" s="3273"/>
      <c r="U26" s="3273"/>
      <c r="V26" s="732" t="s">
        <v>823</v>
      </c>
      <c r="W26" s="733"/>
      <c r="X26" s="3274"/>
      <c r="Y26" s="3274"/>
      <c r="Z26" s="725"/>
      <c r="AA26" s="3274"/>
      <c r="AB26" s="3274"/>
      <c r="AC26" s="734"/>
    </row>
    <row r="27" spans="2:29" ht="28.8" thickTop="1" thickBot="1">
      <c r="B27" s="704"/>
      <c r="C27" s="3279" t="s">
        <v>824</v>
      </c>
      <c r="D27" s="3279"/>
      <c r="E27" s="3279"/>
      <c r="F27" s="730"/>
      <c r="G27" s="3271"/>
      <c r="H27" s="3271"/>
      <c r="I27" s="710"/>
      <c r="J27" s="710"/>
      <c r="K27" s="3272"/>
      <c r="L27" s="3272"/>
      <c r="M27" s="702"/>
      <c r="N27" s="726"/>
      <c r="O27" s="702"/>
      <c r="P27" s="702"/>
      <c r="Q27" s="702"/>
      <c r="R27" s="3280" t="s">
        <v>825</v>
      </c>
      <c r="S27" s="3280"/>
      <c r="T27" s="3280"/>
      <c r="U27" s="3280"/>
      <c r="V27" s="732" t="s">
        <v>826</v>
      </c>
      <c r="W27" s="733"/>
      <c r="X27" s="3282"/>
      <c r="Y27" s="3282"/>
      <c r="Z27" s="725"/>
      <c r="AA27" s="3282"/>
      <c r="AB27" s="3282"/>
      <c r="AC27" s="735"/>
    </row>
    <row r="28" spans="2:29" ht="28.5" customHeight="1" thickTop="1" thickBot="1">
      <c r="B28" s="704"/>
      <c r="C28" s="3279" t="s">
        <v>827</v>
      </c>
      <c r="D28" s="3279"/>
      <c r="E28" s="3279"/>
      <c r="F28" s="730"/>
      <c r="G28" s="3271"/>
      <c r="H28" s="3271"/>
      <c r="I28" s="710"/>
      <c r="J28" s="710"/>
      <c r="K28" s="3272"/>
      <c r="L28" s="3272"/>
      <c r="M28" s="702"/>
      <c r="N28" s="726"/>
      <c r="O28" s="702"/>
      <c r="P28" s="702"/>
      <c r="Q28" s="702"/>
      <c r="R28" s="3280" t="s">
        <v>828</v>
      </c>
      <c r="S28" s="3280"/>
      <c r="T28" s="3280"/>
      <c r="U28" s="3280"/>
      <c r="V28" s="732" t="s">
        <v>829</v>
      </c>
      <c r="W28" s="733"/>
      <c r="X28" s="3282"/>
      <c r="Y28" s="3282"/>
      <c r="Z28" s="725"/>
      <c r="AA28" s="3282"/>
      <c r="AB28" s="3282"/>
      <c r="AC28" s="735"/>
    </row>
    <row r="29" spans="2:29" ht="28.5" customHeight="1" thickTop="1" thickBot="1">
      <c r="B29" s="704"/>
      <c r="C29" s="3279" t="s">
        <v>830</v>
      </c>
      <c r="D29" s="3279"/>
      <c r="E29" s="3279"/>
      <c r="F29" s="730"/>
      <c r="G29" s="3271"/>
      <c r="H29" s="3271"/>
      <c r="I29" s="710"/>
      <c r="J29" s="710"/>
      <c r="K29" s="3272"/>
      <c r="L29" s="3272"/>
      <c r="M29" s="702"/>
      <c r="N29" s="726"/>
      <c r="O29" s="702"/>
      <c r="P29" s="702"/>
      <c r="Q29" s="702"/>
      <c r="R29" s="3280" t="s">
        <v>831</v>
      </c>
      <c r="S29" s="3280"/>
      <c r="T29" s="3280"/>
      <c r="U29" s="3280"/>
      <c r="V29" s="732" t="s">
        <v>832</v>
      </c>
      <c r="W29" s="733"/>
      <c r="X29" s="3281"/>
      <c r="Y29" s="3281"/>
      <c r="Z29" s="725"/>
      <c r="AA29" s="3281"/>
      <c r="AB29" s="3281"/>
      <c r="AC29" s="735"/>
    </row>
    <row r="30" spans="2:29" ht="28.5" customHeight="1" thickTop="1" thickBot="1">
      <c r="B30" s="704"/>
      <c r="C30" s="3279" t="s">
        <v>833</v>
      </c>
      <c r="D30" s="3279"/>
      <c r="E30" s="3279"/>
      <c r="F30" s="730"/>
      <c r="G30" s="3271"/>
      <c r="H30" s="3271"/>
      <c r="I30" s="710"/>
      <c r="J30" s="710"/>
      <c r="K30" s="3272"/>
      <c r="L30" s="3272"/>
      <c r="M30" s="702"/>
      <c r="N30" s="726"/>
      <c r="O30" s="702"/>
      <c r="P30" s="702"/>
      <c r="Q30" s="702"/>
      <c r="R30" s="3280" t="s">
        <v>834</v>
      </c>
      <c r="S30" s="3280"/>
      <c r="T30" s="3280"/>
      <c r="U30" s="3280"/>
      <c r="V30" s="732" t="s">
        <v>835</v>
      </c>
      <c r="W30" s="733"/>
      <c r="X30" s="3281"/>
      <c r="Y30" s="3281"/>
      <c r="Z30" s="725"/>
      <c r="AA30" s="3281"/>
      <c r="AB30" s="3281"/>
      <c r="AC30" s="735"/>
    </row>
    <row r="31" spans="2:29" ht="28.5" customHeight="1" thickTop="1" thickBot="1">
      <c r="B31" s="704"/>
      <c r="C31" s="3279" t="s">
        <v>836</v>
      </c>
      <c r="D31" s="3279"/>
      <c r="E31" s="3279"/>
      <c r="F31" s="730"/>
      <c r="G31" s="3271"/>
      <c r="H31" s="3271"/>
      <c r="I31" s="710"/>
      <c r="J31" s="710"/>
      <c r="K31" s="3272"/>
      <c r="L31" s="3272"/>
      <c r="M31" s="702"/>
      <c r="N31" s="726"/>
      <c r="O31" s="702"/>
      <c r="P31" s="702"/>
      <c r="Q31" s="702"/>
      <c r="R31" s="3280" t="s">
        <v>837</v>
      </c>
      <c r="S31" s="3280"/>
      <c r="T31" s="3280"/>
      <c r="U31" s="3280"/>
      <c r="V31" s="732" t="s">
        <v>838</v>
      </c>
      <c r="W31" s="733"/>
      <c r="X31" s="3282"/>
      <c r="Y31" s="3282"/>
      <c r="Z31" s="725"/>
      <c r="AA31" s="3282"/>
      <c r="AB31" s="3282"/>
      <c r="AC31" s="735"/>
    </row>
    <row r="32" spans="2:29" ht="28.5" customHeight="1" thickTop="1" thickBot="1">
      <c r="B32" s="704"/>
      <c r="C32" s="3279" t="s">
        <v>839</v>
      </c>
      <c r="D32" s="3279"/>
      <c r="E32" s="3279"/>
      <c r="F32" s="730"/>
      <c r="G32" s="3271"/>
      <c r="H32" s="3271"/>
      <c r="I32" s="710"/>
      <c r="J32" s="710"/>
      <c r="K32" s="3272"/>
      <c r="L32" s="3272"/>
      <c r="M32" s="702"/>
      <c r="N32" s="726"/>
      <c r="O32" s="702"/>
      <c r="P32" s="702"/>
      <c r="Q32" s="702"/>
      <c r="R32" s="3280" t="s">
        <v>840</v>
      </c>
      <c r="S32" s="3280"/>
      <c r="T32" s="3280"/>
      <c r="U32" s="3280"/>
      <c r="V32" s="732" t="s">
        <v>841</v>
      </c>
      <c r="W32" s="733"/>
      <c r="X32" s="3282"/>
      <c r="Y32" s="3282"/>
      <c r="Z32" s="725"/>
      <c r="AA32" s="3282"/>
      <c r="AB32" s="3282"/>
      <c r="AC32" s="735"/>
    </row>
    <row r="33" spans="2:29" ht="28.5" customHeight="1" thickTop="1" thickBot="1">
      <c r="B33" s="704"/>
      <c r="C33" s="3279" t="s">
        <v>842</v>
      </c>
      <c r="D33" s="3279"/>
      <c r="E33" s="3279"/>
      <c r="F33" s="730"/>
      <c r="G33" s="3271"/>
      <c r="H33" s="3271"/>
      <c r="I33" s="710"/>
      <c r="J33" s="710"/>
      <c r="K33" s="3272"/>
      <c r="L33" s="3272"/>
      <c r="M33" s="702"/>
      <c r="N33" s="726"/>
      <c r="O33" s="702"/>
      <c r="P33" s="702"/>
      <c r="Q33" s="702"/>
      <c r="R33" s="3280" t="s">
        <v>769</v>
      </c>
      <c r="S33" s="3280"/>
      <c r="T33" s="3280"/>
      <c r="U33" s="3280"/>
      <c r="V33" s="732" t="s">
        <v>843</v>
      </c>
      <c r="W33" s="733"/>
      <c r="X33" s="3281"/>
      <c r="Y33" s="3281"/>
      <c r="Z33" s="725"/>
      <c r="AA33" s="3281"/>
      <c r="AB33" s="3281"/>
      <c r="AC33" s="735"/>
    </row>
    <row r="34" spans="2:29" ht="28.5" customHeight="1" thickTop="1" thickBot="1">
      <c r="B34" s="704"/>
      <c r="C34" s="3279" t="s">
        <v>844</v>
      </c>
      <c r="D34" s="3279"/>
      <c r="E34" s="3279"/>
      <c r="F34" s="730"/>
      <c r="G34" s="3271"/>
      <c r="H34" s="3271"/>
      <c r="I34" s="710"/>
      <c r="J34" s="710"/>
      <c r="K34" s="3272"/>
      <c r="L34" s="3272"/>
      <c r="M34" s="702"/>
      <c r="N34" s="726"/>
      <c r="O34" s="702"/>
      <c r="P34" s="702"/>
      <c r="Q34" s="702"/>
      <c r="R34" s="3280" t="s">
        <v>845</v>
      </c>
      <c r="S34" s="3280"/>
      <c r="T34" s="3280"/>
      <c r="U34" s="3280"/>
      <c r="V34" s="732" t="s">
        <v>846</v>
      </c>
      <c r="W34" s="733"/>
      <c r="X34" s="3282"/>
      <c r="Y34" s="3282"/>
      <c r="Z34" s="725"/>
      <c r="AA34" s="3282"/>
      <c r="AB34" s="3282"/>
      <c r="AC34" s="735"/>
    </row>
    <row r="35" spans="2:29" ht="28.5" customHeight="1" thickTop="1" thickBot="1">
      <c r="B35" s="704"/>
      <c r="C35" s="3279" t="s">
        <v>847</v>
      </c>
      <c r="D35" s="3279"/>
      <c r="E35" s="3279"/>
      <c r="F35" s="730"/>
      <c r="G35" s="3271"/>
      <c r="H35" s="3271"/>
      <c r="I35" s="710"/>
      <c r="J35" s="710"/>
      <c r="K35" s="3272"/>
      <c r="L35" s="3272"/>
      <c r="M35" s="702"/>
      <c r="N35" s="726"/>
      <c r="O35" s="702"/>
      <c r="P35" s="702"/>
      <c r="Q35" s="702"/>
      <c r="R35" s="3280" t="s">
        <v>848</v>
      </c>
      <c r="S35" s="3280"/>
      <c r="T35" s="3280"/>
      <c r="U35" s="3280"/>
      <c r="V35" s="732" t="s">
        <v>849</v>
      </c>
      <c r="W35" s="733"/>
      <c r="X35" s="3282"/>
      <c r="Y35" s="3282"/>
      <c r="Z35" s="725"/>
      <c r="AA35" s="3282"/>
      <c r="AB35" s="3282"/>
      <c r="AC35" s="735"/>
    </row>
    <row r="36" spans="2:29" ht="28.5" customHeight="1" thickTop="1" thickBot="1">
      <c r="B36" s="704"/>
      <c r="C36" s="3279" t="s">
        <v>850</v>
      </c>
      <c r="D36" s="3279"/>
      <c r="E36" s="3279"/>
      <c r="F36" s="730"/>
      <c r="G36" s="3271"/>
      <c r="H36" s="3271"/>
      <c r="I36" s="710"/>
      <c r="J36" s="710"/>
      <c r="K36" s="3272"/>
      <c r="L36" s="3272"/>
      <c r="M36" s="702"/>
      <c r="N36" s="726"/>
      <c r="O36" s="702"/>
      <c r="P36" s="702"/>
      <c r="Q36" s="702"/>
      <c r="R36" s="3280" t="s">
        <v>851</v>
      </c>
      <c r="S36" s="3280"/>
      <c r="T36" s="3280"/>
      <c r="U36" s="3280"/>
      <c r="V36" s="732" t="s">
        <v>852</v>
      </c>
      <c r="W36" s="733"/>
      <c r="X36" s="3281"/>
      <c r="Y36" s="3281"/>
      <c r="Z36" s="725"/>
      <c r="AA36" s="3281"/>
      <c r="AB36" s="3281"/>
      <c r="AC36" s="735"/>
    </row>
    <row r="37" spans="2:29" ht="28.5" customHeight="1" thickTop="1" thickBot="1">
      <c r="B37" s="704"/>
      <c r="C37" s="3279" t="s">
        <v>853</v>
      </c>
      <c r="D37" s="3279"/>
      <c r="E37" s="3279"/>
      <c r="F37" s="730"/>
      <c r="G37" s="3271"/>
      <c r="H37" s="3271"/>
      <c r="I37" s="710"/>
      <c r="J37" s="710"/>
      <c r="K37" s="3272"/>
      <c r="L37" s="3272"/>
      <c r="M37" s="702"/>
      <c r="N37" s="726"/>
      <c r="O37" s="702"/>
      <c r="P37" s="702"/>
      <c r="Q37" s="702"/>
      <c r="R37" s="3280" t="s">
        <v>854</v>
      </c>
      <c r="S37" s="3280"/>
      <c r="T37" s="3280"/>
      <c r="U37" s="3280"/>
      <c r="V37" s="732" t="s">
        <v>510</v>
      </c>
      <c r="W37" s="733"/>
      <c r="X37" s="3281"/>
      <c r="Y37" s="3281"/>
      <c r="Z37" s="725"/>
      <c r="AA37" s="3281"/>
      <c r="AB37" s="3281"/>
      <c r="AC37" s="735"/>
    </row>
    <row r="38" spans="2:29" ht="28.5" customHeight="1" thickTop="1" thickBot="1">
      <c r="B38" s="704"/>
      <c r="C38" s="3279" t="s">
        <v>855</v>
      </c>
      <c r="D38" s="3279"/>
      <c r="E38" s="3279"/>
      <c r="F38" s="730"/>
      <c r="G38" s="3271"/>
      <c r="H38" s="3271"/>
      <c r="I38" s="710"/>
      <c r="J38" s="710"/>
      <c r="K38" s="3272"/>
      <c r="L38" s="3272"/>
      <c r="M38" s="702"/>
      <c r="N38" s="726"/>
      <c r="O38" s="702"/>
      <c r="P38" s="702"/>
      <c r="Q38" s="702"/>
      <c r="R38" s="3280" t="s">
        <v>856</v>
      </c>
      <c r="S38" s="3280"/>
      <c r="T38" s="3280"/>
      <c r="U38" s="3280"/>
      <c r="V38" s="732" t="s">
        <v>857</v>
      </c>
      <c r="W38" s="733"/>
      <c r="X38" s="3282"/>
      <c r="Y38" s="3282"/>
      <c r="Z38" s="725"/>
      <c r="AA38" s="3282"/>
      <c r="AB38" s="3282"/>
      <c r="AC38" s="735"/>
    </row>
    <row r="39" spans="2:29" ht="28.5" customHeight="1" thickTop="1" thickBot="1">
      <c r="B39" s="704"/>
      <c r="C39" s="3279" t="s">
        <v>858</v>
      </c>
      <c r="D39" s="3279"/>
      <c r="E39" s="3279"/>
      <c r="F39" s="730"/>
      <c r="G39" s="3271"/>
      <c r="H39" s="3271"/>
      <c r="I39" s="710"/>
      <c r="J39" s="710"/>
      <c r="K39" s="3272"/>
      <c r="L39" s="3272"/>
      <c r="M39" s="702"/>
      <c r="N39" s="726"/>
      <c r="O39" s="702"/>
      <c r="P39" s="702"/>
      <c r="Q39" s="702"/>
      <c r="R39" s="3280" t="s">
        <v>859</v>
      </c>
      <c r="S39" s="3280"/>
      <c r="T39" s="3280"/>
      <c r="U39" s="3280"/>
      <c r="V39" s="732" t="s">
        <v>860</v>
      </c>
      <c r="W39" s="733"/>
      <c r="X39" s="3282"/>
      <c r="Y39" s="3282"/>
      <c r="Z39" s="725"/>
      <c r="AA39" s="3282"/>
      <c r="AB39" s="3282"/>
      <c r="AC39" s="735"/>
    </row>
    <row r="40" spans="2:29" ht="28.5" customHeight="1" thickTop="1" thickBot="1">
      <c r="B40" s="704"/>
      <c r="C40" s="3285"/>
      <c r="D40" s="3286"/>
      <c r="E40" s="3286"/>
      <c r="F40" s="710"/>
      <c r="G40" s="3271"/>
      <c r="H40" s="3271"/>
      <c r="I40" s="702"/>
      <c r="J40" s="702"/>
      <c r="K40" s="3272"/>
      <c r="L40" s="3272"/>
      <c r="M40" s="702"/>
      <c r="N40" s="726"/>
      <c r="O40" s="702"/>
      <c r="P40" s="702"/>
      <c r="Q40" s="702"/>
      <c r="R40" s="3280" t="s">
        <v>861</v>
      </c>
      <c r="S40" s="3280"/>
      <c r="T40" s="3280"/>
      <c r="U40" s="3280"/>
      <c r="V40" s="732" t="s">
        <v>862</v>
      </c>
      <c r="W40" s="733"/>
      <c r="X40" s="3282"/>
      <c r="Y40" s="3282"/>
      <c r="Z40" s="725"/>
      <c r="AA40" s="3282"/>
      <c r="AB40" s="3282"/>
      <c r="AC40" s="735"/>
    </row>
    <row r="41" spans="2:29" ht="28.5" customHeight="1" thickTop="1" thickBot="1">
      <c r="B41" s="704"/>
      <c r="C41" s="3287"/>
      <c r="D41" s="3288"/>
      <c r="E41" s="3288"/>
      <c r="F41" s="710"/>
      <c r="G41" s="3271"/>
      <c r="H41" s="3271"/>
      <c r="I41" s="702"/>
      <c r="J41" s="702"/>
      <c r="K41" s="3272"/>
      <c r="L41" s="3272"/>
      <c r="M41" s="702"/>
      <c r="N41" s="726"/>
      <c r="O41" s="702"/>
      <c r="P41" s="702"/>
      <c r="Q41" s="702"/>
      <c r="R41" s="3280" t="s">
        <v>863</v>
      </c>
      <c r="S41" s="3280"/>
      <c r="T41" s="3280"/>
      <c r="U41" s="3280"/>
      <c r="V41" s="732" t="s">
        <v>864</v>
      </c>
      <c r="W41" s="733"/>
      <c r="X41" s="3282"/>
      <c r="Y41" s="3282"/>
      <c r="Z41" s="725"/>
      <c r="AA41" s="3282"/>
      <c r="AB41" s="3282"/>
      <c r="AC41" s="735"/>
    </row>
    <row r="42" spans="2:29" ht="12.75" customHeight="1" thickTop="1" thickBot="1">
      <c r="B42" s="711"/>
      <c r="C42" s="3283"/>
      <c r="D42" s="3283"/>
      <c r="E42" s="3283"/>
      <c r="F42" s="736"/>
      <c r="G42" s="737"/>
      <c r="H42" s="737"/>
      <c r="I42" s="737"/>
      <c r="J42" s="737"/>
      <c r="K42" s="737"/>
      <c r="L42" s="737"/>
      <c r="M42" s="737"/>
      <c r="N42" s="738"/>
      <c r="O42" s="737"/>
      <c r="P42" s="737"/>
      <c r="Q42" s="737"/>
      <c r="R42" s="737"/>
      <c r="S42" s="737"/>
      <c r="T42" s="737"/>
      <c r="U42" s="737"/>
      <c r="V42" s="737"/>
      <c r="W42" s="737"/>
      <c r="X42" s="737"/>
      <c r="Y42" s="737"/>
      <c r="Z42" s="737"/>
      <c r="AA42" s="737"/>
      <c r="AB42" s="737"/>
      <c r="AC42" s="739"/>
    </row>
    <row r="43" spans="2:29" ht="28.2" thickTop="1">
      <c r="B43" s="703"/>
      <c r="C43" s="3284"/>
      <c r="D43" s="3284"/>
      <c r="E43" s="3284"/>
      <c r="F43" s="740"/>
      <c r="G43" s="741"/>
      <c r="H43" s="741"/>
      <c r="I43" s="741"/>
      <c r="J43" s="741"/>
      <c r="K43" s="741"/>
      <c r="L43" s="741"/>
      <c r="M43" s="741"/>
      <c r="N43" s="741"/>
      <c r="O43" s="741"/>
      <c r="P43" s="741"/>
      <c r="Q43" s="741"/>
      <c r="R43" s="741"/>
      <c r="S43" s="741"/>
      <c r="T43" s="741"/>
      <c r="U43" s="741"/>
      <c r="V43" s="741"/>
      <c r="W43" s="741"/>
      <c r="X43" s="741"/>
      <c r="Y43" s="741"/>
      <c r="Z43" s="741"/>
      <c r="AA43" s="741"/>
      <c r="AB43" s="741"/>
      <c r="AC43" s="723"/>
    </row>
    <row r="44" spans="2:29" ht="27" customHeight="1">
      <c r="B44" s="704"/>
      <c r="C44" s="702"/>
      <c r="D44" s="702"/>
      <c r="E44" s="702"/>
      <c r="F44" s="730"/>
      <c r="G44" s="702"/>
      <c r="H44" s="702"/>
      <c r="I44" s="702"/>
      <c r="J44" s="702"/>
      <c r="K44" s="3278" t="s">
        <v>865</v>
      </c>
      <c r="L44" s="3278"/>
      <c r="M44" s="702"/>
      <c r="N44" s="3278" t="s">
        <v>866</v>
      </c>
      <c r="O44" s="3278"/>
      <c r="P44" s="702"/>
      <c r="Q44" s="3278" t="s">
        <v>867</v>
      </c>
      <c r="R44" s="3278"/>
      <c r="S44" s="3278"/>
      <c r="T44" s="3278"/>
      <c r="U44" s="702"/>
      <c r="V44" s="702"/>
      <c r="W44" s="3278" t="s">
        <v>868</v>
      </c>
      <c r="X44" s="3278"/>
      <c r="Y44" s="3278"/>
      <c r="Z44" s="3278"/>
      <c r="AA44" s="3278"/>
      <c r="AB44" s="702"/>
      <c r="AC44" s="716"/>
    </row>
    <row r="45" spans="2:29" ht="54.75" customHeight="1">
      <c r="B45" s="704"/>
      <c r="C45" s="702"/>
      <c r="D45" s="702"/>
      <c r="E45" s="702"/>
      <c r="F45" s="730"/>
      <c r="G45" s="702"/>
      <c r="H45" s="702"/>
      <c r="I45" s="702"/>
      <c r="J45" s="702"/>
      <c r="K45" s="3277"/>
      <c r="L45" s="3277"/>
      <c r="M45" s="702"/>
      <c r="N45" s="3277"/>
      <c r="O45" s="3277"/>
      <c r="P45" s="702"/>
      <c r="Q45" s="3277"/>
      <c r="R45" s="3277"/>
      <c r="S45" s="3277"/>
      <c r="T45" s="3277"/>
      <c r="U45" s="702"/>
      <c r="V45" s="702"/>
      <c r="W45" s="3277"/>
      <c r="X45" s="3277"/>
      <c r="Y45" s="3277"/>
      <c r="Z45" s="3277"/>
      <c r="AA45" s="3277"/>
      <c r="AB45" s="702"/>
      <c r="AC45" s="716"/>
    </row>
    <row r="46" spans="2:29" ht="28.2" thickBot="1">
      <c r="B46" s="704"/>
      <c r="C46" s="3280" t="s">
        <v>869</v>
      </c>
      <c r="D46" s="3280"/>
      <c r="E46" s="3280"/>
      <c r="F46" s="3280"/>
      <c r="G46" s="3289" t="s">
        <v>870</v>
      </c>
      <c r="H46" s="3289"/>
      <c r="I46" s="702"/>
      <c r="J46" s="702"/>
      <c r="K46" s="3290">
        <f>AA27-AA32</f>
        <v>0</v>
      </c>
      <c r="L46" s="3290"/>
      <c r="M46" s="702"/>
      <c r="N46" s="3291" t="s">
        <v>871</v>
      </c>
      <c r="O46" s="3291"/>
      <c r="P46" s="702"/>
      <c r="Q46" s="3292">
        <f>K46</f>
        <v>0</v>
      </c>
      <c r="R46" s="3292"/>
      <c r="S46" s="3292"/>
      <c r="T46" s="3292"/>
      <c r="U46" s="702"/>
      <c r="V46" s="702"/>
      <c r="W46" s="702"/>
      <c r="X46" s="742" t="s">
        <v>872</v>
      </c>
      <c r="Y46" s="3281"/>
      <c r="Z46" s="3281"/>
      <c r="AA46" s="3281"/>
      <c r="AB46" s="743" t="s">
        <v>731</v>
      </c>
      <c r="AC46" s="716"/>
    </row>
    <row r="47" spans="2:29" ht="28.8" thickTop="1" thickBot="1">
      <c r="B47" s="704"/>
      <c r="C47" s="3280" t="s">
        <v>873</v>
      </c>
      <c r="D47" s="3280"/>
      <c r="E47" s="3280"/>
      <c r="F47" s="3280"/>
      <c r="G47" s="3289" t="s">
        <v>874</v>
      </c>
      <c r="H47" s="3289"/>
      <c r="I47" s="702"/>
      <c r="J47" s="702"/>
      <c r="K47" s="3290">
        <f>AA31-AA40</f>
        <v>0</v>
      </c>
      <c r="L47" s="3290"/>
      <c r="M47" s="702"/>
      <c r="N47" s="3291" t="s">
        <v>871</v>
      </c>
      <c r="O47" s="3291"/>
      <c r="P47" s="702"/>
      <c r="Q47" s="3292">
        <f t="shared" ref="Q47:Q48" si="0">K47</f>
        <v>0</v>
      </c>
      <c r="R47" s="3292"/>
      <c r="S47" s="3292"/>
      <c r="T47" s="3292"/>
      <c r="U47" s="702"/>
      <c r="V47" s="702"/>
      <c r="W47" s="702"/>
      <c r="X47" s="742" t="s">
        <v>875</v>
      </c>
      <c r="Y47" s="3293"/>
      <c r="Z47" s="3293"/>
      <c r="AA47" s="3293"/>
      <c r="AB47" s="743" t="s">
        <v>731</v>
      </c>
      <c r="AC47" s="716"/>
    </row>
    <row r="48" spans="2:29" ht="28.8" thickTop="1" thickBot="1">
      <c r="B48" s="704"/>
      <c r="C48" s="3280" t="s">
        <v>876</v>
      </c>
      <c r="D48" s="3280"/>
      <c r="E48" s="3280"/>
      <c r="F48" s="3280"/>
      <c r="G48" s="3289" t="s">
        <v>877</v>
      </c>
      <c r="H48" s="3289"/>
      <c r="I48" s="702"/>
      <c r="J48" s="702"/>
      <c r="K48" s="3290">
        <f>AA35-AA41</f>
        <v>0</v>
      </c>
      <c r="L48" s="3290"/>
      <c r="M48" s="702"/>
      <c r="N48" s="3291" t="s">
        <v>871</v>
      </c>
      <c r="O48" s="3291"/>
      <c r="P48" s="702"/>
      <c r="Q48" s="3292">
        <f t="shared" si="0"/>
        <v>0</v>
      </c>
      <c r="R48" s="3292"/>
      <c r="S48" s="3292"/>
      <c r="T48" s="3292"/>
      <c r="U48" s="702"/>
      <c r="V48" s="702"/>
      <c r="W48" s="702"/>
      <c r="X48" s="742"/>
      <c r="Y48" s="702"/>
      <c r="Z48" s="702"/>
      <c r="AA48" s="702"/>
      <c r="AB48" s="702"/>
      <c r="AC48" s="716"/>
    </row>
    <row r="49" spans="2:29" ht="28.8" thickTop="1" thickBot="1">
      <c r="B49" s="704"/>
      <c r="C49" s="3280" t="s">
        <v>878</v>
      </c>
      <c r="D49" s="3280"/>
      <c r="E49" s="3280"/>
      <c r="F49" s="3280"/>
      <c r="G49" s="3289" t="s">
        <v>879</v>
      </c>
      <c r="H49" s="3289"/>
      <c r="I49" s="702"/>
      <c r="J49" s="702"/>
      <c r="K49" s="3290">
        <f>AA26-AA40</f>
        <v>0</v>
      </c>
      <c r="L49" s="3290"/>
      <c r="M49" s="851" t="s">
        <v>880</v>
      </c>
      <c r="N49" s="3296">
        <f>IF(Y47&gt;=Y46,1,(2*Y47-Y46)/Y47)</f>
        <v>1</v>
      </c>
      <c r="O49" s="3296"/>
      <c r="P49" s="702"/>
      <c r="Q49" s="3297">
        <f>K49*N49</f>
        <v>0</v>
      </c>
      <c r="R49" s="3297"/>
      <c r="S49" s="3297"/>
      <c r="T49" s="3297"/>
      <c r="U49" s="702"/>
      <c r="V49" s="702"/>
      <c r="W49" s="702"/>
      <c r="X49" s="702"/>
      <c r="Y49" s="702"/>
      <c r="Z49" s="702"/>
      <c r="AA49" s="702"/>
      <c r="AB49" s="702"/>
      <c r="AC49" s="716"/>
    </row>
    <row r="50" spans="2:29" ht="28.2" thickTop="1">
      <c r="B50" s="704"/>
      <c r="C50" s="3301"/>
      <c r="D50" s="3301"/>
      <c r="E50" s="3301"/>
      <c r="F50" s="730"/>
      <c r="G50" s="702"/>
      <c r="H50" s="702"/>
      <c r="I50" s="702"/>
      <c r="J50" s="702"/>
      <c r="K50" s="702"/>
      <c r="L50" s="702"/>
      <c r="M50" s="702"/>
      <c r="N50" s="702"/>
      <c r="O50" s="702"/>
      <c r="P50" s="702"/>
      <c r="Q50" s="702"/>
      <c r="R50" s="702"/>
      <c r="S50" s="702"/>
      <c r="T50" s="702"/>
      <c r="U50" s="702"/>
      <c r="V50" s="702"/>
      <c r="W50" s="702"/>
      <c r="X50" s="702"/>
      <c r="Y50" s="702"/>
      <c r="Z50" s="702"/>
      <c r="AA50" s="702"/>
      <c r="AB50" s="702"/>
      <c r="AC50" s="716"/>
    </row>
    <row r="51" spans="2:29" ht="27.6">
      <c r="B51" s="704"/>
      <c r="C51" s="3302" t="s">
        <v>881</v>
      </c>
      <c r="D51" s="3302"/>
      <c r="E51" s="3302"/>
      <c r="F51" s="3302"/>
      <c r="G51" s="3302"/>
      <c r="H51" s="3302"/>
      <c r="I51" s="3302"/>
      <c r="J51" s="3302"/>
      <c r="K51" s="3302"/>
      <c r="L51" s="3302"/>
      <c r="M51" s="3302"/>
      <c r="N51" s="3302"/>
      <c r="O51" s="3302"/>
      <c r="P51" s="3302"/>
      <c r="Q51" s="3302"/>
      <c r="R51" s="3302"/>
      <c r="S51" s="725"/>
      <c r="T51" s="702"/>
      <c r="U51" s="702"/>
      <c r="V51" s="702"/>
      <c r="W51" s="702"/>
      <c r="X51" s="702"/>
      <c r="Y51" s="702"/>
      <c r="Z51" s="702"/>
      <c r="AA51" s="702"/>
      <c r="AB51" s="702"/>
      <c r="AC51" s="716"/>
    </row>
    <row r="52" spans="2:29" ht="13.5" customHeight="1">
      <c r="B52" s="704"/>
      <c r="C52" s="725"/>
      <c r="D52" s="725"/>
      <c r="E52" s="725"/>
      <c r="F52" s="725"/>
      <c r="G52" s="725"/>
      <c r="H52" s="725"/>
      <c r="I52" s="725"/>
      <c r="J52" s="725"/>
      <c r="K52" s="725"/>
      <c r="L52" s="725"/>
      <c r="M52" s="725"/>
      <c r="N52" s="725"/>
      <c r="O52" s="725"/>
      <c r="P52" s="725"/>
      <c r="Q52" s="725"/>
      <c r="R52" s="725"/>
      <c r="S52" s="725"/>
      <c r="T52" s="702"/>
      <c r="U52" s="702"/>
      <c r="V52" s="702"/>
      <c r="W52" s="702"/>
      <c r="X52" s="702"/>
      <c r="Y52" s="702"/>
      <c r="Z52" s="702"/>
      <c r="AA52" s="702"/>
      <c r="AB52" s="702"/>
      <c r="AC52" s="716"/>
    </row>
    <row r="53" spans="2:29" ht="27.75" customHeight="1" thickBot="1">
      <c r="B53" s="704"/>
      <c r="C53" s="3279" t="s">
        <v>882</v>
      </c>
      <c r="D53" s="3279"/>
      <c r="E53" s="3279"/>
      <c r="F53" s="3279"/>
      <c r="G53" s="3279"/>
      <c r="H53" s="3279"/>
      <c r="I53" s="3279"/>
      <c r="J53" s="3279"/>
      <c r="K53" s="3279"/>
      <c r="L53" s="3279"/>
      <c r="M53" s="3279"/>
      <c r="N53" s="3279"/>
      <c r="O53" s="3279"/>
      <c r="P53" s="3279"/>
      <c r="Q53" s="3279"/>
      <c r="R53" s="3279"/>
      <c r="S53" s="3279"/>
      <c r="T53" s="3294"/>
      <c r="U53" s="3294"/>
      <c r="V53" s="702"/>
      <c r="W53" s="702"/>
      <c r="X53" s="702"/>
      <c r="Y53" s="702"/>
      <c r="Z53" s="702"/>
      <c r="AA53" s="702"/>
      <c r="AB53" s="702"/>
      <c r="AC53" s="716"/>
    </row>
    <row r="54" spans="2:29" ht="10.5" customHeight="1" thickTop="1">
      <c r="B54" s="704"/>
      <c r="C54" s="725"/>
      <c r="D54" s="725"/>
      <c r="E54" s="725"/>
      <c r="F54" s="725"/>
      <c r="G54" s="725"/>
      <c r="H54" s="725"/>
      <c r="I54" s="725"/>
      <c r="J54" s="725"/>
      <c r="K54" s="725"/>
      <c r="L54" s="725"/>
      <c r="M54" s="725"/>
      <c r="N54" s="725"/>
      <c r="O54" s="725"/>
      <c r="P54" s="725"/>
      <c r="Q54" s="725"/>
      <c r="R54" s="725"/>
      <c r="S54" s="725"/>
      <c r="T54" s="744"/>
      <c r="U54" s="744"/>
      <c r="V54" s="702"/>
      <c r="W54" s="702"/>
      <c r="X54" s="702"/>
      <c r="Y54" s="702"/>
      <c r="Z54" s="702"/>
      <c r="AA54" s="702"/>
      <c r="AB54" s="702"/>
      <c r="AC54" s="716"/>
    </row>
    <row r="55" spans="2:29" ht="28.2" thickBot="1">
      <c r="B55" s="704"/>
      <c r="C55" s="3279" t="s">
        <v>883</v>
      </c>
      <c r="D55" s="3279"/>
      <c r="E55" s="3279"/>
      <c r="F55" s="3279"/>
      <c r="G55" s="3279"/>
      <c r="H55" s="3279"/>
      <c r="I55" s="3279"/>
      <c r="J55" s="3279"/>
      <c r="K55" s="3295"/>
      <c r="L55" s="3295"/>
      <c r="M55" s="745" t="s">
        <v>884</v>
      </c>
      <c r="N55" s="745"/>
      <c r="O55" s="702"/>
      <c r="P55" s="702"/>
      <c r="Q55" s="702"/>
      <c r="R55" s="702"/>
      <c r="S55" s="702"/>
      <c r="T55" s="702"/>
      <c r="U55" s="702"/>
      <c r="V55" s="702"/>
      <c r="W55" s="702"/>
      <c r="X55" s="702"/>
      <c r="Y55" s="702"/>
      <c r="Z55" s="702"/>
      <c r="AA55" s="702"/>
      <c r="AB55" s="702"/>
      <c r="AC55" s="716"/>
    </row>
    <row r="56" spans="2:29" ht="11.25" customHeight="1" thickTop="1" thickBot="1">
      <c r="B56" s="746"/>
      <c r="C56" s="3298"/>
      <c r="D56" s="3298"/>
      <c r="E56" s="3298"/>
      <c r="F56" s="747"/>
      <c r="G56" s="748"/>
      <c r="H56" s="748"/>
      <c r="I56" s="748"/>
      <c r="J56" s="748"/>
      <c r="K56" s="748"/>
      <c r="L56" s="748"/>
      <c r="M56" s="748"/>
      <c r="N56" s="748"/>
      <c r="O56" s="748"/>
      <c r="P56" s="748"/>
      <c r="Q56" s="748"/>
      <c r="R56" s="748"/>
      <c r="S56" s="748"/>
      <c r="T56" s="748"/>
      <c r="U56" s="748"/>
      <c r="V56" s="748"/>
      <c r="W56" s="748"/>
      <c r="X56" s="748"/>
      <c r="Y56" s="748"/>
      <c r="Z56" s="748"/>
      <c r="AA56" s="748"/>
      <c r="AB56" s="748"/>
      <c r="AC56" s="749"/>
    </row>
    <row r="57" spans="2:29" ht="28.2" thickTop="1">
      <c r="C57" s="3299"/>
      <c r="D57" s="3299"/>
      <c r="E57" s="3299"/>
      <c r="F57" s="750"/>
    </row>
    <row r="58" spans="2:29" ht="27.6">
      <c r="C58" s="3299"/>
      <c r="D58" s="3299"/>
      <c r="E58" s="3299"/>
      <c r="F58" s="750"/>
    </row>
    <row r="59" spans="2:29" ht="27.6">
      <c r="C59" s="3299"/>
      <c r="D59" s="3299"/>
      <c r="E59" s="3299"/>
      <c r="F59" s="750"/>
      <c r="G59" s="3300"/>
      <c r="H59" s="3300"/>
      <c r="I59" s="710"/>
      <c r="J59" s="710"/>
      <c r="K59" s="3300"/>
      <c r="L59" s="3300"/>
    </row>
  </sheetData>
  <sheetProtection algorithmName="SHA-512" hashValue="B2p+pVor/xFZb34hb1cFNVmtR+WpfGVdihfg4+NuvytvBgvpc8VcllOtYwQYuKcjCCKvt+njBevS3g+m7Pp6tg==" saltValue="RnA2a3oqERAmzUy/MVLn/Q==" spinCount="100000" sheet="1" objects="1" scenarios="1" selectLockedCells="1"/>
  <dataConsolidate/>
  <mergeCells count="179">
    <mergeCell ref="C56:E56"/>
    <mergeCell ref="C57:E57"/>
    <mergeCell ref="C58:E58"/>
    <mergeCell ref="C59:E59"/>
    <mergeCell ref="G59:H59"/>
    <mergeCell ref="K59:L59"/>
    <mergeCell ref="C50:E50"/>
    <mergeCell ref="C51:R51"/>
    <mergeCell ref="C53:S53"/>
    <mergeCell ref="T53:U53"/>
    <mergeCell ref="C55:J55"/>
    <mergeCell ref="K55:L55"/>
    <mergeCell ref="C48:F48"/>
    <mergeCell ref="G48:H48"/>
    <mergeCell ref="K48:L48"/>
    <mergeCell ref="N48:O48"/>
    <mergeCell ref="Q48:T48"/>
    <mergeCell ref="C49:F49"/>
    <mergeCell ref="G49:H49"/>
    <mergeCell ref="K49:L49"/>
    <mergeCell ref="N49:O49"/>
    <mergeCell ref="Q49:T49"/>
    <mergeCell ref="C47:F47"/>
    <mergeCell ref="G47:H47"/>
    <mergeCell ref="K47:L47"/>
    <mergeCell ref="N47:O47"/>
    <mergeCell ref="Q47:T47"/>
    <mergeCell ref="Y47:AA47"/>
    <mergeCell ref="C46:F46"/>
    <mergeCell ref="G46:H46"/>
    <mergeCell ref="K46:L46"/>
    <mergeCell ref="N46:O46"/>
    <mergeCell ref="Q46:T46"/>
    <mergeCell ref="Y46:AA46"/>
    <mergeCell ref="C42:E42"/>
    <mergeCell ref="C43:E43"/>
    <mergeCell ref="K44:L45"/>
    <mergeCell ref="N44:O45"/>
    <mergeCell ref="Q44:T45"/>
    <mergeCell ref="W44:AA45"/>
    <mergeCell ref="G40:H40"/>
    <mergeCell ref="K40:L40"/>
    <mergeCell ref="R40:U40"/>
    <mergeCell ref="X40:Y40"/>
    <mergeCell ref="AA40:AB40"/>
    <mergeCell ref="G41:H41"/>
    <mergeCell ref="K41:L41"/>
    <mergeCell ref="R41:U41"/>
    <mergeCell ref="X41:Y41"/>
    <mergeCell ref="AA41:AB41"/>
    <mergeCell ref="C40:E40"/>
    <mergeCell ref="C41:E41"/>
    <mergeCell ref="C39:E39"/>
    <mergeCell ref="G39:H39"/>
    <mergeCell ref="K39:L39"/>
    <mergeCell ref="R39:U39"/>
    <mergeCell ref="X39:Y39"/>
    <mergeCell ref="AA39:AB39"/>
    <mergeCell ref="C38:E38"/>
    <mergeCell ref="G38:H38"/>
    <mergeCell ref="K38:L38"/>
    <mergeCell ref="R38:U38"/>
    <mergeCell ref="X38:Y38"/>
    <mergeCell ref="AA38:AB38"/>
    <mergeCell ref="C37:E37"/>
    <mergeCell ref="G37:H37"/>
    <mergeCell ref="K37:L37"/>
    <mergeCell ref="R37:U37"/>
    <mergeCell ref="X37:Y37"/>
    <mergeCell ref="AA37:AB37"/>
    <mergeCell ref="C36:E36"/>
    <mergeCell ref="G36:H36"/>
    <mergeCell ref="K36:L36"/>
    <mergeCell ref="R36:U36"/>
    <mergeCell ref="X36:Y36"/>
    <mergeCell ref="AA36:AB36"/>
    <mergeCell ref="C35:E35"/>
    <mergeCell ref="G35:H35"/>
    <mergeCell ref="K35:L35"/>
    <mergeCell ref="R35:U35"/>
    <mergeCell ref="X35:Y35"/>
    <mergeCell ref="AA35:AB35"/>
    <mergeCell ref="C34:E34"/>
    <mergeCell ref="G34:H34"/>
    <mergeCell ref="K34:L34"/>
    <mergeCell ref="R34:U34"/>
    <mergeCell ref="X34:Y34"/>
    <mergeCell ref="AA34:AB34"/>
    <mergeCell ref="C33:E33"/>
    <mergeCell ref="G33:H33"/>
    <mergeCell ref="K33:L33"/>
    <mergeCell ref="R33:U33"/>
    <mergeCell ref="X33:Y33"/>
    <mergeCell ref="AA33:AB33"/>
    <mergeCell ref="C32:E32"/>
    <mergeCell ref="G32:H32"/>
    <mergeCell ref="K32:L32"/>
    <mergeCell ref="R32:U32"/>
    <mergeCell ref="X32:Y32"/>
    <mergeCell ref="AA32:AB32"/>
    <mergeCell ref="C31:E31"/>
    <mergeCell ref="G31:H31"/>
    <mergeCell ref="K31:L31"/>
    <mergeCell ref="R31:U31"/>
    <mergeCell ref="X31:Y31"/>
    <mergeCell ref="AA31:AB31"/>
    <mergeCell ref="C30:E30"/>
    <mergeCell ref="G30:H30"/>
    <mergeCell ref="K30:L30"/>
    <mergeCell ref="R30:U30"/>
    <mergeCell ref="X30:Y30"/>
    <mergeCell ref="AA30:AB30"/>
    <mergeCell ref="C29:E29"/>
    <mergeCell ref="G29:H29"/>
    <mergeCell ref="K29:L29"/>
    <mergeCell ref="R29:U29"/>
    <mergeCell ref="X29:Y29"/>
    <mergeCell ref="AA29:AB29"/>
    <mergeCell ref="C27:E27"/>
    <mergeCell ref="R27:U27"/>
    <mergeCell ref="X27:Y27"/>
    <mergeCell ref="AA27:AB27"/>
    <mergeCell ref="C28:E28"/>
    <mergeCell ref="R28:U28"/>
    <mergeCell ref="X28:Y28"/>
    <mergeCell ref="AA28:AB28"/>
    <mergeCell ref="K27:L27"/>
    <mergeCell ref="K28:L28"/>
    <mergeCell ref="G27:H27"/>
    <mergeCell ref="G28:H28"/>
    <mergeCell ref="C26:E26"/>
    <mergeCell ref="G26:H26"/>
    <mergeCell ref="K26:L26"/>
    <mergeCell ref="R26:U26"/>
    <mergeCell ref="X26:Y26"/>
    <mergeCell ref="AA26:AB26"/>
    <mergeCell ref="D19:AB19"/>
    <mergeCell ref="C20:AB20"/>
    <mergeCell ref="C21:AB21"/>
    <mergeCell ref="C22:AB22"/>
    <mergeCell ref="C25:E25"/>
    <mergeCell ref="G25:H25"/>
    <mergeCell ref="K25:L25"/>
    <mergeCell ref="R25:U25"/>
    <mergeCell ref="X25:Y25"/>
    <mergeCell ref="AA25:AB25"/>
    <mergeCell ref="V15:X15"/>
    <mergeCell ref="D16:E16"/>
    <mergeCell ref="L16:M16"/>
    <mergeCell ref="V16:X16"/>
    <mergeCell ref="D17:E17"/>
    <mergeCell ref="L17:M17"/>
    <mergeCell ref="V17:X17"/>
    <mergeCell ref="C11:D11"/>
    <mergeCell ref="E11:N11"/>
    <mergeCell ref="P11:R11"/>
    <mergeCell ref="U11:V11"/>
    <mergeCell ref="X11:AB11"/>
    <mergeCell ref="E12:M12"/>
    <mergeCell ref="C10:D10"/>
    <mergeCell ref="E10:J10"/>
    <mergeCell ref="L10:N10"/>
    <mergeCell ref="P10:R10"/>
    <mergeCell ref="X10:AB10"/>
    <mergeCell ref="C7:D7"/>
    <mergeCell ref="E7:R7"/>
    <mergeCell ref="X7:AB7"/>
    <mergeCell ref="C8:D8"/>
    <mergeCell ref="E8:R8"/>
    <mergeCell ref="X8:AB8"/>
    <mergeCell ref="Z1:AC1"/>
    <mergeCell ref="B2:AC2"/>
    <mergeCell ref="D3:Y3"/>
    <mergeCell ref="Z3:AC3"/>
    <mergeCell ref="C4:AC4"/>
    <mergeCell ref="Y5:AA5"/>
    <mergeCell ref="C9:D9"/>
    <mergeCell ref="E9:R9"/>
    <mergeCell ref="X9:AB9"/>
  </mergeCells>
  <printOptions horizontalCentered="1"/>
  <pageMargins left="0.25" right="0.25" top="0.5" bottom="0.5" header="0" footer="0"/>
  <pageSetup scale="43" orientation="portrait" r:id="rId1"/>
  <drawing r:id="rId2"/>
  <extLst>
    <ext xmlns:x14="http://schemas.microsoft.com/office/spreadsheetml/2009/9/main" uri="{CCE6A557-97BC-4b89-ADB6-D9C93CAAB3DF}">
      <x14:dataValidations xmlns:xm="http://schemas.microsoft.com/office/excel/2006/main" count="4">
        <x14:dataValidation type="list" showInputMessage="1" xr:uid="{00000000-0002-0000-0E00-000000000000}">
          <x14:formula1>
            <xm:f>List!$F$37:$F$43</xm:f>
          </x14:formula1>
          <xm:sqref>AA6 X6</xm:sqref>
        </x14:dataValidation>
        <x14:dataValidation type="list" showInputMessage="1" showErrorMessage="1" xr:uid="{00000000-0002-0000-0E00-000002000000}">
          <x14:formula1>
            <xm:f>List!$B$17:$B$18</xm:f>
          </x14:formula1>
          <xm:sqref>E11:N11</xm:sqref>
        </x14:dataValidation>
        <x14:dataValidation type="list" showInputMessage="1" xr:uid="{00000000-0002-0000-0E00-000003000000}">
          <x14:formula1>
            <xm:f>List!$H$2:$H$4</xm:f>
          </x14:formula1>
          <xm:sqref>E10:J10</xm:sqref>
        </x14:dataValidation>
        <x14:dataValidation type="list" showInputMessage="1" xr:uid="{00000000-0002-0000-0E00-000004000000}">
          <x14:formula1>
            <xm:f>List!$I$2:$I$4</xm:f>
          </x14:formula1>
          <xm:sqref>L10:N10</xm:sqref>
        </x14:dataValidation>
      </x14:dataValidation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4">
    <tabColor rgb="FFFF3399"/>
    <pageSetUpPr fitToPage="1"/>
  </sheetPr>
  <dimension ref="B1:BF45"/>
  <sheetViews>
    <sheetView topLeftCell="D1" zoomScale="85" zoomScaleNormal="85" workbookViewId="0">
      <selection activeCell="I11" sqref="I11:R11"/>
    </sheetView>
  </sheetViews>
  <sheetFormatPr defaultColWidth="9.109375" defaultRowHeight="14.4"/>
  <cols>
    <col min="2" max="2" width="3.44140625" customWidth="1"/>
    <col min="3" max="3" width="4.6640625" customWidth="1"/>
    <col min="4" max="4" width="2.6640625" customWidth="1"/>
    <col min="5" max="5" width="4.6640625" customWidth="1"/>
    <col min="6" max="6" width="3.6640625" customWidth="1"/>
    <col min="7" max="7" width="5.6640625" customWidth="1"/>
    <col min="8" max="8" width="11.6640625" customWidth="1"/>
    <col min="9" max="9" width="2.5546875" customWidth="1"/>
    <col min="10" max="10" width="3" customWidth="1"/>
    <col min="11" max="11" width="3.109375" customWidth="1"/>
    <col min="12" max="12" width="5.6640625" customWidth="1"/>
    <col min="13" max="13" width="2.44140625" customWidth="1"/>
    <col min="14" max="14" width="2.88671875" customWidth="1"/>
    <col min="15" max="15" width="0.6640625" customWidth="1"/>
    <col min="16" max="16" width="5.33203125" customWidth="1"/>
    <col min="17" max="17" width="12.6640625" customWidth="1"/>
    <col min="18" max="18" width="5.109375" customWidth="1"/>
    <col min="19" max="19" width="7.44140625" style="112" customWidth="1"/>
    <col min="20" max="20" width="6.6640625" style="112" customWidth="1"/>
    <col min="21" max="21" width="4.33203125" style="112" customWidth="1"/>
    <col min="22" max="22" width="3.6640625" customWidth="1"/>
    <col min="23" max="24" width="2.6640625" customWidth="1"/>
    <col min="25" max="25" width="3.6640625" customWidth="1"/>
    <col min="26" max="26" width="2.109375" customWidth="1"/>
    <col min="27" max="27" width="4.6640625" customWidth="1"/>
    <col min="28" max="28" width="1.6640625" customWidth="1"/>
    <col min="29" max="29" width="6.6640625" customWidth="1"/>
    <col min="30" max="30" width="1.88671875" customWidth="1"/>
    <col min="31" max="31" width="2.6640625" customWidth="1"/>
    <col min="32" max="33" width="2" customWidth="1"/>
    <col min="34" max="34" width="6.33203125" customWidth="1"/>
    <col min="35" max="35" width="0.5546875" customWidth="1"/>
    <col min="36" max="36" width="4.109375" customWidth="1"/>
    <col min="37" max="37" width="3.33203125" customWidth="1"/>
    <col min="38" max="39" width="2.6640625" customWidth="1"/>
    <col min="41" max="46" width="9.33203125" customWidth="1"/>
    <col min="259" max="259" width="0.6640625" customWidth="1"/>
    <col min="260" max="260" width="3.88671875" customWidth="1"/>
    <col min="261" max="261" width="4" customWidth="1"/>
    <col min="262" max="262" width="2.44140625" customWidth="1"/>
    <col min="263" max="263" width="1.6640625" customWidth="1"/>
    <col min="264" max="264" width="11" customWidth="1"/>
    <col min="265" max="265" width="2.5546875" customWidth="1"/>
    <col min="266" max="266" width="3" customWidth="1"/>
    <col min="267" max="268" width="3.109375" customWidth="1"/>
    <col min="269" max="269" width="2.44140625" customWidth="1"/>
    <col min="270" max="270" width="2.88671875" customWidth="1"/>
    <col min="271" max="271" width="0.6640625" customWidth="1"/>
    <col min="272" max="272" width="5.33203125" customWidth="1"/>
    <col min="273" max="273" width="10.5546875" customWidth="1"/>
    <col min="274" max="274" width="5.109375" customWidth="1"/>
    <col min="275" max="275" width="7.44140625" customWidth="1"/>
    <col min="276" max="276" width="6.6640625" customWidth="1"/>
    <col min="277" max="277" width="4.33203125" customWidth="1"/>
    <col min="278" max="278" width="2" customWidth="1"/>
    <col min="279" max="280" width="2.6640625" customWidth="1"/>
    <col min="281" max="282" width="2.109375" customWidth="1"/>
    <col min="283" max="283" width="4.6640625" customWidth="1"/>
    <col min="284" max="284" width="1.6640625" customWidth="1"/>
    <col min="285" max="285" width="6.6640625" customWidth="1"/>
    <col min="286" max="287" width="1.88671875" customWidth="1"/>
    <col min="288" max="288" width="3" customWidth="1"/>
    <col min="289" max="289" width="4" customWidth="1"/>
    <col min="290" max="290" width="4.33203125" customWidth="1"/>
    <col min="291" max="291" width="1.109375" customWidth="1"/>
    <col min="292" max="293" width="4.33203125" customWidth="1"/>
    <col min="294" max="294" width="5" customWidth="1"/>
    <col min="295" max="295" width="1.33203125" customWidth="1"/>
    <col min="515" max="515" width="0.6640625" customWidth="1"/>
    <col min="516" max="516" width="3.88671875" customWidth="1"/>
    <col min="517" max="517" width="4" customWidth="1"/>
    <col min="518" max="518" width="2.44140625" customWidth="1"/>
    <col min="519" max="519" width="1.6640625" customWidth="1"/>
    <col min="520" max="520" width="11" customWidth="1"/>
    <col min="521" max="521" width="2.5546875" customWidth="1"/>
    <col min="522" max="522" width="3" customWidth="1"/>
    <col min="523" max="524" width="3.109375" customWidth="1"/>
    <col min="525" max="525" width="2.44140625" customWidth="1"/>
    <col min="526" max="526" width="2.88671875" customWidth="1"/>
    <col min="527" max="527" width="0.6640625" customWidth="1"/>
    <col min="528" max="528" width="5.33203125" customWidth="1"/>
    <col min="529" max="529" width="10.5546875" customWidth="1"/>
    <col min="530" max="530" width="5.109375" customWidth="1"/>
    <col min="531" max="531" width="7.44140625" customWidth="1"/>
    <col min="532" max="532" width="6.6640625" customWidth="1"/>
    <col min="533" max="533" width="4.33203125" customWidth="1"/>
    <col min="534" max="534" width="2" customWidth="1"/>
    <col min="535" max="536" width="2.6640625" customWidth="1"/>
    <col min="537" max="538" width="2.109375" customWidth="1"/>
    <col min="539" max="539" width="4.6640625" customWidth="1"/>
    <col min="540" max="540" width="1.6640625" customWidth="1"/>
    <col min="541" max="541" width="6.6640625" customWidth="1"/>
    <col min="542" max="543" width="1.88671875" customWidth="1"/>
    <col min="544" max="544" width="3" customWidth="1"/>
    <col min="545" max="545" width="4" customWidth="1"/>
    <col min="546" max="546" width="4.33203125" customWidth="1"/>
    <col min="547" max="547" width="1.109375" customWidth="1"/>
    <col min="548" max="549" width="4.33203125" customWidth="1"/>
    <col min="550" max="550" width="5" customWidth="1"/>
    <col min="551" max="551" width="1.33203125" customWidth="1"/>
    <col min="771" max="771" width="0.6640625" customWidth="1"/>
    <col min="772" max="772" width="3.88671875" customWidth="1"/>
    <col min="773" max="773" width="4" customWidth="1"/>
    <col min="774" max="774" width="2.44140625" customWidth="1"/>
    <col min="775" max="775" width="1.6640625" customWidth="1"/>
    <col min="776" max="776" width="11" customWidth="1"/>
    <col min="777" max="777" width="2.5546875" customWidth="1"/>
    <col min="778" max="778" width="3" customWidth="1"/>
    <col min="779" max="780" width="3.109375" customWidth="1"/>
    <col min="781" max="781" width="2.44140625" customWidth="1"/>
    <col min="782" max="782" width="2.88671875" customWidth="1"/>
    <col min="783" max="783" width="0.6640625" customWidth="1"/>
    <col min="784" max="784" width="5.33203125" customWidth="1"/>
    <col min="785" max="785" width="10.5546875" customWidth="1"/>
    <col min="786" max="786" width="5.109375" customWidth="1"/>
    <col min="787" max="787" width="7.44140625" customWidth="1"/>
    <col min="788" max="788" width="6.6640625" customWidth="1"/>
    <col min="789" max="789" width="4.33203125" customWidth="1"/>
    <col min="790" max="790" width="2" customWidth="1"/>
    <col min="791" max="792" width="2.6640625" customWidth="1"/>
    <col min="793" max="794" width="2.109375" customWidth="1"/>
    <col min="795" max="795" width="4.6640625" customWidth="1"/>
    <col min="796" max="796" width="1.6640625" customWidth="1"/>
    <col min="797" max="797" width="6.6640625" customWidth="1"/>
    <col min="798" max="799" width="1.88671875" customWidth="1"/>
    <col min="800" max="800" width="3" customWidth="1"/>
    <col min="801" max="801" width="4" customWidth="1"/>
    <col min="802" max="802" width="4.33203125" customWidth="1"/>
    <col min="803" max="803" width="1.109375" customWidth="1"/>
    <col min="804" max="805" width="4.33203125" customWidth="1"/>
    <col min="806" max="806" width="5" customWidth="1"/>
    <col min="807" max="807" width="1.33203125" customWidth="1"/>
    <col min="1027" max="1027" width="0.6640625" customWidth="1"/>
    <col min="1028" max="1028" width="3.88671875" customWidth="1"/>
    <col min="1029" max="1029" width="4" customWidth="1"/>
    <col min="1030" max="1030" width="2.44140625" customWidth="1"/>
    <col min="1031" max="1031" width="1.6640625" customWidth="1"/>
    <col min="1032" max="1032" width="11" customWidth="1"/>
    <col min="1033" max="1033" width="2.5546875" customWidth="1"/>
    <col min="1034" max="1034" width="3" customWidth="1"/>
    <col min="1035" max="1036" width="3.109375" customWidth="1"/>
    <col min="1037" max="1037" width="2.44140625" customWidth="1"/>
    <col min="1038" max="1038" width="2.88671875" customWidth="1"/>
    <col min="1039" max="1039" width="0.6640625" customWidth="1"/>
    <col min="1040" max="1040" width="5.33203125" customWidth="1"/>
    <col min="1041" max="1041" width="10.5546875" customWidth="1"/>
    <col min="1042" max="1042" width="5.109375" customWidth="1"/>
    <col min="1043" max="1043" width="7.44140625" customWidth="1"/>
    <col min="1044" max="1044" width="6.6640625" customWidth="1"/>
    <col min="1045" max="1045" width="4.33203125" customWidth="1"/>
    <col min="1046" max="1046" width="2" customWidth="1"/>
    <col min="1047" max="1048" width="2.6640625" customWidth="1"/>
    <col min="1049" max="1050" width="2.109375" customWidth="1"/>
    <col min="1051" max="1051" width="4.6640625" customWidth="1"/>
    <col min="1052" max="1052" width="1.6640625" customWidth="1"/>
    <col min="1053" max="1053" width="6.6640625" customWidth="1"/>
    <col min="1054" max="1055" width="1.88671875" customWidth="1"/>
    <col min="1056" max="1056" width="3" customWidth="1"/>
    <col min="1057" max="1057" width="4" customWidth="1"/>
    <col min="1058" max="1058" width="4.33203125" customWidth="1"/>
    <col min="1059" max="1059" width="1.109375" customWidth="1"/>
    <col min="1060" max="1061" width="4.33203125" customWidth="1"/>
    <col min="1062" max="1062" width="5" customWidth="1"/>
    <col min="1063" max="1063" width="1.33203125" customWidth="1"/>
    <col min="1283" max="1283" width="0.6640625" customWidth="1"/>
    <col min="1284" max="1284" width="3.88671875" customWidth="1"/>
    <col min="1285" max="1285" width="4" customWidth="1"/>
    <col min="1286" max="1286" width="2.44140625" customWidth="1"/>
    <col min="1287" max="1287" width="1.6640625" customWidth="1"/>
    <col min="1288" max="1288" width="11" customWidth="1"/>
    <col min="1289" max="1289" width="2.5546875" customWidth="1"/>
    <col min="1290" max="1290" width="3" customWidth="1"/>
    <col min="1291" max="1292" width="3.109375" customWidth="1"/>
    <col min="1293" max="1293" width="2.44140625" customWidth="1"/>
    <col min="1294" max="1294" width="2.88671875" customWidth="1"/>
    <col min="1295" max="1295" width="0.6640625" customWidth="1"/>
    <col min="1296" max="1296" width="5.33203125" customWidth="1"/>
    <col min="1297" max="1297" width="10.5546875" customWidth="1"/>
    <col min="1298" max="1298" width="5.109375" customWidth="1"/>
    <col min="1299" max="1299" width="7.44140625" customWidth="1"/>
    <col min="1300" max="1300" width="6.6640625" customWidth="1"/>
    <col min="1301" max="1301" width="4.33203125" customWidth="1"/>
    <col min="1302" max="1302" width="2" customWidth="1"/>
    <col min="1303" max="1304" width="2.6640625" customWidth="1"/>
    <col min="1305" max="1306" width="2.109375" customWidth="1"/>
    <col min="1307" max="1307" width="4.6640625" customWidth="1"/>
    <col min="1308" max="1308" width="1.6640625" customWidth="1"/>
    <col min="1309" max="1309" width="6.6640625" customWidth="1"/>
    <col min="1310" max="1311" width="1.88671875" customWidth="1"/>
    <col min="1312" max="1312" width="3" customWidth="1"/>
    <col min="1313" max="1313" width="4" customWidth="1"/>
    <col min="1314" max="1314" width="4.33203125" customWidth="1"/>
    <col min="1315" max="1315" width="1.109375" customWidth="1"/>
    <col min="1316" max="1317" width="4.33203125" customWidth="1"/>
    <col min="1318" max="1318" width="5" customWidth="1"/>
    <col min="1319" max="1319" width="1.33203125" customWidth="1"/>
    <col min="1539" max="1539" width="0.6640625" customWidth="1"/>
    <col min="1540" max="1540" width="3.88671875" customWidth="1"/>
    <col min="1541" max="1541" width="4" customWidth="1"/>
    <col min="1542" max="1542" width="2.44140625" customWidth="1"/>
    <col min="1543" max="1543" width="1.6640625" customWidth="1"/>
    <col min="1544" max="1544" width="11" customWidth="1"/>
    <col min="1545" max="1545" width="2.5546875" customWidth="1"/>
    <col min="1546" max="1546" width="3" customWidth="1"/>
    <col min="1547" max="1548" width="3.109375" customWidth="1"/>
    <col min="1549" max="1549" width="2.44140625" customWidth="1"/>
    <col min="1550" max="1550" width="2.88671875" customWidth="1"/>
    <col min="1551" max="1551" width="0.6640625" customWidth="1"/>
    <col min="1552" max="1552" width="5.33203125" customWidth="1"/>
    <col min="1553" max="1553" width="10.5546875" customWidth="1"/>
    <col min="1554" max="1554" width="5.109375" customWidth="1"/>
    <col min="1555" max="1555" width="7.44140625" customWidth="1"/>
    <col min="1556" max="1556" width="6.6640625" customWidth="1"/>
    <col min="1557" max="1557" width="4.33203125" customWidth="1"/>
    <col min="1558" max="1558" width="2" customWidth="1"/>
    <col min="1559" max="1560" width="2.6640625" customWidth="1"/>
    <col min="1561" max="1562" width="2.109375" customWidth="1"/>
    <col min="1563" max="1563" width="4.6640625" customWidth="1"/>
    <col min="1564" max="1564" width="1.6640625" customWidth="1"/>
    <col min="1565" max="1565" width="6.6640625" customWidth="1"/>
    <col min="1566" max="1567" width="1.88671875" customWidth="1"/>
    <col min="1568" max="1568" width="3" customWidth="1"/>
    <col min="1569" max="1569" width="4" customWidth="1"/>
    <col min="1570" max="1570" width="4.33203125" customWidth="1"/>
    <col min="1571" max="1571" width="1.109375" customWidth="1"/>
    <col min="1572" max="1573" width="4.33203125" customWidth="1"/>
    <col min="1574" max="1574" width="5" customWidth="1"/>
    <col min="1575" max="1575" width="1.33203125" customWidth="1"/>
    <col min="1795" max="1795" width="0.6640625" customWidth="1"/>
    <col min="1796" max="1796" width="3.88671875" customWidth="1"/>
    <col min="1797" max="1797" width="4" customWidth="1"/>
    <col min="1798" max="1798" width="2.44140625" customWidth="1"/>
    <col min="1799" max="1799" width="1.6640625" customWidth="1"/>
    <col min="1800" max="1800" width="11" customWidth="1"/>
    <col min="1801" max="1801" width="2.5546875" customWidth="1"/>
    <col min="1802" max="1802" width="3" customWidth="1"/>
    <col min="1803" max="1804" width="3.109375" customWidth="1"/>
    <col min="1805" max="1805" width="2.44140625" customWidth="1"/>
    <col min="1806" max="1806" width="2.88671875" customWidth="1"/>
    <col min="1807" max="1807" width="0.6640625" customWidth="1"/>
    <col min="1808" max="1808" width="5.33203125" customWidth="1"/>
    <col min="1809" max="1809" width="10.5546875" customWidth="1"/>
    <col min="1810" max="1810" width="5.109375" customWidth="1"/>
    <col min="1811" max="1811" width="7.44140625" customWidth="1"/>
    <col min="1812" max="1812" width="6.6640625" customWidth="1"/>
    <col min="1813" max="1813" width="4.33203125" customWidth="1"/>
    <col min="1814" max="1814" width="2" customWidth="1"/>
    <col min="1815" max="1816" width="2.6640625" customWidth="1"/>
    <col min="1817" max="1818" width="2.109375" customWidth="1"/>
    <col min="1819" max="1819" width="4.6640625" customWidth="1"/>
    <col min="1820" max="1820" width="1.6640625" customWidth="1"/>
    <col min="1821" max="1821" width="6.6640625" customWidth="1"/>
    <col min="1822" max="1823" width="1.88671875" customWidth="1"/>
    <col min="1824" max="1824" width="3" customWidth="1"/>
    <col min="1825" max="1825" width="4" customWidth="1"/>
    <col min="1826" max="1826" width="4.33203125" customWidth="1"/>
    <col min="1827" max="1827" width="1.109375" customWidth="1"/>
    <col min="1828" max="1829" width="4.33203125" customWidth="1"/>
    <col min="1830" max="1830" width="5" customWidth="1"/>
    <col min="1831" max="1831" width="1.33203125" customWidth="1"/>
    <col min="2051" max="2051" width="0.6640625" customWidth="1"/>
    <col min="2052" max="2052" width="3.88671875" customWidth="1"/>
    <col min="2053" max="2053" width="4" customWidth="1"/>
    <col min="2054" max="2054" width="2.44140625" customWidth="1"/>
    <col min="2055" max="2055" width="1.6640625" customWidth="1"/>
    <col min="2056" max="2056" width="11" customWidth="1"/>
    <col min="2057" max="2057" width="2.5546875" customWidth="1"/>
    <col min="2058" max="2058" width="3" customWidth="1"/>
    <col min="2059" max="2060" width="3.109375" customWidth="1"/>
    <col min="2061" max="2061" width="2.44140625" customWidth="1"/>
    <col min="2062" max="2062" width="2.88671875" customWidth="1"/>
    <col min="2063" max="2063" width="0.6640625" customWidth="1"/>
    <col min="2064" max="2064" width="5.33203125" customWidth="1"/>
    <col min="2065" max="2065" width="10.5546875" customWidth="1"/>
    <col min="2066" max="2066" width="5.109375" customWidth="1"/>
    <col min="2067" max="2067" width="7.44140625" customWidth="1"/>
    <col min="2068" max="2068" width="6.6640625" customWidth="1"/>
    <col min="2069" max="2069" width="4.33203125" customWidth="1"/>
    <col min="2070" max="2070" width="2" customWidth="1"/>
    <col min="2071" max="2072" width="2.6640625" customWidth="1"/>
    <col min="2073" max="2074" width="2.109375" customWidth="1"/>
    <col min="2075" max="2075" width="4.6640625" customWidth="1"/>
    <col min="2076" max="2076" width="1.6640625" customWidth="1"/>
    <col min="2077" max="2077" width="6.6640625" customWidth="1"/>
    <col min="2078" max="2079" width="1.88671875" customWidth="1"/>
    <col min="2080" max="2080" width="3" customWidth="1"/>
    <col min="2081" max="2081" width="4" customWidth="1"/>
    <col min="2082" max="2082" width="4.33203125" customWidth="1"/>
    <col min="2083" max="2083" width="1.109375" customWidth="1"/>
    <col min="2084" max="2085" width="4.33203125" customWidth="1"/>
    <col min="2086" max="2086" width="5" customWidth="1"/>
    <col min="2087" max="2087" width="1.33203125" customWidth="1"/>
    <col min="2307" max="2307" width="0.6640625" customWidth="1"/>
    <col min="2308" max="2308" width="3.88671875" customWidth="1"/>
    <col min="2309" max="2309" width="4" customWidth="1"/>
    <col min="2310" max="2310" width="2.44140625" customWidth="1"/>
    <col min="2311" max="2311" width="1.6640625" customWidth="1"/>
    <col min="2312" max="2312" width="11" customWidth="1"/>
    <col min="2313" max="2313" width="2.5546875" customWidth="1"/>
    <col min="2314" max="2314" width="3" customWidth="1"/>
    <col min="2315" max="2316" width="3.109375" customWidth="1"/>
    <col min="2317" max="2317" width="2.44140625" customWidth="1"/>
    <col min="2318" max="2318" width="2.88671875" customWidth="1"/>
    <col min="2319" max="2319" width="0.6640625" customWidth="1"/>
    <col min="2320" max="2320" width="5.33203125" customWidth="1"/>
    <col min="2321" max="2321" width="10.5546875" customWidth="1"/>
    <col min="2322" max="2322" width="5.109375" customWidth="1"/>
    <col min="2323" max="2323" width="7.44140625" customWidth="1"/>
    <col min="2324" max="2324" width="6.6640625" customWidth="1"/>
    <col min="2325" max="2325" width="4.33203125" customWidth="1"/>
    <col min="2326" max="2326" width="2" customWidth="1"/>
    <col min="2327" max="2328" width="2.6640625" customWidth="1"/>
    <col min="2329" max="2330" width="2.109375" customWidth="1"/>
    <col min="2331" max="2331" width="4.6640625" customWidth="1"/>
    <col min="2332" max="2332" width="1.6640625" customWidth="1"/>
    <col min="2333" max="2333" width="6.6640625" customWidth="1"/>
    <col min="2334" max="2335" width="1.88671875" customWidth="1"/>
    <col min="2336" max="2336" width="3" customWidth="1"/>
    <col min="2337" max="2337" width="4" customWidth="1"/>
    <col min="2338" max="2338" width="4.33203125" customWidth="1"/>
    <col min="2339" max="2339" width="1.109375" customWidth="1"/>
    <col min="2340" max="2341" width="4.33203125" customWidth="1"/>
    <col min="2342" max="2342" width="5" customWidth="1"/>
    <col min="2343" max="2343" width="1.33203125" customWidth="1"/>
    <col min="2563" max="2563" width="0.6640625" customWidth="1"/>
    <col min="2564" max="2564" width="3.88671875" customWidth="1"/>
    <col min="2565" max="2565" width="4" customWidth="1"/>
    <col min="2566" max="2566" width="2.44140625" customWidth="1"/>
    <col min="2567" max="2567" width="1.6640625" customWidth="1"/>
    <col min="2568" max="2568" width="11" customWidth="1"/>
    <col min="2569" max="2569" width="2.5546875" customWidth="1"/>
    <col min="2570" max="2570" width="3" customWidth="1"/>
    <col min="2571" max="2572" width="3.109375" customWidth="1"/>
    <col min="2573" max="2573" width="2.44140625" customWidth="1"/>
    <col min="2574" max="2574" width="2.88671875" customWidth="1"/>
    <col min="2575" max="2575" width="0.6640625" customWidth="1"/>
    <col min="2576" max="2576" width="5.33203125" customWidth="1"/>
    <col min="2577" max="2577" width="10.5546875" customWidth="1"/>
    <col min="2578" max="2578" width="5.109375" customWidth="1"/>
    <col min="2579" max="2579" width="7.44140625" customWidth="1"/>
    <col min="2580" max="2580" width="6.6640625" customWidth="1"/>
    <col min="2581" max="2581" width="4.33203125" customWidth="1"/>
    <col min="2582" max="2582" width="2" customWidth="1"/>
    <col min="2583" max="2584" width="2.6640625" customWidth="1"/>
    <col min="2585" max="2586" width="2.109375" customWidth="1"/>
    <col min="2587" max="2587" width="4.6640625" customWidth="1"/>
    <col min="2588" max="2588" width="1.6640625" customWidth="1"/>
    <col min="2589" max="2589" width="6.6640625" customWidth="1"/>
    <col min="2590" max="2591" width="1.88671875" customWidth="1"/>
    <col min="2592" max="2592" width="3" customWidth="1"/>
    <col min="2593" max="2593" width="4" customWidth="1"/>
    <col min="2594" max="2594" width="4.33203125" customWidth="1"/>
    <col min="2595" max="2595" width="1.109375" customWidth="1"/>
    <col min="2596" max="2597" width="4.33203125" customWidth="1"/>
    <col min="2598" max="2598" width="5" customWidth="1"/>
    <col min="2599" max="2599" width="1.33203125" customWidth="1"/>
    <col min="2819" max="2819" width="0.6640625" customWidth="1"/>
    <col min="2820" max="2820" width="3.88671875" customWidth="1"/>
    <col min="2821" max="2821" width="4" customWidth="1"/>
    <col min="2822" max="2822" width="2.44140625" customWidth="1"/>
    <col min="2823" max="2823" width="1.6640625" customWidth="1"/>
    <col min="2824" max="2824" width="11" customWidth="1"/>
    <col min="2825" max="2825" width="2.5546875" customWidth="1"/>
    <col min="2826" max="2826" width="3" customWidth="1"/>
    <col min="2827" max="2828" width="3.109375" customWidth="1"/>
    <col min="2829" max="2829" width="2.44140625" customWidth="1"/>
    <col min="2830" max="2830" width="2.88671875" customWidth="1"/>
    <col min="2831" max="2831" width="0.6640625" customWidth="1"/>
    <col min="2832" max="2832" width="5.33203125" customWidth="1"/>
    <col min="2833" max="2833" width="10.5546875" customWidth="1"/>
    <col min="2834" max="2834" width="5.109375" customWidth="1"/>
    <col min="2835" max="2835" width="7.44140625" customWidth="1"/>
    <col min="2836" max="2836" width="6.6640625" customWidth="1"/>
    <col min="2837" max="2837" width="4.33203125" customWidth="1"/>
    <col min="2838" max="2838" width="2" customWidth="1"/>
    <col min="2839" max="2840" width="2.6640625" customWidth="1"/>
    <col min="2841" max="2842" width="2.109375" customWidth="1"/>
    <col min="2843" max="2843" width="4.6640625" customWidth="1"/>
    <col min="2844" max="2844" width="1.6640625" customWidth="1"/>
    <col min="2845" max="2845" width="6.6640625" customWidth="1"/>
    <col min="2846" max="2847" width="1.88671875" customWidth="1"/>
    <col min="2848" max="2848" width="3" customWidth="1"/>
    <col min="2849" max="2849" width="4" customWidth="1"/>
    <col min="2850" max="2850" width="4.33203125" customWidth="1"/>
    <col min="2851" max="2851" width="1.109375" customWidth="1"/>
    <col min="2852" max="2853" width="4.33203125" customWidth="1"/>
    <col min="2854" max="2854" width="5" customWidth="1"/>
    <col min="2855" max="2855" width="1.33203125" customWidth="1"/>
    <col min="3075" max="3075" width="0.6640625" customWidth="1"/>
    <col min="3076" max="3076" width="3.88671875" customWidth="1"/>
    <col min="3077" max="3077" width="4" customWidth="1"/>
    <col min="3078" max="3078" width="2.44140625" customWidth="1"/>
    <col min="3079" max="3079" width="1.6640625" customWidth="1"/>
    <col min="3080" max="3080" width="11" customWidth="1"/>
    <col min="3081" max="3081" width="2.5546875" customWidth="1"/>
    <col min="3082" max="3082" width="3" customWidth="1"/>
    <col min="3083" max="3084" width="3.109375" customWidth="1"/>
    <col min="3085" max="3085" width="2.44140625" customWidth="1"/>
    <col min="3086" max="3086" width="2.88671875" customWidth="1"/>
    <col min="3087" max="3087" width="0.6640625" customWidth="1"/>
    <col min="3088" max="3088" width="5.33203125" customWidth="1"/>
    <col min="3089" max="3089" width="10.5546875" customWidth="1"/>
    <col min="3090" max="3090" width="5.109375" customWidth="1"/>
    <col min="3091" max="3091" width="7.44140625" customWidth="1"/>
    <col min="3092" max="3092" width="6.6640625" customWidth="1"/>
    <col min="3093" max="3093" width="4.33203125" customWidth="1"/>
    <col min="3094" max="3094" width="2" customWidth="1"/>
    <col min="3095" max="3096" width="2.6640625" customWidth="1"/>
    <col min="3097" max="3098" width="2.109375" customWidth="1"/>
    <col min="3099" max="3099" width="4.6640625" customWidth="1"/>
    <col min="3100" max="3100" width="1.6640625" customWidth="1"/>
    <col min="3101" max="3101" width="6.6640625" customWidth="1"/>
    <col min="3102" max="3103" width="1.88671875" customWidth="1"/>
    <col min="3104" max="3104" width="3" customWidth="1"/>
    <col min="3105" max="3105" width="4" customWidth="1"/>
    <col min="3106" max="3106" width="4.33203125" customWidth="1"/>
    <col min="3107" max="3107" width="1.109375" customWidth="1"/>
    <col min="3108" max="3109" width="4.33203125" customWidth="1"/>
    <col min="3110" max="3110" width="5" customWidth="1"/>
    <col min="3111" max="3111" width="1.33203125" customWidth="1"/>
    <col min="3331" max="3331" width="0.6640625" customWidth="1"/>
    <col min="3332" max="3332" width="3.88671875" customWidth="1"/>
    <col min="3333" max="3333" width="4" customWidth="1"/>
    <col min="3334" max="3334" width="2.44140625" customWidth="1"/>
    <col min="3335" max="3335" width="1.6640625" customWidth="1"/>
    <col min="3336" max="3336" width="11" customWidth="1"/>
    <col min="3337" max="3337" width="2.5546875" customWidth="1"/>
    <col min="3338" max="3338" width="3" customWidth="1"/>
    <col min="3339" max="3340" width="3.109375" customWidth="1"/>
    <col min="3341" max="3341" width="2.44140625" customWidth="1"/>
    <col min="3342" max="3342" width="2.88671875" customWidth="1"/>
    <col min="3343" max="3343" width="0.6640625" customWidth="1"/>
    <col min="3344" max="3344" width="5.33203125" customWidth="1"/>
    <col min="3345" max="3345" width="10.5546875" customWidth="1"/>
    <col min="3346" max="3346" width="5.109375" customWidth="1"/>
    <col min="3347" max="3347" width="7.44140625" customWidth="1"/>
    <col min="3348" max="3348" width="6.6640625" customWidth="1"/>
    <col min="3349" max="3349" width="4.33203125" customWidth="1"/>
    <col min="3350" max="3350" width="2" customWidth="1"/>
    <col min="3351" max="3352" width="2.6640625" customWidth="1"/>
    <col min="3353" max="3354" width="2.109375" customWidth="1"/>
    <col min="3355" max="3355" width="4.6640625" customWidth="1"/>
    <col min="3356" max="3356" width="1.6640625" customWidth="1"/>
    <col min="3357" max="3357" width="6.6640625" customWidth="1"/>
    <col min="3358" max="3359" width="1.88671875" customWidth="1"/>
    <col min="3360" max="3360" width="3" customWidth="1"/>
    <col min="3361" max="3361" width="4" customWidth="1"/>
    <col min="3362" max="3362" width="4.33203125" customWidth="1"/>
    <col min="3363" max="3363" width="1.109375" customWidth="1"/>
    <col min="3364" max="3365" width="4.33203125" customWidth="1"/>
    <col min="3366" max="3366" width="5" customWidth="1"/>
    <col min="3367" max="3367" width="1.33203125" customWidth="1"/>
    <col min="3587" max="3587" width="0.6640625" customWidth="1"/>
    <col min="3588" max="3588" width="3.88671875" customWidth="1"/>
    <col min="3589" max="3589" width="4" customWidth="1"/>
    <col min="3590" max="3590" width="2.44140625" customWidth="1"/>
    <col min="3591" max="3591" width="1.6640625" customWidth="1"/>
    <col min="3592" max="3592" width="11" customWidth="1"/>
    <col min="3593" max="3593" width="2.5546875" customWidth="1"/>
    <col min="3594" max="3594" width="3" customWidth="1"/>
    <col min="3595" max="3596" width="3.109375" customWidth="1"/>
    <col min="3597" max="3597" width="2.44140625" customWidth="1"/>
    <col min="3598" max="3598" width="2.88671875" customWidth="1"/>
    <col min="3599" max="3599" width="0.6640625" customWidth="1"/>
    <col min="3600" max="3600" width="5.33203125" customWidth="1"/>
    <col min="3601" max="3601" width="10.5546875" customWidth="1"/>
    <col min="3602" max="3602" width="5.109375" customWidth="1"/>
    <col min="3603" max="3603" width="7.44140625" customWidth="1"/>
    <col min="3604" max="3604" width="6.6640625" customWidth="1"/>
    <col min="3605" max="3605" width="4.33203125" customWidth="1"/>
    <col min="3606" max="3606" width="2" customWidth="1"/>
    <col min="3607" max="3608" width="2.6640625" customWidth="1"/>
    <col min="3609" max="3610" width="2.109375" customWidth="1"/>
    <col min="3611" max="3611" width="4.6640625" customWidth="1"/>
    <col min="3612" max="3612" width="1.6640625" customWidth="1"/>
    <col min="3613" max="3613" width="6.6640625" customWidth="1"/>
    <col min="3614" max="3615" width="1.88671875" customWidth="1"/>
    <col min="3616" max="3616" width="3" customWidth="1"/>
    <col min="3617" max="3617" width="4" customWidth="1"/>
    <col min="3618" max="3618" width="4.33203125" customWidth="1"/>
    <col min="3619" max="3619" width="1.109375" customWidth="1"/>
    <col min="3620" max="3621" width="4.33203125" customWidth="1"/>
    <col min="3622" max="3622" width="5" customWidth="1"/>
    <col min="3623" max="3623" width="1.33203125" customWidth="1"/>
    <col min="3843" max="3843" width="0.6640625" customWidth="1"/>
    <col min="3844" max="3844" width="3.88671875" customWidth="1"/>
    <col min="3845" max="3845" width="4" customWidth="1"/>
    <col min="3846" max="3846" width="2.44140625" customWidth="1"/>
    <col min="3847" max="3847" width="1.6640625" customWidth="1"/>
    <col min="3848" max="3848" width="11" customWidth="1"/>
    <col min="3849" max="3849" width="2.5546875" customWidth="1"/>
    <col min="3850" max="3850" width="3" customWidth="1"/>
    <col min="3851" max="3852" width="3.109375" customWidth="1"/>
    <col min="3853" max="3853" width="2.44140625" customWidth="1"/>
    <col min="3854" max="3854" width="2.88671875" customWidth="1"/>
    <col min="3855" max="3855" width="0.6640625" customWidth="1"/>
    <col min="3856" max="3856" width="5.33203125" customWidth="1"/>
    <col min="3857" max="3857" width="10.5546875" customWidth="1"/>
    <col min="3858" max="3858" width="5.109375" customWidth="1"/>
    <col min="3859" max="3859" width="7.44140625" customWidth="1"/>
    <col min="3860" max="3860" width="6.6640625" customWidth="1"/>
    <col min="3861" max="3861" width="4.33203125" customWidth="1"/>
    <col min="3862" max="3862" width="2" customWidth="1"/>
    <col min="3863" max="3864" width="2.6640625" customWidth="1"/>
    <col min="3865" max="3866" width="2.109375" customWidth="1"/>
    <col min="3867" max="3867" width="4.6640625" customWidth="1"/>
    <col min="3868" max="3868" width="1.6640625" customWidth="1"/>
    <col min="3869" max="3869" width="6.6640625" customWidth="1"/>
    <col min="3870" max="3871" width="1.88671875" customWidth="1"/>
    <col min="3872" max="3872" width="3" customWidth="1"/>
    <col min="3873" max="3873" width="4" customWidth="1"/>
    <col min="3874" max="3874" width="4.33203125" customWidth="1"/>
    <col min="3875" max="3875" width="1.109375" customWidth="1"/>
    <col min="3876" max="3877" width="4.33203125" customWidth="1"/>
    <col min="3878" max="3878" width="5" customWidth="1"/>
    <col min="3879" max="3879" width="1.33203125" customWidth="1"/>
    <col min="4099" max="4099" width="0.6640625" customWidth="1"/>
    <col min="4100" max="4100" width="3.88671875" customWidth="1"/>
    <col min="4101" max="4101" width="4" customWidth="1"/>
    <col min="4102" max="4102" width="2.44140625" customWidth="1"/>
    <col min="4103" max="4103" width="1.6640625" customWidth="1"/>
    <col min="4104" max="4104" width="11" customWidth="1"/>
    <col min="4105" max="4105" width="2.5546875" customWidth="1"/>
    <col min="4106" max="4106" width="3" customWidth="1"/>
    <col min="4107" max="4108" width="3.109375" customWidth="1"/>
    <col min="4109" max="4109" width="2.44140625" customWidth="1"/>
    <col min="4110" max="4110" width="2.88671875" customWidth="1"/>
    <col min="4111" max="4111" width="0.6640625" customWidth="1"/>
    <col min="4112" max="4112" width="5.33203125" customWidth="1"/>
    <col min="4113" max="4113" width="10.5546875" customWidth="1"/>
    <col min="4114" max="4114" width="5.109375" customWidth="1"/>
    <col min="4115" max="4115" width="7.44140625" customWidth="1"/>
    <col min="4116" max="4116" width="6.6640625" customWidth="1"/>
    <col min="4117" max="4117" width="4.33203125" customWidth="1"/>
    <col min="4118" max="4118" width="2" customWidth="1"/>
    <col min="4119" max="4120" width="2.6640625" customWidth="1"/>
    <col min="4121" max="4122" width="2.109375" customWidth="1"/>
    <col min="4123" max="4123" width="4.6640625" customWidth="1"/>
    <col min="4124" max="4124" width="1.6640625" customWidth="1"/>
    <col min="4125" max="4125" width="6.6640625" customWidth="1"/>
    <col min="4126" max="4127" width="1.88671875" customWidth="1"/>
    <col min="4128" max="4128" width="3" customWidth="1"/>
    <col min="4129" max="4129" width="4" customWidth="1"/>
    <col min="4130" max="4130" width="4.33203125" customWidth="1"/>
    <col min="4131" max="4131" width="1.109375" customWidth="1"/>
    <col min="4132" max="4133" width="4.33203125" customWidth="1"/>
    <col min="4134" max="4134" width="5" customWidth="1"/>
    <col min="4135" max="4135" width="1.33203125" customWidth="1"/>
    <col min="4355" max="4355" width="0.6640625" customWidth="1"/>
    <col min="4356" max="4356" width="3.88671875" customWidth="1"/>
    <col min="4357" max="4357" width="4" customWidth="1"/>
    <col min="4358" max="4358" width="2.44140625" customWidth="1"/>
    <col min="4359" max="4359" width="1.6640625" customWidth="1"/>
    <col min="4360" max="4360" width="11" customWidth="1"/>
    <col min="4361" max="4361" width="2.5546875" customWidth="1"/>
    <col min="4362" max="4362" width="3" customWidth="1"/>
    <col min="4363" max="4364" width="3.109375" customWidth="1"/>
    <col min="4365" max="4365" width="2.44140625" customWidth="1"/>
    <col min="4366" max="4366" width="2.88671875" customWidth="1"/>
    <col min="4367" max="4367" width="0.6640625" customWidth="1"/>
    <col min="4368" max="4368" width="5.33203125" customWidth="1"/>
    <col min="4369" max="4369" width="10.5546875" customWidth="1"/>
    <col min="4370" max="4370" width="5.109375" customWidth="1"/>
    <col min="4371" max="4371" width="7.44140625" customWidth="1"/>
    <col min="4372" max="4372" width="6.6640625" customWidth="1"/>
    <col min="4373" max="4373" width="4.33203125" customWidth="1"/>
    <col min="4374" max="4374" width="2" customWidth="1"/>
    <col min="4375" max="4376" width="2.6640625" customWidth="1"/>
    <col min="4377" max="4378" width="2.109375" customWidth="1"/>
    <col min="4379" max="4379" width="4.6640625" customWidth="1"/>
    <col min="4380" max="4380" width="1.6640625" customWidth="1"/>
    <col min="4381" max="4381" width="6.6640625" customWidth="1"/>
    <col min="4382" max="4383" width="1.88671875" customWidth="1"/>
    <col min="4384" max="4384" width="3" customWidth="1"/>
    <col min="4385" max="4385" width="4" customWidth="1"/>
    <col min="4386" max="4386" width="4.33203125" customWidth="1"/>
    <col min="4387" max="4387" width="1.109375" customWidth="1"/>
    <col min="4388" max="4389" width="4.33203125" customWidth="1"/>
    <col min="4390" max="4390" width="5" customWidth="1"/>
    <col min="4391" max="4391" width="1.33203125" customWidth="1"/>
    <col min="4611" max="4611" width="0.6640625" customWidth="1"/>
    <col min="4612" max="4612" width="3.88671875" customWidth="1"/>
    <col min="4613" max="4613" width="4" customWidth="1"/>
    <col min="4614" max="4614" width="2.44140625" customWidth="1"/>
    <col min="4615" max="4615" width="1.6640625" customWidth="1"/>
    <col min="4616" max="4616" width="11" customWidth="1"/>
    <col min="4617" max="4617" width="2.5546875" customWidth="1"/>
    <col min="4618" max="4618" width="3" customWidth="1"/>
    <col min="4619" max="4620" width="3.109375" customWidth="1"/>
    <col min="4621" max="4621" width="2.44140625" customWidth="1"/>
    <col min="4622" max="4622" width="2.88671875" customWidth="1"/>
    <col min="4623" max="4623" width="0.6640625" customWidth="1"/>
    <col min="4624" max="4624" width="5.33203125" customWidth="1"/>
    <col min="4625" max="4625" width="10.5546875" customWidth="1"/>
    <col min="4626" max="4626" width="5.109375" customWidth="1"/>
    <col min="4627" max="4627" width="7.44140625" customWidth="1"/>
    <col min="4628" max="4628" width="6.6640625" customWidth="1"/>
    <col min="4629" max="4629" width="4.33203125" customWidth="1"/>
    <col min="4630" max="4630" width="2" customWidth="1"/>
    <col min="4631" max="4632" width="2.6640625" customWidth="1"/>
    <col min="4633" max="4634" width="2.109375" customWidth="1"/>
    <col min="4635" max="4635" width="4.6640625" customWidth="1"/>
    <col min="4636" max="4636" width="1.6640625" customWidth="1"/>
    <col min="4637" max="4637" width="6.6640625" customWidth="1"/>
    <col min="4638" max="4639" width="1.88671875" customWidth="1"/>
    <col min="4640" max="4640" width="3" customWidth="1"/>
    <col min="4641" max="4641" width="4" customWidth="1"/>
    <col min="4642" max="4642" width="4.33203125" customWidth="1"/>
    <col min="4643" max="4643" width="1.109375" customWidth="1"/>
    <col min="4644" max="4645" width="4.33203125" customWidth="1"/>
    <col min="4646" max="4646" width="5" customWidth="1"/>
    <col min="4647" max="4647" width="1.33203125" customWidth="1"/>
    <col min="4867" max="4867" width="0.6640625" customWidth="1"/>
    <col min="4868" max="4868" width="3.88671875" customWidth="1"/>
    <col min="4869" max="4869" width="4" customWidth="1"/>
    <col min="4870" max="4870" width="2.44140625" customWidth="1"/>
    <col min="4871" max="4871" width="1.6640625" customWidth="1"/>
    <col min="4872" max="4872" width="11" customWidth="1"/>
    <col min="4873" max="4873" width="2.5546875" customWidth="1"/>
    <col min="4874" max="4874" width="3" customWidth="1"/>
    <col min="4875" max="4876" width="3.109375" customWidth="1"/>
    <col min="4877" max="4877" width="2.44140625" customWidth="1"/>
    <col min="4878" max="4878" width="2.88671875" customWidth="1"/>
    <col min="4879" max="4879" width="0.6640625" customWidth="1"/>
    <col min="4880" max="4880" width="5.33203125" customWidth="1"/>
    <col min="4881" max="4881" width="10.5546875" customWidth="1"/>
    <col min="4882" max="4882" width="5.109375" customWidth="1"/>
    <col min="4883" max="4883" width="7.44140625" customWidth="1"/>
    <col min="4884" max="4884" width="6.6640625" customWidth="1"/>
    <col min="4885" max="4885" width="4.33203125" customWidth="1"/>
    <col min="4886" max="4886" width="2" customWidth="1"/>
    <col min="4887" max="4888" width="2.6640625" customWidth="1"/>
    <col min="4889" max="4890" width="2.109375" customWidth="1"/>
    <col min="4891" max="4891" width="4.6640625" customWidth="1"/>
    <col min="4892" max="4892" width="1.6640625" customWidth="1"/>
    <col min="4893" max="4893" width="6.6640625" customWidth="1"/>
    <col min="4894" max="4895" width="1.88671875" customWidth="1"/>
    <col min="4896" max="4896" width="3" customWidth="1"/>
    <col min="4897" max="4897" width="4" customWidth="1"/>
    <col min="4898" max="4898" width="4.33203125" customWidth="1"/>
    <col min="4899" max="4899" width="1.109375" customWidth="1"/>
    <col min="4900" max="4901" width="4.33203125" customWidth="1"/>
    <col min="4902" max="4902" width="5" customWidth="1"/>
    <col min="4903" max="4903" width="1.33203125" customWidth="1"/>
    <col min="5123" max="5123" width="0.6640625" customWidth="1"/>
    <col min="5124" max="5124" width="3.88671875" customWidth="1"/>
    <col min="5125" max="5125" width="4" customWidth="1"/>
    <col min="5126" max="5126" width="2.44140625" customWidth="1"/>
    <col min="5127" max="5127" width="1.6640625" customWidth="1"/>
    <col min="5128" max="5128" width="11" customWidth="1"/>
    <col min="5129" max="5129" width="2.5546875" customWidth="1"/>
    <col min="5130" max="5130" width="3" customWidth="1"/>
    <col min="5131" max="5132" width="3.109375" customWidth="1"/>
    <col min="5133" max="5133" width="2.44140625" customWidth="1"/>
    <col min="5134" max="5134" width="2.88671875" customWidth="1"/>
    <col min="5135" max="5135" width="0.6640625" customWidth="1"/>
    <col min="5136" max="5136" width="5.33203125" customWidth="1"/>
    <col min="5137" max="5137" width="10.5546875" customWidth="1"/>
    <col min="5138" max="5138" width="5.109375" customWidth="1"/>
    <col min="5139" max="5139" width="7.44140625" customWidth="1"/>
    <col min="5140" max="5140" width="6.6640625" customWidth="1"/>
    <col min="5141" max="5141" width="4.33203125" customWidth="1"/>
    <col min="5142" max="5142" width="2" customWidth="1"/>
    <col min="5143" max="5144" width="2.6640625" customWidth="1"/>
    <col min="5145" max="5146" width="2.109375" customWidth="1"/>
    <col min="5147" max="5147" width="4.6640625" customWidth="1"/>
    <col min="5148" max="5148" width="1.6640625" customWidth="1"/>
    <col min="5149" max="5149" width="6.6640625" customWidth="1"/>
    <col min="5150" max="5151" width="1.88671875" customWidth="1"/>
    <col min="5152" max="5152" width="3" customWidth="1"/>
    <col min="5153" max="5153" width="4" customWidth="1"/>
    <col min="5154" max="5154" width="4.33203125" customWidth="1"/>
    <col min="5155" max="5155" width="1.109375" customWidth="1"/>
    <col min="5156" max="5157" width="4.33203125" customWidth="1"/>
    <col min="5158" max="5158" width="5" customWidth="1"/>
    <col min="5159" max="5159" width="1.33203125" customWidth="1"/>
    <col min="5379" max="5379" width="0.6640625" customWidth="1"/>
    <col min="5380" max="5380" width="3.88671875" customWidth="1"/>
    <col min="5381" max="5381" width="4" customWidth="1"/>
    <col min="5382" max="5382" width="2.44140625" customWidth="1"/>
    <col min="5383" max="5383" width="1.6640625" customWidth="1"/>
    <col min="5384" max="5384" width="11" customWidth="1"/>
    <col min="5385" max="5385" width="2.5546875" customWidth="1"/>
    <col min="5386" max="5386" width="3" customWidth="1"/>
    <col min="5387" max="5388" width="3.109375" customWidth="1"/>
    <col min="5389" max="5389" width="2.44140625" customWidth="1"/>
    <col min="5390" max="5390" width="2.88671875" customWidth="1"/>
    <col min="5391" max="5391" width="0.6640625" customWidth="1"/>
    <col min="5392" max="5392" width="5.33203125" customWidth="1"/>
    <col min="5393" max="5393" width="10.5546875" customWidth="1"/>
    <col min="5394" max="5394" width="5.109375" customWidth="1"/>
    <col min="5395" max="5395" width="7.44140625" customWidth="1"/>
    <col min="5396" max="5396" width="6.6640625" customWidth="1"/>
    <col min="5397" max="5397" width="4.33203125" customWidth="1"/>
    <col min="5398" max="5398" width="2" customWidth="1"/>
    <col min="5399" max="5400" width="2.6640625" customWidth="1"/>
    <col min="5401" max="5402" width="2.109375" customWidth="1"/>
    <col min="5403" max="5403" width="4.6640625" customWidth="1"/>
    <col min="5404" max="5404" width="1.6640625" customWidth="1"/>
    <col min="5405" max="5405" width="6.6640625" customWidth="1"/>
    <col min="5406" max="5407" width="1.88671875" customWidth="1"/>
    <col min="5408" max="5408" width="3" customWidth="1"/>
    <col min="5409" max="5409" width="4" customWidth="1"/>
    <col min="5410" max="5410" width="4.33203125" customWidth="1"/>
    <col min="5411" max="5411" width="1.109375" customWidth="1"/>
    <col min="5412" max="5413" width="4.33203125" customWidth="1"/>
    <col min="5414" max="5414" width="5" customWidth="1"/>
    <col min="5415" max="5415" width="1.33203125" customWidth="1"/>
    <col min="5635" max="5635" width="0.6640625" customWidth="1"/>
    <col min="5636" max="5636" width="3.88671875" customWidth="1"/>
    <col min="5637" max="5637" width="4" customWidth="1"/>
    <col min="5638" max="5638" width="2.44140625" customWidth="1"/>
    <col min="5639" max="5639" width="1.6640625" customWidth="1"/>
    <col min="5640" max="5640" width="11" customWidth="1"/>
    <col min="5641" max="5641" width="2.5546875" customWidth="1"/>
    <col min="5642" max="5642" width="3" customWidth="1"/>
    <col min="5643" max="5644" width="3.109375" customWidth="1"/>
    <col min="5645" max="5645" width="2.44140625" customWidth="1"/>
    <col min="5646" max="5646" width="2.88671875" customWidth="1"/>
    <col min="5647" max="5647" width="0.6640625" customWidth="1"/>
    <col min="5648" max="5648" width="5.33203125" customWidth="1"/>
    <col min="5649" max="5649" width="10.5546875" customWidth="1"/>
    <col min="5650" max="5650" width="5.109375" customWidth="1"/>
    <col min="5651" max="5651" width="7.44140625" customWidth="1"/>
    <col min="5652" max="5652" width="6.6640625" customWidth="1"/>
    <col min="5653" max="5653" width="4.33203125" customWidth="1"/>
    <col min="5654" max="5654" width="2" customWidth="1"/>
    <col min="5655" max="5656" width="2.6640625" customWidth="1"/>
    <col min="5657" max="5658" width="2.109375" customWidth="1"/>
    <col min="5659" max="5659" width="4.6640625" customWidth="1"/>
    <col min="5660" max="5660" width="1.6640625" customWidth="1"/>
    <col min="5661" max="5661" width="6.6640625" customWidth="1"/>
    <col min="5662" max="5663" width="1.88671875" customWidth="1"/>
    <col min="5664" max="5664" width="3" customWidth="1"/>
    <col min="5665" max="5665" width="4" customWidth="1"/>
    <col min="5666" max="5666" width="4.33203125" customWidth="1"/>
    <col min="5667" max="5667" width="1.109375" customWidth="1"/>
    <col min="5668" max="5669" width="4.33203125" customWidth="1"/>
    <col min="5670" max="5670" width="5" customWidth="1"/>
    <col min="5671" max="5671" width="1.33203125" customWidth="1"/>
    <col min="5891" max="5891" width="0.6640625" customWidth="1"/>
    <col min="5892" max="5892" width="3.88671875" customWidth="1"/>
    <col min="5893" max="5893" width="4" customWidth="1"/>
    <col min="5894" max="5894" width="2.44140625" customWidth="1"/>
    <col min="5895" max="5895" width="1.6640625" customWidth="1"/>
    <col min="5896" max="5896" width="11" customWidth="1"/>
    <col min="5897" max="5897" width="2.5546875" customWidth="1"/>
    <col min="5898" max="5898" width="3" customWidth="1"/>
    <col min="5899" max="5900" width="3.109375" customWidth="1"/>
    <col min="5901" max="5901" width="2.44140625" customWidth="1"/>
    <col min="5902" max="5902" width="2.88671875" customWidth="1"/>
    <col min="5903" max="5903" width="0.6640625" customWidth="1"/>
    <col min="5904" max="5904" width="5.33203125" customWidth="1"/>
    <col min="5905" max="5905" width="10.5546875" customWidth="1"/>
    <col min="5906" max="5906" width="5.109375" customWidth="1"/>
    <col min="5907" max="5907" width="7.44140625" customWidth="1"/>
    <col min="5908" max="5908" width="6.6640625" customWidth="1"/>
    <col min="5909" max="5909" width="4.33203125" customWidth="1"/>
    <col min="5910" max="5910" width="2" customWidth="1"/>
    <col min="5911" max="5912" width="2.6640625" customWidth="1"/>
    <col min="5913" max="5914" width="2.109375" customWidth="1"/>
    <col min="5915" max="5915" width="4.6640625" customWidth="1"/>
    <col min="5916" max="5916" width="1.6640625" customWidth="1"/>
    <col min="5917" max="5917" width="6.6640625" customWidth="1"/>
    <col min="5918" max="5919" width="1.88671875" customWidth="1"/>
    <col min="5920" max="5920" width="3" customWidth="1"/>
    <col min="5921" max="5921" width="4" customWidth="1"/>
    <col min="5922" max="5922" width="4.33203125" customWidth="1"/>
    <col min="5923" max="5923" width="1.109375" customWidth="1"/>
    <col min="5924" max="5925" width="4.33203125" customWidth="1"/>
    <col min="5926" max="5926" width="5" customWidth="1"/>
    <col min="5927" max="5927" width="1.33203125" customWidth="1"/>
    <col min="6147" max="6147" width="0.6640625" customWidth="1"/>
    <col min="6148" max="6148" width="3.88671875" customWidth="1"/>
    <col min="6149" max="6149" width="4" customWidth="1"/>
    <col min="6150" max="6150" width="2.44140625" customWidth="1"/>
    <col min="6151" max="6151" width="1.6640625" customWidth="1"/>
    <col min="6152" max="6152" width="11" customWidth="1"/>
    <col min="6153" max="6153" width="2.5546875" customWidth="1"/>
    <col min="6154" max="6154" width="3" customWidth="1"/>
    <col min="6155" max="6156" width="3.109375" customWidth="1"/>
    <col min="6157" max="6157" width="2.44140625" customWidth="1"/>
    <col min="6158" max="6158" width="2.88671875" customWidth="1"/>
    <col min="6159" max="6159" width="0.6640625" customWidth="1"/>
    <col min="6160" max="6160" width="5.33203125" customWidth="1"/>
    <col min="6161" max="6161" width="10.5546875" customWidth="1"/>
    <col min="6162" max="6162" width="5.109375" customWidth="1"/>
    <col min="6163" max="6163" width="7.44140625" customWidth="1"/>
    <col min="6164" max="6164" width="6.6640625" customWidth="1"/>
    <col min="6165" max="6165" width="4.33203125" customWidth="1"/>
    <col min="6166" max="6166" width="2" customWidth="1"/>
    <col min="6167" max="6168" width="2.6640625" customWidth="1"/>
    <col min="6169" max="6170" width="2.109375" customWidth="1"/>
    <col min="6171" max="6171" width="4.6640625" customWidth="1"/>
    <col min="6172" max="6172" width="1.6640625" customWidth="1"/>
    <col min="6173" max="6173" width="6.6640625" customWidth="1"/>
    <col min="6174" max="6175" width="1.88671875" customWidth="1"/>
    <col min="6176" max="6176" width="3" customWidth="1"/>
    <col min="6177" max="6177" width="4" customWidth="1"/>
    <col min="6178" max="6178" width="4.33203125" customWidth="1"/>
    <col min="6179" max="6179" width="1.109375" customWidth="1"/>
    <col min="6180" max="6181" width="4.33203125" customWidth="1"/>
    <col min="6182" max="6182" width="5" customWidth="1"/>
    <col min="6183" max="6183" width="1.33203125" customWidth="1"/>
    <col min="6403" max="6403" width="0.6640625" customWidth="1"/>
    <col min="6404" max="6404" width="3.88671875" customWidth="1"/>
    <col min="6405" max="6405" width="4" customWidth="1"/>
    <col min="6406" max="6406" width="2.44140625" customWidth="1"/>
    <col min="6407" max="6407" width="1.6640625" customWidth="1"/>
    <col min="6408" max="6408" width="11" customWidth="1"/>
    <col min="6409" max="6409" width="2.5546875" customWidth="1"/>
    <col min="6410" max="6410" width="3" customWidth="1"/>
    <col min="6411" max="6412" width="3.109375" customWidth="1"/>
    <col min="6413" max="6413" width="2.44140625" customWidth="1"/>
    <col min="6414" max="6414" width="2.88671875" customWidth="1"/>
    <col min="6415" max="6415" width="0.6640625" customWidth="1"/>
    <col min="6416" max="6416" width="5.33203125" customWidth="1"/>
    <col min="6417" max="6417" width="10.5546875" customWidth="1"/>
    <col min="6418" max="6418" width="5.109375" customWidth="1"/>
    <col min="6419" max="6419" width="7.44140625" customWidth="1"/>
    <col min="6420" max="6420" width="6.6640625" customWidth="1"/>
    <col min="6421" max="6421" width="4.33203125" customWidth="1"/>
    <col min="6422" max="6422" width="2" customWidth="1"/>
    <col min="6423" max="6424" width="2.6640625" customWidth="1"/>
    <col min="6425" max="6426" width="2.109375" customWidth="1"/>
    <col min="6427" max="6427" width="4.6640625" customWidth="1"/>
    <col min="6428" max="6428" width="1.6640625" customWidth="1"/>
    <col min="6429" max="6429" width="6.6640625" customWidth="1"/>
    <col min="6430" max="6431" width="1.88671875" customWidth="1"/>
    <col min="6432" max="6432" width="3" customWidth="1"/>
    <col min="6433" max="6433" width="4" customWidth="1"/>
    <col min="6434" max="6434" width="4.33203125" customWidth="1"/>
    <col min="6435" max="6435" width="1.109375" customWidth="1"/>
    <col min="6436" max="6437" width="4.33203125" customWidth="1"/>
    <col min="6438" max="6438" width="5" customWidth="1"/>
    <col min="6439" max="6439" width="1.33203125" customWidth="1"/>
    <col min="6659" max="6659" width="0.6640625" customWidth="1"/>
    <col min="6660" max="6660" width="3.88671875" customWidth="1"/>
    <col min="6661" max="6661" width="4" customWidth="1"/>
    <col min="6662" max="6662" width="2.44140625" customWidth="1"/>
    <col min="6663" max="6663" width="1.6640625" customWidth="1"/>
    <col min="6664" max="6664" width="11" customWidth="1"/>
    <col min="6665" max="6665" width="2.5546875" customWidth="1"/>
    <col min="6666" max="6666" width="3" customWidth="1"/>
    <col min="6667" max="6668" width="3.109375" customWidth="1"/>
    <col min="6669" max="6669" width="2.44140625" customWidth="1"/>
    <col min="6670" max="6670" width="2.88671875" customWidth="1"/>
    <col min="6671" max="6671" width="0.6640625" customWidth="1"/>
    <col min="6672" max="6672" width="5.33203125" customWidth="1"/>
    <col min="6673" max="6673" width="10.5546875" customWidth="1"/>
    <col min="6674" max="6674" width="5.109375" customWidth="1"/>
    <col min="6675" max="6675" width="7.44140625" customWidth="1"/>
    <col min="6676" max="6676" width="6.6640625" customWidth="1"/>
    <col min="6677" max="6677" width="4.33203125" customWidth="1"/>
    <col min="6678" max="6678" width="2" customWidth="1"/>
    <col min="6679" max="6680" width="2.6640625" customWidth="1"/>
    <col min="6681" max="6682" width="2.109375" customWidth="1"/>
    <col min="6683" max="6683" width="4.6640625" customWidth="1"/>
    <col min="6684" max="6684" width="1.6640625" customWidth="1"/>
    <col min="6685" max="6685" width="6.6640625" customWidth="1"/>
    <col min="6686" max="6687" width="1.88671875" customWidth="1"/>
    <col min="6688" max="6688" width="3" customWidth="1"/>
    <col min="6689" max="6689" width="4" customWidth="1"/>
    <col min="6690" max="6690" width="4.33203125" customWidth="1"/>
    <col min="6691" max="6691" width="1.109375" customWidth="1"/>
    <col min="6692" max="6693" width="4.33203125" customWidth="1"/>
    <col min="6694" max="6694" width="5" customWidth="1"/>
    <col min="6695" max="6695" width="1.33203125" customWidth="1"/>
    <col min="6915" max="6915" width="0.6640625" customWidth="1"/>
    <col min="6916" max="6916" width="3.88671875" customWidth="1"/>
    <col min="6917" max="6917" width="4" customWidth="1"/>
    <col min="6918" max="6918" width="2.44140625" customWidth="1"/>
    <col min="6919" max="6919" width="1.6640625" customWidth="1"/>
    <col min="6920" max="6920" width="11" customWidth="1"/>
    <col min="6921" max="6921" width="2.5546875" customWidth="1"/>
    <col min="6922" max="6922" width="3" customWidth="1"/>
    <col min="6923" max="6924" width="3.109375" customWidth="1"/>
    <col min="6925" max="6925" width="2.44140625" customWidth="1"/>
    <col min="6926" max="6926" width="2.88671875" customWidth="1"/>
    <col min="6927" max="6927" width="0.6640625" customWidth="1"/>
    <col min="6928" max="6928" width="5.33203125" customWidth="1"/>
    <col min="6929" max="6929" width="10.5546875" customWidth="1"/>
    <col min="6930" max="6930" width="5.109375" customWidth="1"/>
    <col min="6931" max="6931" width="7.44140625" customWidth="1"/>
    <col min="6932" max="6932" width="6.6640625" customWidth="1"/>
    <col min="6933" max="6933" width="4.33203125" customWidth="1"/>
    <col min="6934" max="6934" width="2" customWidth="1"/>
    <col min="6935" max="6936" width="2.6640625" customWidth="1"/>
    <col min="6937" max="6938" width="2.109375" customWidth="1"/>
    <col min="6939" max="6939" width="4.6640625" customWidth="1"/>
    <col min="6940" max="6940" width="1.6640625" customWidth="1"/>
    <col min="6941" max="6941" width="6.6640625" customWidth="1"/>
    <col min="6942" max="6943" width="1.88671875" customWidth="1"/>
    <col min="6944" max="6944" width="3" customWidth="1"/>
    <col min="6945" max="6945" width="4" customWidth="1"/>
    <col min="6946" max="6946" width="4.33203125" customWidth="1"/>
    <col min="6947" max="6947" width="1.109375" customWidth="1"/>
    <col min="6948" max="6949" width="4.33203125" customWidth="1"/>
    <col min="6950" max="6950" width="5" customWidth="1"/>
    <col min="6951" max="6951" width="1.33203125" customWidth="1"/>
    <col min="7171" max="7171" width="0.6640625" customWidth="1"/>
    <col min="7172" max="7172" width="3.88671875" customWidth="1"/>
    <col min="7173" max="7173" width="4" customWidth="1"/>
    <col min="7174" max="7174" width="2.44140625" customWidth="1"/>
    <col min="7175" max="7175" width="1.6640625" customWidth="1"/>
    <col min="7176" max="7176" width="11" customWidth="1"/>
    <col min="7177" max="7177" width="2.5546875" customWidth="1"/>
    <col min="7178" max="7178" width="3" customWidth="1"/>
    <col min="7179" max="7180" width="3.109375" customWidth="1"/>
    <col min="7181" max="7181" width="2.44140625" customWidth="1"/>
    <col min="7182" max="7182" width="2.88671875" customWidth="1"/>
    <col min="7183" max="7183" width="0.6640625" customWidth="1"/>
    <col min="7184" max="7184" width="5.33203125" customWidth="1"/>
    <col min="7185" max="7185" width="10.5546875" customWidth="1"/>
    <col min="7186" max="7186" width="5.109375" customWidth="1"/>
    <col min="7187" max="7187" width="7.44140625" customWidth="1"/>
    <col min="7188" max="7188" width="6.6640625" customWidth="1"/>
    <col min="7189" max="7189" width="4.33203125" customWidth="1"/>
    <col min="7190" max="7190" width="2" customWidth="1"/>
    <col min="7191" max="7192" width="2.6640625" customWidth="1"/>
    <col min="7193" max="7194" width="2.109375" customWidth="1"/>
    <col min="7195" max="7195" width="4.6640625" customWidth="1"/>
    <col min="7196" max="7196" width="1.6640625" customWidth="1"/>
    <col min="7197" max="7197" width="6.6640625" customWidth="1"/>
    <col min="7198" max="7199" width="1.88671875" customWidth="1"/>
    <col min="7200" max="7200" width="3" customWidth="1"/>
    <col min="7201" max="7201" width="4" customWidth="1"/>
    <col min="7202" max="7202" width="4.33203125" customWidth="1"/>
    <col min="7203" max="7203" width="1.109375" customWidth="1"/>
    <col min="7204" max="7205" width="4.33203125" customWidth="1"/>
    <col min="7206" max="7206" width="5" customWidth="1"/>
    <col min="7207" max="7207" width="1.33203125" customWidth="1"/>
    <col min="7427" max="7427" width="0.6640625" customWidth="1"/>
    <col min="7428" max="7428" width="3.88671875" customWidth="1"/>
    <col min="7429" max="7429" width="4" customWidth="1"/>
    <col min="7430" max="7430" width="2.44140625" customWidth="1"/>
    <col min="7431" max="7431" width="1.6640625" customWidth="1"/>
    <col min="7432" max="7432" width="11" customWidth="1"/>
    <col min="7433" max="7433" width="2.5546875" customWidth="1"/>
    <col min="7434" max="7434" width="3" customWidth="1"/>
    <col min="7435" max="7436" width="3.109375" customWidth="1"/>
    <col min="7437" max="7437" width="2.44140625" customWidth="1"/>
    <col min="7438" max="7438" width="2.88671875" customWidth="1"/>
    <col min="7439" max="7439" width="0.6640625" customWidth="1"/>
    <col min="7440" max="7440" width="5.33203125" customWidth="1"/>
    <col min="7441" max="7441" width="10.5546875" customWidth="1"/>
    <col min="7442" max="7442" width="5.109375" customWidth="1"/>
    <col min="7443" max="7443" width="7.44140625" customWidth="1"/>
    <col min="7444" max="7444" width="6.6640625" customWidth="1"/>
    <col min="7445" max="7445" width="4.33203125" customWidth="1"/>
    <col min="7446" max="7446" width="2" customWidth="1"/>
    <col min="7447" max="7448" width="2.6640625" customWidth="1"/>
    <col min="7449" max="7450" width="2.109375" customWidth="1"/>
    <col min="7451" max="7451" width="4.6640625" customWidth="1"/>
    <col min="7452" max="7452" width="1.6640625" customWidth="1"/>
    <col min="7453" max="7453" width="6.6640625" customWidth="1"/>
    <col min="7454" max="7455" width="1.88671875" customWidth="1"/>
    <col min="7456" max="7456" width="3" customWidth="1"/>
    <col min="7457" max="7457" width="4" customWidth="1"/>
    <col min="7458" max="7458" width="4.33203125" customWidth="1"/>
    <col min="7459" max="7459" width="1.109375" customWidth="1"/>
    <col min="7460" max="7461" width="4.33203125" customWidth="1"/>
    <col min="7462" max="7462" width="5" customWidth="1"/>
    <col min="7463" max="7463" width="1.33203125" customWidth="1"/>
    <col min="7683" max="7683" width="0.6640625" customWidth="1"/>
    <col min="7684" max="7684" width="3.88671875" customWidth="1"/>
    <col min="7685" max="7685" width="4" customWidth="1"/>
    <col min="7686" max="7686" width="2.44140625" customWidth="1"/>
    <col min="7687" max="7687" width="1.6640625" customWidth="1"/>
    <col min="7688" max="7688" width="11" customWidth="1"/>
    <col min="7689" max="7689" width="2.5546875" customWidth="1"/>
    <col min="7690" max="7690" width="3" customWidth="1"/>
    <col min="7691" max="7692" width="3.109375" customWidth="1"/>
    <col min="7693" max="7693" width="2.44140625" customWidth="1"/>
    <col min="7694" max="7694" width="2.88671875" customWidth="1"/>
    <col min="7695" max="7695" width="0.6640625" customWidth="1"/>
    <col min="7696" max="7696" width="5.33203125" customWidth="1"/>
    <col min="7697" max="7697" width="10.5546875" customWidth="1"/>
    <col min="7698" max="7698" width="5.109375" customWidth="1"/>
    <col min="7699" max="7699" width="7.44140625" customWidth="1"/>
    <col min="7700" max="7700" width="6.6640625" customWidth="1"/>
    <col min="7701" max="7701" width="4.33203125" customWidth="1"/>
    <col min="7702" max="7702" width="2" customWidth="1"/>
    <col min="7703" max="7704" width="2.6640625" customWidth="1"/>
    <col min="7705" max="7706" width="2.109375" customWidth="1"/>
    <col min="7707" max="7707" width="4.6640625" customWidth="1"/>
    <col min="7708" max="7708" width="1.6640625" customWidth="1"/>
    <col min="7709" max="7709" width="6.6640625" customWidth="1"/>
    <col min="7710" max="7711" width="1.88671875" customWidth="1"/>
    <col min="7712" max="7712" width="3" customWidth="1"/>
    <col min="7713" max="7713" width="4" customWidth="1"/>
    <col min="7714" max="7714" width="4.33203125" customWidth="1"/>
    <col min="7715" max="7715" width="1.109375" customWidth="1"/>
    <col min="7716" max="7717" width="4.33203125" customWidth="1"/>
    <col min="7718" max="7718" width="5" customWidth="1"/>
    <col min="7719" max="7719" width="1.33203125" customWidth="1"/>
    <col min="7939" max="7939" width="0.6640625" customWidth="1"/>
    <col min="7940" max="7940" width="3.88671875" customWidth="1"/>
    <col min="7941" max="7941" width="4" customWidth="1"/>
    <col min="7942" max="7942" width="2.44140625" customWidth="1"/>
    <col min="7943" max="7943" width="1.6640625" customWidth="1"/>
    <col min="7944" max="7944" width="11" customWidth="1"/>
    <col min="7945" max="7945" width="2.5546875" customWidth="1"/>
    <col min="7946" max="7946" width="3" customWidth="1"/>
    <col min="7947" max="7948" width="3.109375" customWidth="1"/>
    <col min="7949" max="7949" width="2.44140625" customWidth="1"/>
    <col min="7950" max="7950" width="2.88671875" customWidth="1"/>
    <col min="7951" max="7951" width="0.6640625" customWidth="1"/>
    <col min="7952" max="7952" width="5.33203125" customWidth="1"/>
    <col min="7953" max="7953" width="10.5546875" customWidth="1"/>
    <col min="7954" max="7954" width="5.109375" customWidth="1"/>
    <col min="7955" max="7955" width="7.44140625" customWidth="1"/>
    <col min="7956" max="7956" width="6.6640625" customWidth="1"/>
    <col min="7957" max="7957" width="4.33203125" customWidth="1"/>
    <col min="7958" max="7958" width="2" customWidth="1"/>
    <col min="7959" max="7960" width="2.6640625" customWidth="1"/>
    <col min="7961" max="7962" width="2.109375" customWidth="1"/>
    <col min="7963" max="7963" width="4.6640625" customWidth="1"/>
    <col min="7964" max="7964" width="1.6640625" customWidth="1"/>
    <col min="7965" max="7965" width="6.6640625" customWidth="1"/>
    <col min="7966" max="7967" width="1.88671875" customWidth="1"/>
    <col min="7968" max="7968" width="3" customWidth="1"/>
    <col min="7969" max="7969" width="4" customWidth="1"/>
    <col min="7970" max="7970" width="4.33203125" customWidth="1"/>
    <col min="7971" max="7971" width="1.109375" customWidth="1"/>
    <col min="7972" max="7973" width="4.33203125" customWidth="1"/>
    <col min="7974" max="7974" width="5" customWidth="1"/>
    <col min="7975" max="7975" width="1.33203125" customWidth="1"/>
    <col min="8195" max="8195" width="0.6640625" customWidth="1"/>
    <col min="8196" max="8196" width="3.88671875" customWidth="1"/>
    <col min="8197" max="8197" width="4" customWidth="1"/>
    <col min="8198" max="8198" width="2.44140625" customWidth="1"/>
    <col min="8199" max="8199" width="1.6640625" customWidth="1"/>
    <col min="8200" max="8200" width="11" customWidth="1"/>
    <col min="8201" max="8201" width="2.5546875" customWidth="1"/>
    <col min="8202" max="8202" width="3" customWidth="1"/>
    <col min="8203" max="8204" width="3.109375" customWidth="1"/>
    <col min="8205" max="8205" width="2.44140625" customWidth="1"/>
    <col min="8206" max="8206" width="2.88671875" customWidth="1"/>
    <col min="8207" max="8207" width="0.6640625" customWidth="1"/>
    <col min="8208" max="8208" width="5.33203125" customWidth="1"/>
    <col min="8209" max="8209" width="10.5546875" customWidth="1"/>
    <col min="8210" max="8210" width="5.109375" customWidth="1"/>
    <col min="8211" max="8211" width="7.44140625" customWidth="1"/>
    <col min="8212" max="8212" width="6.6640625" customWidth="1"/>
    <col min="8213" max="8213" width="4.33203125" customWidth="1"/>
    <col min="8214" max="8214" width="2" customWidth="1"/>
    <col min="8215" max="8216" width="2.6640625" customWidth="1"/>
    <col min="8217" max="8218" width="2.109375" customWidth="1"/>
    <col min="8219" max="8219" width="4.6640625" customWidth="1"/>
    <col min="8220" max="8220" width="1.6640625" customWidth="1"/>
    <col min="8221" max="8221" width="6.6640625" customWidth="1"/>
    <col min="8222" max="8223" width="1.88671875" customWidth="1"/>
    <col min="8224" max="8224" width="3" customWidth="1"/>
    <col min="8225" max="8225" width="4" customWidth="1"/>
    <col min="8226" max="8226" width="4.33203125" customWidth="1"/>
    <col min="8227" max="8227" width="1.109375" customWidth="1"/>
    <col min="8228" max="8229" width="4.33203125" customWidth="1"/>
    <col min="8230" max="8230" width="5" customWidth="1"/>
    <col min="8231" max="8231" width="1.33203125" customWidth="1"/>
    <col min="8451" max="8451" width="0.6640625" customWidth="1"/>
    <col min="8452" max="8452" width="3.88671875" customWidth="1"/>
    <col min="8453" max="8453" width="4" customWidth="1"/>
    <col min="8454" max="8454" width="2.44140625" customWidth="1"/>
    <col min="8455" max="8455" width="1.6640625" customWidth="1"/>
    <col min="8456" max="8456" width="11" customWidth="1"/>
    <col min="8457" max="8457" width="2.5546875" customWidth="1"/>
    <col min="8458" max="8458" width="3" customWidth="1"/>
    <col min="8459" max="8460" width="3.109375" customWidth="1"/>
    <col min="8461" max="8461" width="2.44140625" customWidth="1"/>
    <col min="8462" max="8462" width="2.88671875" customWidth="1"/>
    <col min="8463" max="8463" width="0.6640625" customWidth="1"/>
    <col min="8464" max="8464" width="5.33203125" customWidth="1"/>
    <col min="8465" max="8465" width="10.5546875" customWidth="1"/>
    <col min="8466" max="8466" width="5.109375" customWidth="1"/>
    <col min="8467" max="8467" width="7.44140625" customWidth="1"/>
    <col min="8468" max="8468" width="6.6640625" customWidth="1"/>
    <col min="8469" max="8469" width="4.33203125" customWidth="1"/>
    <col min="8470" max="8470" width="2" customWidth="1"/>
    <col min="8471" max="8472" width="2.6640625" customWidth="1"/>
    <col min="8473" max="8474" width="2.109375" customWidth="1"/>
    <col min="8475" max="8475" width="4.6640625" customWidth="1"/>
    <col min="8476" max="8476" width="1.6640625" customWidth="1"/>
    <col min="8477" max="8477" width="6.6640625" customWidth="1"/>
    <col min="8478" max="8479" width="1.88671875" customWidth="1"/>
    <col min="8480" max="8480" width="3" customWidth="1"/>
    <col min="8481" max="8481" width="4" customWidth="1"/>
    <col min="8482" max="8482" width="4.33203125" customWidth="1"/>
    <col min="8483" max="8483" width="1.109375" customWidth="1"/>
    <col min="8484" max="8485" width="4.33203125" customWidth="1"/>
    <col min="8486" max="8486" width="5" customWidth="1"/>
    <col min="8487" max="8487" width="1.33203125" customWidth="1"/>
    <col min="8707" max="8707" width="0.6640625" customWidth="1"/>
    <col min="8708" max="8708" width="3.88671875" customWidth="1"/>
    <col min="8709" max="8709" width="4" customWidth="1"/>
    <col min="8710" max="8710" width="2.44140625" customWidth="1"/>
    <col min="8711" max="8711" width="1.6640625" customWidth="1"/>
    <col min="8712" max="8712" width="11" customWidth="1"/>
    <col min="8713" max="8713" width="2.5546875" customWidth="1"/>
    <col min="8714" max="8714" width="3" customWidth="1"/>
    <col min="8715" max="8716" width="3.109375" customWidth="1"/>
    <col min="8717" max="8717" width="2.44140625" customWidth="1"/>
    <col min="8718" max="8718" width="2.88671875" customWidth="1"/>
    <col min="8719" max="8719" width="0.6640625" customWidth="1"/>
    <col min="8720" max="8720" width="5.33203125" customWidth="1"/>
    <col min="8721" max="8721" width="10.5546875" customWidth="1"/>
    <col min="8722" max="8722" width="5.109375" customWidth="1"/>
    <col min="8723" max="8723" width="7.44140625" customWidth="1"/>
    <col min="8724" max="8724" width="6.6640625" customWidth="1"/>
    <col min="8725" max="8725" width="4.33203125" customWidth="1"/>
    <col min="8726" max="8726" width="2" customWidth="1"/>
    <col min="8727" max="8728" width="2.6640625" customWidth="1"/>
    <col min="8729" max="8730" width="2.109375" customWidth="1"/>
    <col min="8731" max="8731" width="4.6640625" customWidth="1"/>
    <col min="8732" max="8732" width="1.6640625" customWidth="1"/>
    <col min="8733" max="8733" width="6.6640625" customWidth="1"/>
    <col min="8734" max="8735" width="1.88671875" customWidth="1"/>
    <col min="8736" max="8736" width="3" customWidth="1"/>
    <col min="8737" max="8737" width="4" customWidth="1"/>
    <col min="8738" max="8738" width="4.33203125" customWidth="1"/>
    <col min="8739" max="8739" width="1.109375" customWidth="1"/>
    <col min="8740" max="8741" width="4.33203125" customWidth="1"/>
    <col min="8742" max="8742" width="5" customWidth="1"/>
    <col min="8743" max="8743" width="1.33203125" customWidth="1"/>
    <col min="8963" max="8963" width="0.6640625" customWidth="1"/>
    <col min="8964" max="8964" width="3.88671875" customWidth="1"/>
    <col min="8965" max="8965" width="4" customWidth="1"/>
    <col min="8966" max="8966" width="2.44140625" customWidth="1"/>
    <col min="8967" max="8967" width="1.6640625" customWidth="1"/>
    <col min="8968" max="8968" width="11" customWidth="1"/>
    <col min="8969" max="8969" width="2.5546875" customWidth="1"/>
    <col min="8970" max="8970" width="3" customWidth="1"/>
    <col min="8971" max="8972" width="3.109375" customWidth="1"/>
    <col min="8973" max="8973" width="2.44140625" customWidth="1"/>
    <col min="8974" max="8974" width="2.88671875" customWidth="1"/>
    <col min="8975" max="8975" width="0.6640625" customWidth="1"/>
    <col min="8976" max="8976" width="5.33203125" customWidth="1"/>
    <col min="8977" max="8977" width="10.5546875" customWidth="1"/>
    <col min="8978" max="8978" width="5.109375" customWidth="1"/>
    <col min="8979" max="8979" width="7.44140625" customWidth="1"/>
    <col min="8980" max="8980" width="6.6640625" customWidth="1"/>
    <col min="8981" max="8981" width="4.33203125" customWidth="1"/>
    <col min="8982" max="8982" width="2" customWidth="1"/>
    <col min="8983" max="8984" width="2.6640625" customWidth="1"/>
    <col min="8985" max="8986" width="2.109375" customWidth="1"/>
    <col min="8987" max="8987" width="4.6640625" customWidth="1"/>
    <col min="8988" max="8988" width="1.6640625" customWidth="1"/>
    <col min="8989" max="8989" width="6.6640625" customWidth="1"/>
    <col min="8990" max="8991" width="1.88671875" customWidth="1"/>
    <col min="8992" max="8992" width="3" customWidth="1"/>
    <col min="8993" max="8993" width="4" customWidth="1"/>
    <col min="8994" max="8994" width="4.33203125" customWidth="1"/>
    <col min="8995" max="8995" width="1.109375" customWidth="1"/>
    <col min="8996" max="8997" width="4.33203125" customWidth="1"/>
    <col min="8998" max="8998" width="5" customWidth="1"/>
    <col min="8999" max="8999" width="1.33203125" customWidth="1"/>
    <col min="9219" max="9219" width="0.6640625" customWidth="1"/>
    <col min="9220" max="9220" width="3.88671875" customWidth="1"/>
    <col min="9221" max="9221" width="4" customWidth="1"/>
    <col min="9222" max="9222" width="2.44140625" customWidth="1"/>
    <col min="9223" max="9223" width="1.6640625" customWidth="1"/>
    <col min="9224" max="9224" width="11" customWidth="1"/>
    <col min="9225" max="9225" width="2.5546875" customWidth="1"/>
    <col min="9226" max="9226" width="3" customWidth="1"/>
    <col min="9227" max="9228" width="3.109375" customWidth="1"/>
    <col min="9229" max="9229" width="2.44140625" customWidth="1"/>
    <col min="9230" max="9230" width="2.88671875" customWidth="1"/>
    <col min="9231" max="9231" width="0.6640625" customWidth="1"/>
    <col min="9232" max="9232" width="5.33203125" customWidth="1"/>
    <col min="9233" max="9233" width="10.5546875" customWidth="1"/>
    <col min="9234" max="9234" width="5.109375" customWidth="1"/>
    <col min="9235" max="9235" width="7.44140625" customWidth="1"/>
    <col min="9236" max="9236" width="6.6640625" customWidth="1"/>
    <col min="9237" max="9237" width="4.33203125" customWidth="1"/>
    <col min="9238" max="9238" width="2" customWidth="1"/>
    <col min="9239" max="9240" width="2.6640625" customWidth="1"/>
    <col min="9241" max="9242" width="2.109375" customWidth="1"/>
    <col min="9243" max="9243" width="4.6640625" customWidth="1"/>
    <col min="9244" max="9244" width="1.6640625" customWidth="1"/>
    <col min="9245" max="9245" width="6.6640625" customWidth="1"/>
    <col min="9246" max="9247" width="1.88671875" customWidth="1"/>
    <col min="9248" max="9248" width="3" customWidth="1"/>
    <col min="9249" max="9249" width="4" customWidth="1"/>
    <col min="9250" max="9250" width="4.33203125" customWidth="1"/>
    <col min="9251" max="9251" width="1.109375" customWidth="1"/>
    <col min="9252" max="9253" width="4.33203125" customWidth="1"/>
    <col min="9254" max="9254" width="5" customWidth="1"/>
    <col min="9255" max="9255" width="1.33203125" customWidth="1"/>
    <col min="9475" max="9475" width="0.6640625" customWidth="1"/>
    <col min="9476" max="9476" width="3.88671875" customWidth="1"/>
    <col min="9477" max="9477" width="4" customWidth="1"/>
    <col min="9478" max="9478" width="2.44140625" customWidth="1"/>
    <col min="9479" max="9479" width="1.6640625" customWidth="1"/>
    <col min="9480" max="9480" width="11" customWidth="1"/>
    <col min="9481" max="9481" width="2.5546875" customWidth="1"/>
    <col min="9482" max="9482" width="3" customWidth="1"/>
    <col min="9483" max="9484" width="3.109375" customWidth="1"/>
    <col min="9485" max="9485" width="2.44140625" customWidth="1"/>
    <col min="9486" max="9486" width="2.88671875" customWidth="1"/>
    <col min="9487" max="9487" width="0.6640625" customWidth="1"/>
    <col min="9488" max="9488" width="5.33203125" customWidth="1"/>
    <col min="9489" max="9489" width="10.5546875" customWidth="1"/>
    <col min="9490" max="9490" width="5.109375" customWidth="1"/>
    <col min="9491" max="9491" width="7.44140625" customWidth="1"/>
    <col min="9492" max="9492" width="6.6640625" customWidth="1"/>
    <col min="9493" max="9493" width="4.33203125" customWidth="1"/>
    <col min="9494" max="9494" width="2" customWidth="1"/>
    <col min="9495" max="9496" width="2.6640625" customWidth="1"/>
    <col min="9497" max="9498" width="2.109375" customWidth="1"/>
    <col min="9499" max="9499" width="4.6640625" customWidth="1"/>
    <col min="9500" max="9500" width="1.6640625" customWidth="1"/>
    <col min="9501" max="9501" width="6.6640625" customWidth="1"/>
    <col min="9502" max="9503" width="1.88671875" customWidth="1"/>
    <col min="9504" max="9504" width="3" customWidth="1"/>
    <col min="9505" max="9505" width="4" customWidth="1"/>
    <col min="9506" max="9506" width="4.33203125" customWidth="1"/>
    <col min="9507" max="9507" width="1.109375" customWidth="1"/>
    <col min="9508" max="9509" width="4.33203125" customWidth="1"/>
    <col min="9510" max="9510" width="5" customWidth="1"/>
    <col min="9511" max="9511" width="1.33203125" customWidth="1"/>
    <col min="9731" max="9731" width="0.6640625" customWidth="1"/>
    <col min="9732" max="9732" width="3.88671875" customWidth="1"/>
    <col min="9733" max="9733" width="4" customWidth="1"/>
    <col min="9734" max="9734" width="2.44140625" customWidth="1"/>
    <col min="9735" max="9735" width="1.6640625" customWidth="1"/>
    <col min="9736" max="9736" width="11" customWidth="1"/>
    <col min="9737" max="9737" width="2.5546875" customWidth="1"/>
    <col min="9738" max="9738" width="3" customWidth="1"/>
    <col min="9739" max="9740" width="3.109375" customWidth="1"/>
    <col min="9741" max="9741" width="2.44140625" customWidth="1"/>
    <col min="9742" max="9742" width="2.88671875" customWidth="1"/>
    <col min="9743" max="9743" width="0.6640625" customWidth="1"/>
    <col min="9744" max="9744" width="5.33203125" customWidth="1"/>
    <col min="9745" max="9745" width="10.5546875" customWidth="1"/>
    <col min="9746" max="9746" width="5.109375" customWidth="1"/>
    <col min="9747" max="9747" width="7.44140625" customWidth="1"/>
    <col min="9748" max="9748" width="6.6640625" customWidth="1"/>
    <col min="9749" max="9749" width="4.33203125" customWidth="1"/>
    <col min="9750" max="9750" width="2" customWidth="1"/>
    <col min="9751" max="9752" width="2.6640625" customWidth="1"/>
    <col min="9753" max="9754" width="2.109375" customWidth="1"/>
    <col min="9755" max="9755" width="4.6640625" customWidth="1"/>
    <col min="9756" max="9756" width="1.6640625" customWidth="1"/>
    <col min="9757" max="9757" width="6.6640625" customWidth="1"/>
    <col min="9758" max="9759" width="1.88671875" customWidth="1"/>
    <col min="9760" max="9760" width="3" customWidth="1"/>
    <col min="9761" max="9761" width="4" customWidth="1"/>
    <col min="9762" max="9762" width="4.33203125" customWidth="1"/>
    <col min="9763" max="9763" width="1.109375" customWidth="1"/>
    <col min="9764" max="9765" width="4.33203125" customWidth="1"/>
    <col min="9766" max="9766" width="5" customWidth="1"/>
    <col min="9767" max="9767" width="1.33203125" customWidth="1"/>
    <col min="9987" max="9987" width="0.6640625" customWidth="1"/>
    <col min="9988" max="9988" width="3.88671875" customWidth="1"/>
    <col min="9989" max="9989" width="4" customWidth="1"/>
    <col min="9990" max="9990" width="2.44140625" customWidth="1"/>
    <col min="9991" max="9991" width="1.6640625" customWidth="1"/>
    <col min="9992" max="9992" width="11" customWidth="1"/>
    <col min="9993" max="9993" width="2.5546875" customWidth="1"/>
    <col min="9994" max="9994" width="3" customWidth="1"/>
    <col min="9995" max="9996" width="3.109375" customWidth="1"/>
    <col min="9997" max="9997" width="2.44140625" customWidth="1"/>
    <col min="9998" max="9998" width="2.88671875" customWidth="1"/>
    <col min="9999" max="9999" width="0.6640625" customWidth="1"/>
    <col min="10000" max="10000" width="5.33203125" customWidth="1"/>
    <col min="10001" max="10001" width="10.5546875" customWidth="1"/>
    <col min="10002" max="10002" width="5.109375" customWidth="1"/>
    <col min="10003" max="10003" width="7.44140625" customWidth="1"/>
    <col min="10004" max="10004" width="6.6640625" customWidth="1"/>
    <col min="10005" max="10005" width="4.33203125" customWidth="1"/>
    <col min="10006" max="10006" width="2" customWidth="1"/>
    <col min="10007" max="10008" width="2.6640625" customWidth="1"/>
    <col min="10009" max="10010" width="2.109375" customWidth="1"/>
    <col min="10011" max="10011" width="4.6640625" customWidth="1"/>
    <col min="10012" max="10012" width="1.6640625" customWidth="1"/>
    <col min="10013" max="10013" width="6.6640625" customWidth="1"/>
    <col min="10014" max="10015" width="1.88671875" customWidth="1"/>
    <col min="10016" max="10016" width="3" customWidth="1"/>
    <col min="10017" max="10017" width="4" customWidth="1"/>
    <col min="10018" max="10018" width="4.33203125" customWidth="1"/>
    <col min="10019" max="10019" width="1.109375" customWidth="1"/>
    <col min="10020" max="10021" width="4.33203125" customWidth="1"/>
    <col min="10022" max="10022" width="5" customWidth="1"/>
    <col min="10023" max="10023" width="1.33203125" customWidth="1"/>
    <col min="10243" max="10243" width="0.6640625" customWidth="1"/>
    <col min="10244" max="10244" width="3.88671875" customWidth="1"/>
    <col min="10245" max="10245" width="4" customWidth="1"/>
    <col min="10246" max="10246" width="2.44140625" customWidth="1"/>
    <col min="10247" max="10247" width="1.6640625" customWidth="1"/>
    <col min="10248" max="10248" width="11" customWidth="1"/>
    <col min="10249" max="10249" width="2.5546875" customWidth="1"/>
    <col min="10250" max="10250" width="3" customWidth="1"/>
    <col min="10251" max="10252" width="3.109375" customWidth="1"/>
    <col min="10253" max="10253" width="2.44140625" customWidth="1"/>
    <col min="10254" max="10254" width="2.88671875" customWidth="1"/>
    <col min="10255" max="10255" width="0.6640625" customWidth="1"/>
    <col min="10256" max="10256" width="5.33203125" customWidth="1"/>
    <col min="10257" max="10257" width="10.5546875" customWidth="1"/>
    <col min="10258" max="10258" width="5.109375" customWidth="1"/>
    <col min="10259" max="10259" width="7.44140625" customWidth="1"/>
    <col min="10260" max="10260" width="6.6640625" customWidth="1"/>
    <col min="10261" max="10261" width="4.33203125" customWidth="1"/>
    <col min="10262" max="10262" width="2" customWidth="1"/>
    <col min="10263" max="10264" width="2.6640625" customWidth="1"/>
    <col min="10265" max="10266" width="2.109375" customWidth="1"/>
    <col min="10267" max="10267" width="4.6640625" customWidth="1"/>
    <col min="10268" max="10268" width="1.6640625" customWidth="1"/>
    <col min="10269" max="10269" width="6.6640625" customWidth="1"/>
    <col min="10270" max="10271" width="1.88671875" customWidth="1"/>
    <col min="10272" max="10272" width="3" customWidth="1"/>
    <col min="10273" max="10273" width="4" customWidth="1"/>
    <col min="10274" max="10274" width="4.33203125" customWidth="1"/>
    <col min="10275" max="10275" width="1.109375" customWidth="1"/>
    <col min="10276" max="10277" width="4.33203125" customWidth="1"/>
    <col min="10278" max="10278" width="5" customWidth="1"/>
    <col min="10279" max="10279" width="1.33203125" customWidth="1"/>
    <col min="10499" max="10499" width="0.6640625" customWidth="1"/>
    <col min="10500" max="10500" width="3.88671875" customWidth="1"/>
    <col min="10501" max="10501" width="4" customWidth="1"/>
    <col min="10502" max="10502" width="2.44140625" customWidth="1"/>
    <col min="10503" max="10503" width="1.6640625" customWidth="1"/>
    <col min="10504" max="10504" width="11" customWidth="1"/>
    <col min="10505" max="10505" width="2.5546875" customWidth="1"/>
    <col min="10506" max="10506" width="3" customWidth="1"/>
    <col min="10507" max="10508" width="3.109375" customWidth="1"/>
    <col min="10509" max="10509" width="2.44140625" customWidth="1"/>
    <col min="10510" max="10510" width="2.88671875" customWidth="1"/>
    <col min="10511" max="10511" width="0.6640625" customWidth="1"/>
    <col min="10512" max="10512" width="5.33203125" customWidth="1"/>
    <col min="10513" max="10513" width="10.5546875" customWidth="1"/>
    <col min="10514" max="10514" width="5.109375" customWidth="1"/>
    <col min="10515" max="10515" width="7.44140625" customWidth="1"/>
    <col min="10516" max="10516" width="6.6640625" customWidth="1"/>
    <col min="10517" max="10517" width="4.33203125" customWidth="1"/>
    <col min="10518" max="10518" width="2" customWidth="1"/>
    <col min="10519" max="10520" width="2.6640625" customWidth="1"/>
    <col min="10521" max="10522" width="2.109375" customWidth="1"/>
    <col min="10523" max="10523" width="4.6640625" customWidth="1"/>
    <col min="10524" max="10524" width="1.6640625" customWidth="1"/>
    <col min="10525" max="10525" width="6.6640625" customWidth="1"/>
    <col min="10526" max="10527" width="1.88671875" customWidth="1"/>
    <col min="10528" max="10528" width="3" customWidth="1"/>
    <col min="10529" max="10529" width="4" customWidth="1"/>
    <col min="10530" max="10530" width="4.33203125" customWidth="1"/>
    <col min="10531" max="10531" width="1.109375" customWidth="1"/>
    <col min="10532" max="10533" width="4.33203125" customWidth="1"/>
    <col min="10534" max="10534" width="5" customWidth="1"/>
    <col min="10535" max="10535" width="1.33203125" customWidth="1"/>
    <col min="10755" max="10755" width="0.6640625" customWidth="1"/>
    <col min="10756" max="10756" width="3.88671875" customWidth="1"/>
    <col min="10757" max="10757" width="4" customWidth="1"/>
    <col min="10758" max="10758" width="2.44140625" customWidth="1"/>
    <col min="10759" max="10759" width="1.6640625" customWidth="1"/>
    <col min="10760" max="10760" width="11" customWidth="1"/>
    <col min="10761" max="10761" width="2.5546875" customWidth="1"/>
    <col min="10762" max="10762" width="3" customWidth="1"/>
    <col min="10763" max="10764" width="3.109375" customWidth="1"/>
    <col min="10765" max="10765" width="2.44140625" customWidth="1"/>
    <col min="10766" max="10766" width="2.88671875" customWidth="1"/>
    <col min="10767" max="10767" width="0.6640625" customWidth="1"/>
    <col min="10768" max="10768" width="5.33203125" customWidth="1"/>
    <col min="10769" max="10769" width="10.5546875" customWidth="1"/>
    <col min="10770" max="10770" width="5.109375" customWidth="1"/>
    <col min="10771" max="10771" width="7.44140625" customWidth="1"/>
    <col min="10772" max="10772" width="6.6640625" customWidth="1"/>
    <col min="10773" max="10773" width="4.33203125" customWidth="1"/>
    <col min="10774" max="10774" width="2" customWidth="1"/>
    <col min="10775" max="10776" width="2.6640625" customWidth="1"/>
    <col min="10777" max="10778" width="2.109375" customWidth="1"/>
    <col min="10779" max="10779" width="4.6640625" customWidth="1"/>
    <col min="10780" max="10780" width="1.6640625" customWidth="1"/>
    <col min="10781" max="10781" width="6.6640625" customWidth="1"/>
    <col min="10782" max="10783" width="1.88671875" customWidth="1"/>
    <col min="10784" max="10784" width="3" customWidth="1"/>
    <col min="10785" max="10785" width="4" customWidth="1"/>
    <col min="10786" max="10786" width="4.33203125" customWidth="1"/>
    <col min="10787" max="10787" width="1.109375" customWidth="1"/>
    <col min="10788" max="10789" width="4.33203125" customWidth="1"/>
    <col min="10790" max="10790" width="5" customWidth="1"/>
    <col min="10791" max="10791" width="1.33203125" customWidth="1"/>
    <col min="11011" max="11011" width="0.6640625" customWidth="1"/>
    <col min="11012" max="11012" width="3.88671875" customWidth="1"/>
    <col min="11013" max="11013" width="4" customWidth="1"/>
    <col min="11014" max="11014" width="2.44140625" customWidth="1"/>
    <col min="11015" max="11015" width="1.6640625" customWidth="1"/>
    <col min="11016" max="11016" width="11" customWidth="1"/>
    <col min="11017" max="11017" width="2.5546875" customWidth="1"/>
    <col min="11018" max="11018" width="3" customWidth="1"/>
    <col min="11019" max="11020" width="3.109375" customWidth="1"/>
    <col min="11021" max="11021" width="2.44140625" customWidth="1"/>
    <col min="11022" max="11022" width="2.88671875" customWidth="1"/>
    <col min="11023" max="11023" width="0.6640625" customWidth="1"/>
    <col min="11024" max="11024" width="5.33203125" customWidth="1"/>
    <col min="11025" max="11025" width="10.5546875" customWidth="1"/>
    <col min="11026" max="11026" width="5.109375" customWidth="1"/>
    <col min="11027" max="11027" width="7.44140625" customWidth="1"/>
    <col min="11028" max="11028" width="6.6640625" customWidth="1"/>
    <col min="11029" max="11029" width="4.33203125" customWidth="1"/>
    <col min="11030" max="11030" width="2" customWidth="1"/>
    <col min="11031" max="11032" width="2.6640625" customWidth="1"/>
    <col min="11033" max="11034" width="2.109375" customWidth="1"/>
    <col min="11035" max="11035" width="4.6640625" customWidth="1"/>
    <col min="11036" max="11036" width="1.6640625" customWidth="1"/>
    <col min="11037" max="11037" width="6.6640625" customWidth="1"/>
    <col min="11038" max="11039" width="1.88671875" customWidth="1"/>
    <col min="11040" max="11040" width="3" customWidth="1"/>
    <col min="11041" max="11041" width="4" customWidth="1"/>
    <col min="11042" max="11042" width="4.33203125" customWidth="1"/>
    <col min="11043" max="11043" width="1.109375" customWidth="1"/>
    <col min="11044" max="11045" width="4.33203125" customWidth="1"/>
    <col min="11046" max="11046" width="5" customWidth="1"/>
    <col min="11047" max="11047" width="1.33203125" customWidth="1"/>
    <col min="11267" max="11267" width="0.6640625" customWidth="1"/>
    <col min="11268" max="11268" width="3.88671875" customWidth="1"/>
    <col min="11269" max="11269" width="4" customWidth="1"/>
    <col min="11270" max="11270" width="2.44140625" customWidth="1"/>
    <col min="11271" max="11271" width="1.6640625" customWidth="1"/>
    <col min="11272" max="11272" width="11" customWidth="1"/>
    <col min="11273" max="11273" width="2.5546875" customWidth="1"/>
    <col min="11274" max="11274" width="3" customWidth="1"/>
    <col min="11275" max="11276" width="3.109375" customWidth="1"/>
    <col min="11277" max="11277" width="2.44140625" customWidth="1"/>
    <col min="11278" max="11278" width="2.88671875" customWidth="1"/>
    <col min="11279" max="11279" width="0.6640625" customWidth="1"/>
    <col min="11280" max="11280" width="5.33203125" customWidth="1"/>
    <col min="11281" max="11281" width="10.5546875" customWidth="1"/>
    <col min="11282" max="11282" width="5.109375" customWidth="1"/>
    <col min="11283" max="11283" width="7.44140625" customWidth="1"/>
    <col min="11284" max="11284" width="6.6640625" customWidth="1"/>
    <col min="11285" max="11285" width="4.33203125" customWidth="1"/>
    <col min="11286" max="11286" width="2" customWidth="1"/>
    <col min="11287" max="11288" width="2.6640625" customWidth="1"/>
    <col min="11289" max="11290" width="2.109375" customWidth="1"/>
    <col min="11291" max="11291" width="4.6640625" customWidth="1"/>
    <col min="11292" max="11292" width="1.6640625" customWidth="1"/>
    <col min="11293" max="11293" width="6.6640625" customWidth="1"/>
    <col min="11294" max="11295" width="1.88671875" customWidth="1"/>
    <col min="11296" max="11296" width="3" customWidth="1"/>
    <col min="11297" max="11297" width="4" customWidth="1"/>
    <col min="11298" max="11298" width="4.33203125" customWidth="1"/>
    <col min="11299" max="11299" width="1.109375" customWidth="1"/>
    <col min="11300" max="11301" width="4.33203125" customWidth="1"/>
    <col min="11302" max="11302" width="5" customWidth="1"/>
    <col min="11303" max="11303" width="1.33203125" customWidth="1"/>
    <col min="11523" max="11523" width="0.6640625" customWidth="1"/>
    <col min="11524" max="11524" width="3.88671875" customWidth="1"/>
    <col min="11525" max="11525" width="4" customWidth="1"/>
    <col min="11526" max="11526" width="2.44140625" customWidth="1"/>
    <col min="11527" max="11527" width="1.6640625" customWidth="1"/>
    <col min="11528" max="11528" width="11" customWidth="1"/>
    <col min="11529" max="11529" width="2.5546875" customWidth="1"/>
    <col min="11530" max="11530" width="3" customWidth="1"/>
    <col min="11531" max="11532" width="3.109375" customWidth="1"/>
    <col min="11533" max="11533" width="2.44140625" customWidth="1"/>
    <col min="11534" max="11534" width="2.88671875" customWidth="1"/>
    <col min="11535" max="11535" width="0.6640625" customWidth="1"/>
    <col min="11536" max="11536" width="5.33203125" customWidth="1"/>
    <col min="11537" max="11537" width="10.5546875" customWidth="1"/>
    <col min="11538" max="11538" width="5.109375" customWidth="1"/>
    <col min="11539" max="11539" width="7.44140625" customWidth="1"/>
    <col min="11540" max="11540" width="6.6640625" customWidth="1"/>
    <col min="11541" max="11541" width="4.33203125" customWidth="1"/>
    <col min="11542" max="11542" width="2" customWidth="1"/>
    <col min="11543" max="11544" width="2.6640625" customWidth="1"/>
    <col min="11545" max="11546" width="2.109375" customWidth="1"/>
    <col min="11547" max="11547" width="4.6640625" customWidth="1"/>
    <col min="11548" max="11548" width="1.6640625" customWidth="1"/>
    <col min="11549" max="11549" width="6.6640625" customWidth="1"/>
    <col min="11550" max="11551" width="1.88671875" customWidth="1"/>
    <col min="11552" max="11552" width="3" customWidth="1"/>
    <col min="11553" max="11553" width="4" customWidth="1"/>
    <col min="11554" max="11554" width="4.33203125" customWidth="1"/>
    <col min="11555" max="11555" width="1.109375" customWidth="1"/>
    <col min="11556" max="11557" width="4.33203125" customWidth="1"/>
    <col min="11558" max="11558" width="5" customWidth="1"/>
    <col min="11559" max="11559" width="1.33203125" customWidth="1"/>
    <col min="11779" max="11779" width="0.6640625" customWidth="1"/>
    <col min="11780" max="11780" width="3.88671875" customWidth="1"/>
    <col min="11781" max="11781" width="4" customWidth="1"/>
    <col min="11782" max="11782" width="2.44140625" customWidth="1"/>
    <col min="11783" max="11783" width="1.6640625" customWidth="1"/>
    <col min="11784" max="11784" width="11" customWidth="1"/>
    <col min="11785" max="11785" width="2.5546875" customWidth="1"/>
    <col min="11786" max="11786" width="3" customWidth="1"/>
    <col min="11787" max="11788" width="3.109375" customWidth="1"/>
    <col min="11789" max="11789" width="2.44140625" customWidth="1"/>
    <col min="11790" max="11790" width="2.88671875" customWidth="1"/>
    <col min="11791" max="11791" width="0.6640625" customWidth="1"/>
    <col min="11792" max="11792" width="5.33203125" customWidth="1"/>
    <col min="11793" max="11793" width="10.5546875" customWidth="1"/>
    <col min="11794" max="11794" width="5.109375" customWidth="1"/>
    <col min="11795" max="11795" width="7.44140625" customWidth="1"/>
    <col min="11796" max="11796" width="6.6640625" customWidth="1"/>
    <col min="11797" max="11797" width="4.33203125" customWidth="1"/>
    <col min="11798" max="11798" width="2" customWidth="1"/>
    <col min="11799" max="11800" width="2.6640625" customWidth="1"/>
    <col min="11801" max="11802" width="2.109375" customWidth="1"/>
    <col min="11803" max="11803" width="4.6640625" customWidth="1"/>
    <col min="11804" max="11804" width="1.6640625" customWidth="1"/>
    <col min="11805" max="11805" width="6.6640625" customWidth="1"/>
    <col min="11806" max="11807" width="1.88671875" customWidth="1"/>
    <col min="11808" max="11808" width="3" customWidth="1"/>
    <col min="11809" max="11809" width="4" customWidth="1"/>
    <col min="11810" max="11810" width="4.33203125" customWidth="1"/>
    <col min="11811" max="11811" width="1.109375" customWidth="1"/>
    <col min="11812" max="11813" width="4.33203125" customWidth="1"/>
    <col min="11814" max="11814" width="5" customWidth="1"/>
    <col min="11815" max="11815" width="1.33203125" customWidth="1"/>
    <col min="12035" max="12035" width="0.6640625" customWidth="1"/>
    <col min="12036" max="12036" width="3.88671875" customWidth="1"/>
    <col min="12037" max="12037" width="4" customWidth="1"/>
    <col min="12038" max="12038" width="2.44140625" customWidth="1"/>
    <col min="12039" max="12039" width="1.6640625" customWidth="1"/>
    <col min="12040" max="12040" width="11" customWidth="1"/>
    <col min="12041" max="12041" width="2.5546875" customWidth="1"/>
    <col min="12042" max="12042" width="3" customWidth="1"/>
    <col min="12043" max="12044" width="3.109375" customWidth="1"/>
    <col min="12045" max="12045" width="2.44140625" customWidth="1"/>
    <col min="12046" max="12046" width="2.88671875" customWidth="1"/>
    <col min="12047" max="12047" width="0.6640625" customWidth="1"/>
    <col min="12048" max="12048" width="5.33203125" customWidth="1"/>
    <col min="12049" max="12049" width="10.5546875" customWidth="1"/>
    <col min="12050" max="12050" width="5.109375" customWidth="1"/>
    <col min="12051" max="12051" width="7.44140625" customWidth="1"/>
    <col min="12052" max="12052" width="6.6640625" customWidth="1"/>
    <col min="12053" max="12053" width="4.33203125" customWidth="1"/>
    <col min="12054" max="12054" width="2" customWidth="1"/>
    <col min="12055" max="12056" width="2.6640625" customWidth="1"/>
    <col min="12057" max="12058" width="2.109375" customWidth="1"/>
    <col min="12059" max="12059" width="4.6640625" customWidth="1"/>
    <col min="12060" max="12060" width="1.6640625" customWidth="1"/>
    <col min="12061" max="12061" width="6.6640625" customWidth="1"/>
    <col min="12062" max="12063" width="1.88671875" customWidth="1"/>
    <col min="12064" max="12064" width="3" customWidth="1"/>
    <col min="12065" max="12065" width="4" customWidth="1"/>
    <col min="12066" max="12066" width="4.33203125" customWidth="1"/>
    <col min="12067" max="12067" width="1.109375" customWidth="1"/>
    <col min="12068" max="12069" width="4.33203125" customWidth="1"/>
    <col min="12070" max="12070" width="5" customWidth="1"/>
    <col min="12071" max="12071" width="1.33203125" customWidth="1"/>
    <col min="12291" max="12291" width="0.6640625" customWidth="1"/>
    <col min="12292" max="12292" width="3.88671875" customWidth="1"/>
    <col min="12293" max="12293" width="4" customWidth="1"/>
    <col min="12294" max="12294" width="2.44140625" customWidth="1"/>
    <col min="12295" max="12295" width="1.6640625" customWidth="1"/>
    <col min="12296" max="12296" width="11" customWidth="1"/>
    <col min="12297" max="12297" width="2.5546875" customWidth="1"/>
    <col min="12298" max="12298" width="3" customWidth="1"/>
    <col min="12299" max="12300" width="3.109375" customWidth="1"/>
    <col min="12301" max="12301" width="2.44140625" customWidth="1"/>
    <col min="12302" max="12302" width="2.88671875" customWidth="1"/>
    <col min="12303" max="12303" width="0.6640625" customWidth="1"/>
    <col min="12304" max="12304" width="5.33203125" customWidth="1"/>
    <col min="12305" max="12305" width="10.5546875" customWidth="1"/>
    <col min="12306" max="12306" width="5.109375" customWidth="1"/>
    <col min="12307" max="12307" width="7.44140625" customWidth="1"/>
    <col min="12308" max="12308" width="6.6640625" customWidth="1"/>
    <col min="12309" max="12309" width="4.33203125" customWidth="1"/>
    <col min="12310" max="12310" width="2" customWidth="1"/>
    <col min="12311" max="12312" width="2.6640625" customWidth="1"/>
    <col min="12313" max="12314" width="2.109375" customWidth="1"/>
    <col min="12315" max="12315" width="4.6640625" customWidth="1"/>
    <col min="12316" max="12316" width="1.6640625" customWidth="1"/>
    <col min="12317" max="12317" width="6.6640625" customWidth="1"/>
    <col min="12318" max="12319" width="1.88671875" customWidth="1"/>
    <col min="12320" max="12320" width="3" customWidth="1"/>
    <col min="12321" max="12321" width="4" customWidth="1"/>
    <col min="12322" max="12322" width="4.33203125" customWidth="1"/>
    <col min="12323" max="12323" width="1.109375" customWidth="1"/>
    <col min="12324" max="12325" width="4.33203125" customWidth="1"/>
    <col min="12326" max="12326" width="5" customWidth="1"/>
    <col min="12327" max="12327" width="1.33203125" customWidth="1"/>
    <col min="12547" max="12547" width="0.6640625" customWidth="1"/>
    <col min="12548" max="12548" width="3.88671875" customWidth="1"/>
    <col min="12549" max="12549" width="4" customWidth="1"/>
    <col min="12550" max="12550" width="2.44140625" customWidth="1"/>
    <col min="12551" max="12551" width="1.6640625" customWidth="1"/>
    <col min="12552" max="12552" width="11" customWidth="1"/>
    <col min="12553" max="12553" width="2.5546875" customWidth="1"/>
    <col min="12554" max="12554" width="3" customWidth="1"/>
    <col min="12555" max="12556" width="3.109375" customWidth="1"/>
    <col min="12557" max="12557" width="2.44140625" customWidth="1"/>
    <col min="12558" max="12558" width="2.88671875" customWidth="1"/>
    <col min="12559" max="12559" width="0.6640625" customWidth="1"/>
    <col min="12560" max="12560" width="5.33203125" customWidth="1"/>
    <col min="12561" max="12561" width="10.5546875" customWidth="1"/>
    <col min="12562" max="12562" width="5.109375" customWidth="1"/>
    <col min="12563" max="12563" width="7.44140625" customWidth="1"/>
    <col min="12564" max="12564" width="6.6640625" customWidth="1"/>
    <col min="12565" max="12565" width="4.33203125" customWidth="1"/>
    <col min="12566" max="12566" width="2" customWidth="1"/>
    <col min="12567" max="12568" width="2.6640625" customWidth="1"/>
    <col min="12569" max="12570" width="2.109375" customWidth="1"/>
    <col min="12571" max="12571" width="4.6640625" customWidth="1"/>
    <col min="12572" max="12572" width="1.6640625" customWidth="1"/>
    <col min="12573" max="12573" width="6.6640625" customWidth="1"/>
    <col min="12574" max="12575" width="1.88671875" customWidth="1"/>
    <col min="12576" max="12576" width="3" customWidth="1"/>
    <col min="12577" max="12577" width="4" customWidth="1"/>
    <col min="12578" max="12578" width="4.33203125" customWidth="1"/>
    <col min="12579" max="12579" width="1.109375" customWidth="1"/>
    <col min="12580" max="12581" width="4.33203125" customWidth="1"/>
    <col min="12582" max="12582" width="5" customWidth="1"/>
    <col min="12583" max="12583" width="1.33203125" customWidth="1"/>
    <col min="12803" max="12803" width="0.6640625" customWidth="1"/>
    <col min="12804" max="12804" width="3.88671875" customWidth="1"/>
    <col min="12805" max="12805" width="4" customWidth="1"/>
    <col min="12806" max="12806" width="2.44140625" customWidth="1"/>
    <col min="12807" max="12807" width="1.6640625" customWidth="1"/>
    <col min="12808" max="12808" width="11" customWidth="1"/>
    <col min="12809" max="12809" width="2.5546875" customWidth="1"/>
    <col min="12810" max="12810" width="3" customWidth="1"/>
    <col min="12811" max="12812" width="3.109375" customWidth="1"/>
    <col min="12813" max="12813" width="2.44140625" customWidth="1"/>
    <col min="12814" max="12814" width="2.88671875" customWidth="1"/>
    <col min="12815" max="12815" width="0.6640625" customWidth="1"/>
    <col min="12816" max="12816" width="5.33203125" customWidth="1"/>
    <col min="12817" max="12817" width="10.5546875" customWidth="1"/>
    <col min="12818" max="12818" width="5.109375" customWidth="1"/>
    <col min="12819" max="12819" width="7.44140625" customWidth="1"/>
    <col min="12820" max="12820" width="6.6640625" customWidth="1"/>
    <col min="12821" max="12821" width="4.33203125" customWidth="1"/>
    <col min="12822" max="12822" width="2" customWidth="1"/>
    <col min="12823" max="12824" width="2.6640625" customWidth="1"/>
    <col min="12825" max="12826" width="2.109375" customWidth="1"/>
    <col min="12827" max="12827" width="4.6640625" customWidth="1"/>
    <col min="12828" max="12828" width="1.6640625" customWidth="1"/>
    <col min="12829" max="12829" width="6.6640625" customWidth="1"/>
    <col min="12830" max="12831" width="1.88671875" customWidth="1"/>
    <col min="12832" max="12832" width="3" customWidth="1"/>
    <col min="12833" max="12833" width="4" customWidth="1"/>
    <col min="12834" max="12834" width="4.33203125" customWidth="1"/>
    <col min="12835" max="12835" width="1.109375" customWidth="1"/>
    <col min="12836" max="12837" width="4.33203125" customWidth="1"/>
    <col min="12838" max="12838" width="5" customWidth="1"/>
    <col min="12839" max="12839" width="1.33203125" customWidth="1"/>
    <col min="13059" max="13059" width="0.6640625" customWidth="1"/>
    <col min="13060" max="13060" width="3.88671875" customWidth="1"/>
    <col min="13061" max="13061" width="4" customWidth="1"/>
    <col min="13062" max="13062" width="2.44140625" customWidth="1"/>
    <col min="13063" max="13063" width="1.6640625" customWidth="1"/>
    <col min="13064" max="13064" width="11" customWidth="1"/>
    <col min="13065" max="13065" width="2.5546875" customWidth="1"/>
    <col min="13066" max="13066" width="3" customWidth="1"/>
    <col min="13067" max="13068" width="3.109375" customWidth="1"/>
    <col min="13069" max="13069" width="2.44140625" customWidth="1"/>
    <col min="13070" max="13070" width="2.88671875" customWidth="1"/>
    <col min="13071" max="13071" width="0.6640625" customWidth="1"/>
    <col min="13072" max="13072" width="5.33203125" customWidth="1"/>
    <col min="13073" max="13073" width="10.5546875" customWidth="1"/>
    <col min="13074" max="13074" width="5.109375" customWidth="1"/>
    <col min="13075" max="13075" width="7.44140625" customWidth="1"/>
    <col min="13076" max="13076" width="6.6640625" customWidth="1"/>
    <col min="13077" max="13077" width="4.33203125" customWidth="1"/>
    <col min="13078" max="13078" width="2" customWidth="1"/>
    <col min="13079" max="13080" width="2.6640625" customWidth="1"/>
    <col min="13081" max="13082" width="2.109375" customWidth="1"/>
    <col min="13083" max="13083" width="4.6640625" customWidth="1"/>
    <col min="13084" max="13084" width="1.6640625" customWidth="1"/>
    <col min="13085" max="13085" width="6.6640625" customWidth="1"/>
    <col min="13086" max="13087" width="1.88671875" customWidth="1"/>
    <col min="13088" max="13088" width="3" customWidth="1"/>
    <col min="13089" max="13089" width="4" customWidth="1"/>
    <col min="13090" max="13090" width="4.33203125" customWidth="1"/>
    <col min="13091" max="13091" width="1.109375" customWidth="1"/>
    <col min="13092" max="13093" width="4.33203125" customWidth="1"/>
    <col min="13094" max="13094" width="5" customWidth="1"/>
    <col min="13095" max="13095" width="1.33203125" customWidth="1"/>
    <col min="13315" max="13315" width="0.6640625" customWidth="1"/>
    <col min="13316" max="13316" width="3.88671875" customWidth="1"/>
    <col min="13317" max="13317" width="4" customWidth="1"/>
    <col min="13318" max="13318" width="2.44140625" customWidth="1"/>
    <col min="13319" max="13319" width="1.6640625" customWidth="1"/>
    <col min="13320" max="13320" width="11" customWidth="1"/>
    <col min="13321" max="13321" width="2.5546875" customWidth="1"/>
    <col min="13322" max="13322" width="3" customWidth="1"/>
    <col min="13323" max="13324" width="3.109375" customWidth="1"/>
    <col min="13325" max="13325" width="2.44140625" customWidth="1"/>
    <col min="13326" max="13326" width="2.88671875" customWidth="1"/>
    <col min="13327" max="13327" width="0.6640625" customWidth="1"/>
    <col min="13328" max="13328" width="5.33203125" customWidth="1"/>
    <col min="13329" max="13329" width="10.5546875" customWidth="1"/>
    <col min="13330" max="13330" width="5.109375" customWidth="1"/>
    <col min="13331" max="13331" width="7.44140625" customWidth="1"/>
    <col min="13332" max="13332" width="6.6640625" customWidth="1"/>
    <col min="13333" max="13333" width="4.33203125" customWidth="1"/>
    <col min="13334" max="13334" width="2" customWidth="1"/>
    <col min="13335" max="13336" width="2.6640625" customWidth="1"/>
    <col min="13337" max="13338" width="2.109375" customWidth="1"/>
    <col min="13339" max="13339" width="4.6640625" customWidth="1"/>
    <col min="13340" max="13340" width="1.6640625" customWidth="1"/>
    <col min="13341" max="13341" width="6.6640625" customWidth="1"/>
    <col min="13342" max="13343" width="1.88671875" customWidth="1"/>
    <col min="13344" max="13344" width="3" customWidth="1"/>
    <col min="13345" max="13345" width="4" customWidth="1"/>
    <col min="13346" max="13346" width="4.33203125" customWidth="1"/>
    <col min="13347" max="13347" width="1.109375" customWidth="1"/>
    <col min="13348" max="13349" width="4.33203125" customWidth="1"/>
    <col min="13350" max="13350" width="5" customWidth="1"/>
    <col min="13351" max="13351" width="1.33203125" customWidth="1"/>
    <col min="13571" max="13571" width="0.6640625" customWidth="1"/>
    <col min="13572" max="13572" width="3.88671875" customWidth="1"/>
    <col min="13573" max="13573" width="4" customWidth="1"/>
    <col min="13574" max="13574" width="2.44140625" customWidth="1"/>
    <col min="13575" max="13575" width="1.6640625" customWidth="1"/>
    <col min="13576" max="13576" width="11" customWidth="1"/>
    <col min="13577" max="13577" width="2.5546875" customWidth="1"/>
    <col min="13578" max="13578" width="3" customWidth="1"/>
    <col min="13579" max="13580" width="3.109375" customWidth="1"/>
    <col min="13581" max="13581" width="2.44140625" customWidth="1"/>
    <col min="13582" max="13582" width="2.88671875" customWidth="1"/>
    <col min="13583" max="13583" width="0.6640625" customWidth="1"/>
    <col min="13584" max="13584" width="5.33203125" customWidth="1"/>
    <col min="13585" max="13585" width="10.5546875" customWidth="1"/>
    <col min="13586" max="13586" width="5.109375" customWidth="1"/>
    <col min="13587" max="13587" width="7.44140625" customWidth="1"/>
    <col min="13588" max="13588" width="6.6640625" customWidth="1"/>
    <col min="13589" max="13589" width="4.33203125" customWidth="1"/>
    <col min="13590" max="13590" width="2" customWidth="1"/>
    <col min="13591" max="13592" width="2.6640625" customWidth="1"/>
    <col min="13593" max="13594" width="2.109375" customWidth="1"/>
    <col min="13595" max="13595" width="4.6640625" customWidth="1"/>
    <col min="13596" max="13596" width="1.6640625" customWidth="1"/>
    <col min="13597" max="13597" width="6.6640625" customWidth="1"/>
    <col min="13598" max="13599" width="1.88671875" customWidth="1"/>
    <col min="13600" max="13600" width="3" customWidth="1"/>
    <col min="13601" max="13601" width="4" customWidth="1"/>
    <col min="13602" max="13602" width="4.33203125" customWidth="1"/>
    <col min="13603" max="13603" width="1.109375" customWidth="1"/>
    <col min="13604" max="13605" width="4.33203125" customWidth="1"/>
    <col min="13606" max="13606" width="5" customWidth="1"/>
    <col min="13607" max="13607" width="1.33203125" customWidth="1"/>
    <col min="13827" max="13827" width="0.6640625" customWidth="1"/>
    <col min="13828" max="13828" width="3.88671875" customWidth="1"/>
    <col min="13829" max="13829" width="4" customWidth="1"/>
    <col min="13830" max="13830" width="2.44140625" customWidth="1"/>
    <col min="13831" max="13831" width="1.6640625" customWidth="1"/>
    <col min="13832" max="13832" width="11" customWidth="1"/>
    <col min="13833" max="13833" width="2.5546875" customWidth="1"/>
    <col min="13834" max="13834" width="3" customWidth="1"/>
    <col min="13835" max="13836" width="3.109375" customWidth="1"/>
    <col min="13837" max="13837" width="2.44140625" customWidth="1"/>
    <col min="13838" max="13838" width="2.88671875" customWidth="1"/>
    <col min="13839" max="13839" width="0.6640625" customWidth="1"/>
    <col min="13840" max="13840" width="5.33203125" customWidth="1"/>
    <col min="13841" max="13841" width="10.5546875" customWidth="1"/>
    <col min="13842" max="13842" width="5.109375" customWidth="1"/>
    <col min="13843" max="13843" width="7.44140625" customWidth="1"/>
    <col min="13844" max="13844" width="6.6640625" customWidth="1"/>
    <col min="13845" max="13845" width="4.33203125" customWidth="1"/>
    <col min="13846" max="13846" width="2" customWidth="1"/>
    <col min="13847" max="13848" width="2.6640625" customWidth="1"/>
    <col min="13849" max="13850" width="2.109375" customWidth="1"/>
    <col min="13851" max="13851" width="4.6640625" customWidth="1"/>
    <col min="13852" max="13852" width="1.6640625" customWidth="1"/>
    <col min="13853" max="13853" width="6.6640625" customWidth="1"/>
    <col min="13854" max="13855" width="1.88671875" customWidth="1"/>
    <col min="13856" max="13856" width="3" customWidth="1"/>
    <col min="13857" max="13857" width="4" customWidth="1"/>
    <col min="13858" max="13858" width="4.33203125" customWidth="1"/>
    <col min="13859" max="13859" width="1.109375" customWidth="1"/>
    <col min="13860" max="13861" width="4.33203125" customWidth="1"/>
    <col min="13862" max="13862" width="5" customWidth="1"/>
    <col min="13863" max="13863" width="1.33203125" customWidth="1"/>
    <col min="14083" max="14083" width="0.6640625" customWidth="1"/>
    <col min="14084" max="14084" width="3.88671875" customWidth="1"/>
    <col min="14085" max="14085" width="4" customWidth="1"/>
    <col min="14086" max="14086" width="2.44140625" customWidth="1"/>
    <col min="14087" max="14087" width="1.6640625" customWidth="1"/>
    <col min="14088" max="14088" width="11" customWidth="1"/>
    <col min="14089" max="14089" width="2.5546875" customWidth="1"/>
    <col min="14090" max="14090" width="3" customWidth="1"/>
    <col min="14091" max="14092" width="3.109375" customWidth="1"/>
    <col min="14093" max="14093" width="2.44140625" customWidth="1"/>
    <col min="14094" max="14094" width="2.88671875" customWidth="1"/>
    <col min="14095" max="14095" width="0.6640625" customWidth="1"/>
    <col min="14096" max="14096" width="5.33203125" customWidth="1"/>
    <col min="14097" max="14097" width="10.5546875" customWidth="1"/>
    <col min="14098" max="14098" width="5.109375" customWidth="1"/>
    <col min="14099" max="14099" width="7.44140625" customWidth="1"/>
    <col min="14100" max="14100" width="6.6640625" customWidth="1"/>
    <col min="14101" max="14101" width="4.33203125" customWidth="1"/>
    <col min="14102" max="14102" width="2" customWidth="1"/>
    <col min="14103" max="14104" width="2.6640625" customWidth="1"/>
    <col min="14105" max="14106" width="2.109375" customWidth="1"/>
    <col min="14107" max="14107" width="4.6640625" customWidth="1"/>
    <col min="14108" max="14108" width="1.6640625" customWidth="1"/>
    <col min="14109" max="14109" width="6.6640625" customWidth="1"/>
    <col min="14110" max="14111" width="1.88671875" customWidth="1"/>
    <col min="14112" max="14112" width="3" customWidth="1"/>
    <col min="14113" max="14113" width="4" customWidth="1"/>
    <col min="14114" max="14114" width="4.33203125" customWidth="1"/>
    <col min="14115" max="14115" width="1.109375" customWidth="1"/>
    <col min="14116" max="14117" width="4.33203125" customWidth="1"/>
    <col min="14118" max="14118" width="5" customWidth="1"/>
    <col min="14119" max="14119" width="1.33203125" customWidth="1"/>
    <col min="14339" max="14339" width="0.6640625" customWidth="1"/>
    <col min="14340" max="14340" width="3.88671875" customWidth="1"/>
    <col min="14341" max="14341" width="4" customWidth="1"/>
    <col min="14342" max="14342" width="2.44140625" customWidth="1"/>
    <col min="14343" max="14343" width="1.6640625" customWidth="1"/>
    <col min="14344" max="14344" width="11" customWidth="1"/>
    <col min="14345" max="14345" width="2.5546875" customWidth="1"/>
    <col min="14346" max="14346" width="3" customWidth="1"/>
    <col min="14347" max="14348" width="3.109375" customWidth="1"/>
    <col min="14349" max="14349" width="2.44140625" customWidth="1"/>
    <col min="14350" max="14350" width="2.88671875" customWidth="1"/>
    <col min="14351" max="14351" width="0.6640625" customWidth="1"/>
    <col min="14352" max="14352" width="5.33203125" customWidth="1"/>
    <col min="14353" max="14353" width="10.5546875" customWidth="1"/>
    <col min="14354" max="14354" width="5.109375" customWidth="1"/>
    <col min="14355" max="14355" width="7.44140625" customWidth="1"/>
    <col min="14356" max="14356" width="6.6640625" customWidth="1"/>
    <col min="14357" max="14357" width="4.33203125" customWidth="1"/>
    <col min="14358" max="14358" width="2" customWidth="1"/>
    <col min="14359" max="14360" width="2.6640625" customWidth="1"/>
    <col min="14361" max="14362" width="2.109375" customWidth="1"/>
    <col min="14363" max="14363" width="4.6640625" customWidth="1"/>
    <col min="14364" max="14364" width="1.6640625" customWidth="1"/>
    <col min="14365" max="14365" width="6.6640625" customWidth="1"/>
    <col min="14366" max="14367" width="1.88671875" customWidth="1"/>
    <col min="14368" max="14368" width="3" customWidth="1"/>
    <col min="14369" max="14369" width="4" customWidth="1"/>
    <col min="14370" max="14370" width="4.33203125" customWidth="1"/>
    <col min="14371" max="14371" width="1.109375" customWidth="1"/>
    <col min="14372" max="14373" width="4.33203125" customWidth="1"/>
    <col min="14374" max="14374" width="5" customWidth="1"/>
    <col min="14375" max="14375" width="1.33203125" customWidth="1"/>
    <col min="14595" max="14595" width="0.6640625" customWidth="1"/>
    <col min="14596" max="14596" width="3.88671875" customWidth="1"/>
    <col min="14597" max="14597" width="4" customWidth="1"/>
    <col min="14598" max="14598" width="2.44140625" customWidth="1"/>
    <col min="14599" max="14599" width="1.6640625" customWidth="1"/>
    <col min="14600" max="14600" width="11" customWidth="1"/>
    <col min="14601" max="14601" width="2.5546875" customWidth="1"/>
    <col min="14602" max="14602" width="3" customWidth="1"/>
    <col min="14603" max="14604" width="3.109375" customWidth="1"/>
    <col min="14605" max="14605" width="2.44140625" customWidth="1"/>
    <col min="14606" max="14606" width="2.88671875" customWidth="1"/>
    <col min="14607" max="14607" width="0.6640625" customWidth="1"/>
    <col min="14608" max="14608" width="5.33203125" customWidth="1"/>
    <col min="14609" max="14609" width="10.5546875" customWidth="1"/>
    <col min="14610" max="14610" width="5.109375" customWidth="1"/>
    <col min="14611" max="14611" width="7.44140625" customWidth="1"/>
    <col min="14612" max="14612" width="6.6640625" customWidth="1"/>
    <col min="14613" max="14613" width="4.33203125" customWidth="1"/>
    <col min="14614" max="14614" width="2" customWidth="1"/>
    <col min="14615" max="14616" width="2.6640625" customWidth="1"/>
    <col min="14617" max="14618" width="2.109375" customWidth="1"/>
    <col min="14619" max="14619" width="4.6640625" customWidth="1"/>
    <col min="14620" max="14620" width="1.6640625" customWidth="1"/>
    <col min="14621" max="14621" width="6.6640625" customWidth="1"/>
    <col min="14622" max="14623" width="1.88671875" customWidth="1"/>
    <col min="14624" max="14624" width="3" customWidth="1"/>
    <col min="14625" max="14625" width="4" customWidth="1"/>
    <col min="14626" max="14626" width="4.33203125" customWidth="1"/>
    <col min="14627" max="14627" width="1.109375" customWidth="1"/>
    <col min="14628" max="14629" width="4.33203125" customWidth="1"/>
    <col min="14630" max="14630" width="5" customWidth="1"/>
    <col min="14631" max="14631" width="1.33203125" customWidth="1"/>
    <col min="14851" max="14851" width="0.6640625" customWidth="1"/>
    <col min="14852" max="14852" width="3.88671875" customWidth="1"/>
    <col min="14853" max="14853" width="4" customWidth="1"/>
    <col min="14854" max="14854" width="2.44140625" customWidth="1"/>
    <col min="14855" max="14855" width="1.6640625" customWidth="1"/>
    <col min="14856" max="14856" width="11" customWidth="1"/>
    <col min="14857" max="14857" width="2.5546875" customWidth="1"/>
    <col min="14858" max="14858" width="3" customWidth="1"/>
    <col min="14859" max="14860" width="3.109375" customWidth="1"/>
    <col min="14861" max="14861" width="2.44140625" customWidth="1"/>
    <col min="14862" max="14862" width="2.88671875" customWidth="1"/>
    <col min="14863" max="14863" width="0.6640625" customWidth="1"/>
    <col min="14864" max="14864" width="5.33203125" customWidth="1"/>
    <col min="14865" max="14865" width="10.5546875" customWidth="1"/>
    <col min="14866" max="14866" width="5.109375" customWidth="1"/>
    <col min="14867" max="14867" width="7.44140625" customWidth="1"/>
    <col min="14868" max="14868" width="6.6640625" customWidth="1"/>
    <col min="14869" max="14869" width="4.33203125" customWidth="1"/>
    <col min="14870" max="14870" width="2" customWidth="1"/>
    <col min="14871" max="14872" width="2.6640625" customWidth="1"/>
    <col min="14873" max="14874" width="2.109375" customWidth="1"/>
    <col min="14875" max="14875" width="4.6640625" customWidth="1"/>
    <col min="14876" max="14876" width="1.6640625" customWidth="1"/>
    <col min="14877" max="14877" width="6.6640625" customWidth="1"/>
    <col min="14878" max="14879" width="1.88671875" customWidth="1"/>
    <col min="14880" max="14880" width="3" customWidth="1"/>
    <col min="14881" max="14881" width="4" customWidth="1"/>
    <col min="14882" max="14882" width="4.33203125" customWidth="1"/>
    <col min="14883" max="14883" width="1.109375" customWidth="1"/>
    <col min="14884" max="14885" width="4.33203125" customWidth="1"/>
    <col min="14886" max="14886" width="5" customWidth="1"/>
    <col min="14887" max="14887" width="1.33203125" customWidth="1"/>
    <col min="15107" max="15107" width="0.6640625" customWidth="1"/>
    <col min="15108" max="15108" width="3.88671875" customWidth="1"/>
    <col min="15109" max="15109" width="4" customWidth="1"/>
    <col min="15110" max="15110" width="2.44140625" customWidth="1"/>
    <col min="15111" max="15111" width="1.6640625" customWidth="1"/>
    <col min="15112" max="15112" width="11" customWidth="1"/>
    <col min="15113" max="15113" width="2.5546875" customWidth="1"/>
    <col min="15114" max="15114" width="3" customWidth="1"/>
    <col min="15115" max="15116" width="3.109375" customWidth="1"/>
    <col min="15117" max="15117" width="2.44140625" customWidth="1"/>
    <col min="15118" max="15118" width="2.88671875" customWidth="1"/>
    <col min="15119" max="15119" width="0.6640625" customWidth="1"/>
    <col min="15120" max="15120" width="5.33203125" customWidth="1"/>
    <col min="15121" max="15121" width="10.5546875" customWidth="1"/>
    <col min="15122" max="15122" width="5.109375" customWidth="1"/>
    <col min="15123" max="15123" width="7.44140625" customWidth="1"/>
    <col min="15124" max="15124" width="6.6640625" customWidth="1"/>
    <col min="15125" max="15125" width="4.33203125" customWidth="1"/>
    <col min="15126" max="15126" width="2" customWidth="1"/>
    <col min="15127" max="15128" width="2.6640625" customWidth="1"/>
    <col min="15129" max="15130" width="2.109375" customWidth="1"/>
    <col min="15131" max="15131" width="4.6640625" customWidth="1"/>
    <col min="15132" max="15132" width="1.6640625" customWidth="1"/>
    <col min="15133" max="15133" width="6.6640625" customWidth="1"/>
    <col min="15134" max="15135" width="1.88671875" customWidth="1"/>
    <col min="15136" max="15136" width="3" customWidth="1"/>
    <col min="15137" max="15137" width="4" customWidth="1"/>
    <col min="15138" max="15138" width="4.33203125" customWidth="1"/>
    <col min="15139" max="15139" width="1.109375" customWidth="1"/>
    <col min="15140" max="15141" width="4.33203125" customWidth="1"/>
    <col min="15142" max="15142" width="5" customWidth="1"/>
    <col min="15143" max="15143" width="1.33203125" customWidth="1"/>
    <col min="15363" max="15363" width="0.6640625" customWidth="1"/>
    <col min="15364" max="15364" width="3.88671875" customWidth="1"/>
    <col min="15365" max="15365" width="4" customWidth="1"/>
    <col min="15366" max="15366" width="2.44140625" customWidth="1"/>
    <col min="15367" max="15367" width="1.6640625" customWidth="1"/>
    <col min="15368" max="15368" width="11" customWidth="1"/>
    <col min="15369" max="15369" width="2.5546875" customWidth="1"/>
    <col min="15370" max="15370" width="3" customWidth="1"/>
    <col min="15371" max="15372" width="3.109375" customWidth="1"/>
    <col min="15373" max="15373" width="2.44140625" customWidth="1"/>
    <col min="15374" max="15374" width="2.88671875" customWidth="1"/>
    <col min="15375" max="15375" width="0.6640625" customWidth="1"/>
    <col min="15376" max="15376" width="5.33203125" customWidth="1"/>
    <col min="15377" max="15377" width="10.5546875" customWidth="1"/>
    <col min="15378" max="15378" width="5.109375" customWidth="1"/>
    <col min="15379" max="15379" width="7.44140625" customWidth="1"/>
    <col min="15380" max="15380" width="6.6640625" customWidth="1"/>
    <col min="15381" max="15381" width="4.33203125" customWidth="1"/>
    <col min="15382" max="15382" width="2" customWidth="1"/>
    <col min="15383" max="15384" width="2.6640625" customWidth="1"/>
    <col min="15385" max="15386" width="2.109375" customWidth="1"/>
    <col min="15387" max="15387" width="4.6640625" customWidth="1"/>
    <col min="15388" max="15388" width="1.6640625" customWidth="1"/>
    <col min="15389" max="15389" width="6.6640625" customWidth="1"/>
    <col min="15390" max="15391" width="1.88671875" customWidth="1"/>
    <col min="15392" max="15392" width="3" customWidth="1"/>
    <col min="15393" max="15393" width="4" customWidth="1"/>
    <col min="15394" max="15394" width="4.33203125" customWidth="1"/>
    <col min="15395" max="15395" width="1.109375" customWidth="1"/>
    <col min="15396" max="15397" width="4.33203125" customWidth="1"/>
    <col min="15398" max="15398" width="5" customWidth="1"/>
    <col min="15399" max="15399" width="1.33203125" customWidth="1"/>
    <col min="15619" max="15619" width="0.6640625" customWidth="1"/>
    <col min="15620" max="15620" width="3.88671875" customWidth="1"/>
    <col min="15621" max="15621" width="4" customWidth="1"/>
    <col min="15622" max="15622" width="2.44140625" customWidth="1"/>
    <col min="15623" max="15623" width="1.6640625" customWidth="1"/>
    <col min="15624" max="15624" width="11" customWidth="1"/>
    <col min="15625" max="15625" width="2.5546875" customWidth="1"/>
    <col min="15626" max="15626" width="3" customWidth="1"/>
    <col min="15627" max="15628" width="3.109375" customWidth="1"/>
    <col min="15629" max="15629" width="2.44140625" customWidth="1"/>
    <col min="15630" max="15630" width="2.88671875" customWidth="1"/>
    <col min="15631" max="15631" width="0.6640625" customWidth="1"/>
    <col min="15632" max="15632" width="5.33203125" customWidth="1"/>
    <col min="15633" max="15633" width="10.5546875" customWidth="1"/>
    <col min="15634" max="15634" width="5.109375" customWidth="1"/>
    <col min="15635" max="15635" width="7.44140625" customWidth="1"/>
    <col min="15636" max="15636" width="6.6640625" customWidth="1"/>
    <col min="15637" max="15637" width="4.33203125" customWidth="1"/>
    <col min="15638" max="15638" width="2" customWidth="1"/>
    <col min="15639" max="15640" width="2.6640625" customWidth="1"/>
    <col min="15641" max="15642" width="2.109375" customWidth="1"/>
    <col min="15643" max="15643" width="4.6640625" customWidth="1"/>
    <col min="15644" max="15644" width="1.6640625" customWidth="1"/>
    <col min="15645" max="15645" width="6.6640625" customWidth="1"/>
    <col min="15646" max="15647" width="1.88671875" customWidth="1"/>
    <col min="15648" max="15648" width="3" customWidth="1"/>
    <col min="15649" max="15649" width="4" customWidth="1"/>
    <col min="15650" max="15650" width="4.33203125" customWidth="1"/>
    <col min="15651" max="15651" width="1.109375" customWidth="1"/>
    <col min="15652" max="15653" width="4.33203125" customWidth="1"/>
    <col min="15654" max="15654" width="5" customWidth="1"/>
    <col min="15655" max="15655" width="1.33203125" customWidth="1"/>
    <col min="15875" max="15875" width="0.6640625" customWidth="1"/>
    <col min="15876" max="15876" width="3.88671875" customWidth="1"/>
    <col min="15877" max="15877" width="4" customWidth="1"/>
    <col min="15878" max="15878" width="2.44140625" customWidth="1"/>
    <col min="15879" max="15879" width="1.6640625" customWidth="1"/>
    <col min="15880" max="15880" width="11" customWidth="1"/>
    <col min="15881" max="15881" width="2.5546875" customWidth="1"/>
    <col min="15882" max="15882" width="3" customWidth="1"/>
    <col min="15883" max="15884" width="3.109375" customWidth="1"/>
    <col min="15885" max="15885" width="2.44140625" customWidth="1"/>
    <col min="15886" max="15886" width="2.88671875" customWidth="1"/>
    <col min="15887" max="15887" width="0.6640625" customWidth="1"/>
    <col min="15888" max="15888" width="5.33203125" customWidth="1"/>
    <col min="15889" max="15889" width="10.5546875" customWidth="1"/>
    <col min="15890" max="15890" width="5.109375" customWidth="1"/>
    <col min="15891" max="15891" width="7.44140625" customWidth="1"/>
    <col min="15892" max="15892" width="6.6640625" customWidth="1"/>
    <col min="15893" max="15893" width="4.33203125" customWidth="1"/>
    <col min="15894" max="15894" width="2" customWidth="1"/>
    <col min="15895" max="15896" width="2.6640625" customWidth="1"/>
    <col min="15897" max="15898" width="2.109375" customWidth="1"/>
    <col min="15899" max="15899" width="4.6640625" customWidth="1"/>
    <col min="15900" max="15900" width="1.6640625" customWidth="1"/>
    <col min="15901" max="15901" width="6.6640625" customWidth="1"/>
    <col min="15902" max="15903" width="1.88671875" customWidth="1"/>
    <col min="15904" max="15904" width="3" customWidth="1"/>
    <col min="15905" max="15905" width="4" customWidth="1"/>
    <col min="15906" max="15906" width="4.33203125" customWidth="1"/>
    <col min="15907" max="15907" width="1.109375" customWidth="1"/>
    <col min="15908" max="15909" width="4.33203125" customWidth="1"/>
    <col min="15910" max="15910" width="5" customWidth="1"/>
    <col min="15911" max="15911" width="1.33203125" customWidth="1"/>
    <col min="16131" max="16131" width="0.6640625" customWidth="1"/>
    <col min="16132" max="16132" width="3.88671875" customWidth="1"/>
    <col min="16133" max="16133" width="4" customWidth="1"/>
    <col min="16134" max="16134" width="2.44140625" customWidth="1"/>
    <col min="16135" max="16135" width="1.6640625" customWidth="1"/>
    <col min="16136" max="16136" width="11" customWidth="1"/>
    <col min="16137" max="16137" width="2.5546875" customWidth="1"/>
    <col min="16138" max="16138" width="3" customWidth="1"/>
    <col min="16139" max="16140" width="3.109375" customWidth="1"/>
    <col min="16141" max="16141" width="2.44140625" customWidth="1"/>
    <col min="16142" max="16142" width="2.88671875" customWidth="1"/>
    <col min="16143" max="16143" width="0.6640625" customWidth="1"/>
    <col min="16144" max="16144" width="5.33203125" customWidth="1"/>
    <col min="16145" max="16145" width="10.5546875" customWidth="1"/>
    <col min="16146" max="16146" width="5.109375" customWidth="1"/>
    <col min="16147" max="16147" width="7.44140625" customWidth="1"/>
    <col min="16148" max="16148" width="6.6640625" customWidth="1"/>
    <col min="16149" max="16149" width="4.33203125" customWidth="1"/>
    <col min="16150" max="16150" width="2" customWidth="1"/>
    <col min="16151" max="16152" width="2.6640625" customWidth="1"/>
    <col min="16153" max="16154" width="2.109375" customWidth="1"/>
    <col min="16155" max="16155" width="4.6640625" customWidth="1"/>
    <col min="16156" max="16156" width="1.6640625" customWidth="1"/>
    <col min="16157" max="16157" width="6.6640625" customWidth="1"/>
    <col min="16158" max="16159" width="1.88671875" customWidth="1"/>
    <col min="16160" max="16160" width="3" customWidth="1"/>
    <col min="16161" max="16161" width="4" customWidth="1"/>
    <col min="16162" max="16162" width="4.33203125" customWidth="1"/>
    <col min="16163" max="16163" width="1.109375" customWidth="1"/>
    <col min="16164" max="16165" width="4.33203125" customWidth="1"/>
    <col min="16166" max="16166" width="5" customWidth="1"/>
    <col min="16167" max="16167" width="1.33203125" customWidth="1"/>
  </cols>
  <sheetData>
    <row r="1" spans="2:39" ht="13.5" customHeight="1">
      <c r="B1" s="595"/>
      <c r="C1" s="595"/>
      <c r="D1" s="595"/>
      <c r="E1" s="595"/>
      <c r="F1" s="595"/>
      <c r="G1" s="595"/>
      <c r="H1" s="595"/>
      <c r="I1" s="595"/>
      <c r="J1" s="595"/>
      <c r="K1" s="595"/>
      <c r="L1" s="595"/>
      <c r="M1" s="595"/>
      <c r="N1" s="595"/>
      <c r="O1" s="595"/>
      <c r="P1" s="595"/>
      <c r="Q1" s="595"/>
      <c r="R1" s="595"/>
      <c r="S1" s="812"/>
      <c r="T1" s="812"/>
      <c r="U1" s="812"/>
      <c r="V1" s="595"/>
      <c r="W1" s="595"/>
      <c r="X1" s="595"/>
      <c r="Y1" s="595"/>
      <c r="Z1" s="595"/>
      <c r="AA1" s="595"/>
      <c r="AB1" s="595"/>
      <c r="AC1" s="595"/>
      <c r="AD1" s="595"/>
      <c r="AE1" s="595"/>
      <c r="AF1" s="595"/>
      <c r="AG1" s="595"/>
      <c r="AH1" s="595"/>
      <c r="AI1" s="595"/>
      <c r="AJ1" s="1831" t="str">
        <f>'DS Log Pg 1'!U1</f>
        <v>700-010-84</v>
      </c>
      <c r="AK1" s="1832"/>
      <c r="AL1" s="1832"/>
      <c r="AM1" s="1832"/>
    </row>
    <row r="2" spans="2:39" ht="12.75" customHeight="1">
      <c r="B2" s="595"/>
      <c r="C2" s="595"/>
      <c r="D2" s="595"/>
      <c r="E2" s="1833" t="s">
        <v>933</v>
      </c>
      <c r="F2" s="1833"/>
      <c r="G2" s="1833"/>
      <c r="H2" s="1833"/>
      <c r="I2" s="1833"/>
      <c r="J2" s="1833"/>
      <c r="K2" s="1833"/>
      <c r="L2" s="1833"/>
      <c r="M2" s="1833"/>
      <c r="N2" s="1833"/>
      <c r="O2" s="1833"/>
      <c r="P2" s="1833"/>
      <c r="Q2" s="1833"/>
      <c r="R2" s="1833"/>
      <c r="S2" s="1833"/>
      <c r="T2" s="1833"/>
      <c r="U2" s="1833"/>
      <c r="V2" s="1833"/>
      <c r="W2" s="1833"/>
      <c r="X2" s="1833"/>
      <c r="Y2" s="1833"/>
      <c r="Z2" s="1833"/>
      <c r="AA2" s="1833"/>
      <c r="AB2" s="1833"/>
      <c r="AC2" s="1833"/>
      <c r="AD2" s="1833"/>
      <c r="AE2" s="1833"/>
      <c r="AF2" s="1833"/>
      <c r="AG2" s="1833"/>
      <c r="AH2" s="1833"/>
      <c r="AI2" s="1831" t="s">
        <v>8</v>
      </c>
      <c r="AJ2" s="1831"/>
      <c r="AK2" s="1831"/>
      <c r="AL2" s="1831"/>
      <c r="AM2" s="1831"/>
    </row>
    <row r="3" spans="2:39" ht="21.75" customHeight="1">
      <c r="B3" s="595"/>
      <c r="C3" s="595"/>
      <c r="D3" s="595"/>
      <c r="E3" s="1834" t="s">
        <v>989</v>
      </c>
      <c r="F3" s="1835"/>
      <c r="G3" s="1835"/>
      <c r="H3" s="1835"/>
      <c r="I3" s="1835"/>
      <c r="J3" s="1835"/>
      <c r="K3" s="1835"/>
      <c r="L3" s="1835"/>
      <c r="M3" s="1835"/>
      <c r="N3" s="1835"/>
      <c r="O3" s="1835"/>
      <c r="P3" s="1835"/>
      <c r="Q3" s="1835"/>
      <c r="R3" s="1835"/>
      <c r="S3" s="1835"/>
      <c r="T3" s="1835"/>
      <c r="U3" s="1835"/>
      <c r="V3" s="1835"/>
      <c r="W3" s="1835"/>
      <c r="X3" s="1835"/>
      <c r="Y3" s="1835"/>
      <c r="Z3" s="1835"/>
      <c r="AA3" s="1835"/>
      <c r="AB3" s="1835"/>
      <c r="AC3" s="1835"/>
      <c r="AD3" s="1835"/>
      <c r="AE3" s="1835"/>
      <c r="AF3" s="1835"/>
      <c r="AG3" s="1835"/>
      <c r="AH3" s="1835"/>
      <c r="AI3" s="596"/>
      <c r="AJ3" s="596"/>
      <c r="AK3" s="1836">
        <f>'DS Log Pg 1'!U3</f>
        <v>45222</v>
      </c>
      <c r="AL3" s="1836"/>
      <c r="AM3" s="1837"/>
    </row>
    <row r="4" spans="2:39" ht="15" customHeight="1" thickBot="1">
      <c r="B4" s="814"/>
      <c r="C4" s="814"/>
      <c r="D4" s="814"/>
      <c r="E4" s="814"/>
      <c r="F4" s="3404"/>
      <c r="G4" s="3404"/>
      <c r="H4" s="3404"/>
      <c r="I4" s="3404"/>
      <c r="J4" s="3404"/>
      <c r="K4" s="3404"/>
      <c r="L4" s="3404"/>
      <c r="M4" s="3404"/>
      <c r="N4" s="3404"/>
      <c r="O4" s="3404"/>
      <c r="P4" s="3404"/>
      <c r="Q4" s="3404"/>
      <c r="R4" s="3404"/>
      <c r="S4" s="3404"/>
      <c r="T4" s="3404"/>
      <c r="U4" s="3404"/>
      <c r="V4" s="3404"/>
      <c r="W4" s="3404"/>
      <c r="X4" s="3404"/>
      <c r="Y4" s="3404"/>
      <c r="Z4" s="3404"/>
      <c r="AA4" s="3404"/>
      <c r="AB4" s="3404"/>
      <c r="AC4" s="3404"/>
      <c r="AD4" s="3404"/>
      <c r="AE4" s="3404"/>
      <c r="AF4" s="3404"/>
      <c r="AG4" s="3404"/>
      <c r="AH4" s="3404"/>
      <c r="AI4" s="947"/>
      <c r="AJ4" s="947"/>
      <c r="AK4" s="948"/>
      <c r="AL4" s="1301"/>
      <c r="AM4" s="814"/>
    </row>
    <row r="5" spans="2:39" ht="18" customHeight="1" thickTop="1">
      <c r="B5" s="819"/>
      <c r="C5" s="829"/>
      <c r="D5" s="829"/>
      <c r="E5" s="829"/>
      <c r="F5" s="829"/>
      <c r="G5" s="829"/>
      <c r="H5" s="829"/>
      <c r="I5" s="829"/>
      <c r="J5" s="829"/>
      <c r="K5" s="829"/>
      <c r="L5" s="829"/>
      <c r="M5" s="829"/>
      <c r="N5" s="829"/>
      <c r="O5" s="829"/>
      <c r="P5" s="829"/>
      <c r="Q5" s="829"/>
      <c r="R5" s="829"/>
      <c r="S5" s="940"/>
      <c r="T5" s="940"/>
      <c r="U5" s="940"/>
      <c r="V5" s="829"/>
      <c r="W5" s="829"/>
      <c r="X5" s="829"/>
      <c r="Y5" s="829"/>
      <c r="Z5" s="829"/>
      <c r="AA5" s="829"/>
      <c r="AB5" s="829"/>
      <c r="AC5" s="829"/>
      <c r="AD5" s="829"/>
      <c r="AE5" s="829"/>
      <c r="AF5" s="829"/>
      <c r="AG5" s="829"/>
      <c r="AH5" s="829"/>
      <c r="AI5" s="829"/>
      <c r="AJ5" s="829"/>
      <c r="AK5" s="829"/>
      <c r="AL5" s="829"/>
      <c r="AM5" s="816"/>
    </row>
    <row r="6" spans="2:39" ht="22.95" customHeight="1" thickBot="1">
      <c r="B6" s="819"/>
      <c r="C6" s="829"/>
      <c r="D6" s="840"/>
      <c r="E6" s="840"/>
      <c r="F6" s="840"/>
      <c r="G6" s="840"/>
      <c r="H6" s="840"/>
      <c r="I6" s="840"/>
      <c r="J6" s="840"/>
      <c r="K6" s="840"/>
      <c r="L6" s="840"/>
      <c r="M6" s="840"/>
      <c r="N6" s="840"/>
      <c r="O6" s="840"/>
      <c r="P6" s="840"/>
      <c r="Q6" s="840"/>
      <c r="R6" s="840"/>
      <c r="S6" s="873"/>
      <c r="T6" s="873"/>
      <c r="U6" s="873"/>
      <c r="V6" s="840"/>
      <c r="W6" s="1843" t="s">
        <v>10</v>
      </c>
      <c r="X6" s="1843"/>
      <c r="Y6" s="1843"/>
      <c r="Z6" s="1843"/>
      <c r="AA6" s="1843"/>
      <c r="AB6" s="1841"/>
      <c r="AC6" s="1841"/>
      <c r="AD6" s="3413"/>
      <c r="AE6" s="3413"/>
      <c r="AF6" s="3413"/>
      <c r="AG6" s="3413"/>
      <c r="AH6" s="1285" t="s">
        <v>1155</v>
      </c>
      <c r="AI6" s="3413"/>
      <c r="AJ6" s="3413"/>
      <c r="AK6" s="3413"/>
      <c r="AL6" s="1302"/>
      <c r="AM6" s="827"/>
    </row>
    <row r="7" spans="2:39" ht="22.95" customHeight="1" thickBot="1">
      <c r="B7" s="819"/>
      <c r="C7" s="829"/>
      <c r="D7" s="1843" t="s">
        <v>669</v>
      </c>
      <c r="E7" s="1843"/>
      <c r="F7" s="1843"/>
      <c r="G7" s="1843"/>
      <c r="H7" s="870"/>
      <c r="I7" s="3414" t="str">
        <f>IF('DS Log Pg 1'!D7="","",'DS Log Pg 1'!D7)</f>
        <v/>
      </c>
      <c r="J7" s="3414"/>
      <c r="K7" s="3414"/>
      <c r="L7" s="3414"/>
      <c r="M7" s="3414"/>
      <c r="N7" s="3414"/>
      <c r="O7" s="3414"/>
      <c r="P7" s="3414"/>
      <c r="Q7" s="3414"/>
      <c r="R7" s="3414"/>
      <c r="S7" s="3414"/>
      <c r="T7" s="3414"/>
      <c r="U7" s="3414"/>
      <c r="V7" s="873"/>
      <c r="W7" s="1843" t="s">
        <v>670</v>
      </c>
      <c r="X7" s="1843"/>
      <c r="Y7" s="1843"/>
      <c r="Z7" s="1843"/>
      <c r="AA7" s="1843"/>
      <c r="AB7" s="1843"/>
      <c r="AC7" s="1843"/>
      <c r="AD7" s="3407" t="str">
        <f>IF('DS Log Pg 1'!S7="","",'DS Log Pg 1'!S7)</f>
        <v/>
      </c>
      <c r="AE7" s="3407"/>
      <c r="AF7" s="3407"/>
      <c r="AG7" s="3407"/>
      <c r="AH7" s="3407"/>
      <c r="AI7" s="3407"/>
      <c r="AJ7" s="3407"/>
      <c r="AK7" s="3407"/>
      <c r="AL7" s="1303"/>
      <c r="AM7" s="827"/>
    </row>
    <row r="8" spans="2:39" ht="22.95" customHeight="1" thickBot="1">
      <c r="B8" s="819"/>
      <c r="C8" s="829"/>
      <c r="D8" s="1843" t="s">
        <v>688</v>
      </c>
      <c r="E8" s="1843"/>
      <c r="F8" s="1843"/>
      <c r="G8" s="1843"/>
      <c r="H8" s="870"/>
      <c r="I8" s="3409" t="str">
        <f>IF('DS Log Pg 1'!D8="","",'DS Log Pg 1'!D8)</f>
        <v/>
      </c>
      <c r="J8" s="3409"/>
      <c r="K8" s="3409"/>
      <c r="L8" s="3409"/>
      <c r="M8" s="3409"/>
      <c r="N8" s="3409"/>
      <c r="O8" s="3409"/>
      <c r="P8" s="3409"/>
      <c r="Q8" s="3409"/>
      <c r="R8" s="3409"/>
      <c r="S8" s="3409"/>
      <c r="T8" s="3409"/>
      <c r="U8" s="3409"/>
      <c r="V8" s="873"/>
      <c r="W8" s="1841" t="s">
        <v>671</v>
      </c>
      <c r="X8" s="1841"/>
      <c r="Y8" s="1841"/>
      <c r="Z8" s="1841"/>
      <c r="AA8" s="1841"/>
      <c r="AB8" s="1841"/>
      <c r="AC8" s="1841"/>
      <c r="AD8" s="3407" t="str">
        <f>IF('DS Log Pg 1'!S8="","",'DS Log Pg 1'!S8)</f>
        <v/>
      </c>
      <c r="AE8" s="3407"/>
      <c r="AF8" s="3407"/>
      <c r="AG8" s="3407"/>
      <c r="AH8" s="3407"/>
      <c r="AI8" s="3407"/>
      <c r="AJ8" s="3407"/>
      <c r="AK8" s="3407"/>
      <c r="AL8" s="1303"/>
      <c r="AM8" s="827"/>
    </row>
    <row r="9" spans="2:39" ht="22.95" customHeight="1" thickBot="1">
      <c r="B9" s="819"/>
      <c r="C9" s="829"/>
      <c r="D9" s="1843" t="s">
        <v>672</v>
      </c>
      <c r="E9" s="1843"/>
      <c r="F9" s="1843"/>
      <c r="G9" s="1843"/>
      <c r="H9" s="870"/>
      <c r="I9" s="3409" t="str">
        <f>IF('DS Log Pg 1'!D9="","",'DS Log Pg 1'!D9)</f>
        <v/>
      </c>
      <c r="J9" s="3409"/>
      <c r="K9" s="3409"/>
      <c r="L9" s="3409"/>
      <c r="M9" s="3409"/>
      <c r="N9" s="3409"/>
      <c r="O9" s="3409"/>
      <c r="P9" s="3409"/>
      <c r="Q9" s="3409"/>
      <c r="R9" s="3409"/>
      <c r="S9" s="3409"/>
      <c r="T9" s="3409"/>
      <c r="U9" s="3409"/>
      <c r="V9" s="840"/>
      <c r="W9" s="1841" t="s">
        <v>673</v>
      </c>
      <c r="X9" s="1841"/>
      <c r="Y9" s="1841"/>
      <c r="Z9" s="1841"/>
      <c r="AA9" s="1841"/>
      <c r="AB9" s="1841"/>
      <c r="AC9" s="1841"/>
      <c r="AD9" s="3407" t="str">
        <f>IF('DS Log Pg 1'!S9="","",'DS Log Pg 1'!S9)</f>
        <v/>
      </c>
      <c r="AE9" s="3407"/>
      <c r="AF9" s="3407"/>
      <c r="AG9" s="3407"/>
      <c r="AH9" s="3407"/>
      <c r="AI9" s="3407"/>
      <c r="AJ9" s="3407"/>
      <c r="AK9" s="3407"/>
      <c r="AL9" s="1303"/>
      <c r="AM9" s="827"/>
    </row>
    <row r="10" spans="2:39" ht="22.95" customHeight="1" thickBot="1">
      <c r="B10" s="819"/>
      <c r="C10" s="829"/>
      <c r="D10" s="1843" t="s">
        <v>930</v>
      </c>
      <c r="E10" s="1843"/>
      <c r="F10" s="1843"/>
      <c r="G10" s="1843"/>
      <c r="H10" s="870"/>
      <c r="I10" s="3410"/>
      <c r="J10" s="3410"/>
      <c r="K10" s="3410"/>
      <c r="L10" s="3410"/>
      <c r="M10" s="3410"/>
      <c r="N10" s="3410"/>
      <c r="O10" s="3410"/>
      <c r="P10" s="873" t="s">
        <v>674</v>
      </c>
      <c r="Q10" s="3410"/>
      <c r="R10" s="3410"/>
      <c r="S10" s="839" t="s">
        <v>675</v>
      </c>
      <c r="T10" s="3405"/>
      <c r="U10" s="3406"/>
      <c r="V10" s="840"/>
      <c r="W10" s="1841" t="s">
        <v>676</v>
      </c>
      <c r="X10" s="1841"/>
      <c r="Y10" s="1841"/>
      <c r="Z10" s="1841"/>
      <c r="AA10" s="1841"/>
      <c r="AB10" s="1841"/>
      <c r="AC10" s="1841"/>
      <c r="AD10" s="3407" t="str">
        <f>IF('DS Log Pg 1'!S10="","",'DS Log Pg 1'!S10)</f>
        <v/>
      </c>
      <c r="AE10" s="3407"/>
      <c r="AF10" s="3407"/>
      <c r="AG10" s="3407"/>
      <c r="AH10" s="3407"/>
      <c r="AI10" s="3407"/>
      <c r="AJ10" s="3407"/>
      <c r="AK10" s="3407"/>
      <c r="AL10" s="1303"/>
      <c r="AM10" s="827"/>
    </row>
    <row r="11" spans="2:39" ht="22.95" customHeight="1" thickBot="1">
      <c r="B11" s="819"/>
      <c r="C11" s="829"/>
      <c r="D11" s="1843" t="s">
        <v>929</v>
      </c>
      <c r="E11" s="1843"/>
      <c r="F11" s="1843"/>
      <c r="G11" s="1843"/>
      <c r="H11" s="870"/>
      <c r="I11" s="3408"/>
      <c r="J11" s="3408"/>
      <c r="K11" s="3408"/>
      <c r="L11" s="3408"/>
      <c r="M11" s="3408"/>
      <c r="N11" s="3408"/>
      <c r="O11" s="3408"/>
      <c r="P11" s="3408"/>
      <c r="Q11" s="3408"/>
      <c r="R11" s="3408"/>
      <c r="S11" s="839" t="s">
        <v>675</v>
      </c>
      <c r="T11" s="3405"/>
      <c r="U11" s="3406"/>
      <c r="V11" s="840"/>
      <c r="W11" s="1841" t="s">
        <v>928</v>
      </c>
      <c r="X11" s="1841"/>
      <c r="Y11" s="1841"/>
      <c r="Z11" s="1841"/>
      <c r="AA11" s="1841"/>
      <c r="AB11" s="1841"/>
      <c r="AC11" s="1841"/>
      <c r="AD11" s="3407" t="str">
        <f>IF('DS Log Pg 1'!S11="","",'DS Log Pg 1'!S11)</f>
        <v/>
      </c>
      <c r="AE11" s="3407"/>
      <c r="AF11" s="3407"/>
      <c r="AG11" s="3407"/>
      <c r="AH11" s="3407"/>
      <c r="AI11" s="3407"/>
      <c r="AJ11" s="3407"/>
      <c r="AK11" s="3407"/>
      <c r="AL11" s="1303"/>
      <c r="AM11" s="827"/>
    </row>
    <row r="12" spans="2:39" ht="15.75" customHeight="1" thickBot="1">
      <c r="B12" s="888"/>
      <c r="C12" s="942"/>
      <c r="D12" s="943"/>
      <c r="E12" s="943"/>
      <c r="F12" s="943"/>
      <c r="G12" s="944"/>
      <c r="H12" s="944"/>
      <c r="I12" s="3415" t="s">
        <v>1158</v>
      </c>
      <c r="J12" s="3415"/>
      <c r="K12" s="3415"/>
      <c r="L12" s="3415"/>
      <c r="M12" s="3415"/>
      <c r="N12" s="3415"/>
      <c r="O12" s="3415"/>
      <c r="P12" s="3415"/>
      <c r="Q12" s="3415"/>
      <c r="R12" s="3415"/>
      <c r="S12" s="945"/>
      <c r="T12" s="945"/>
      <c r="U12" s="945"/>
      <c r="V12" s="943"/>
      <c r="W12" s="943"/>
      <c r="X12" s="943"/>
      <c r="Y12" s="943"/>
      <c r="Z12" s="943"/>
      <c r="AA12" s="943"/>
      <c r="AB12" s="943"/>
      <c r="AC12" s="943"/>
      <c r="AD12" s="943"/>
      <c r="AE12" s="943"/>
      <c r="AF12" s="943"/>
      <c r="AG12" s="944"/>
      <c r="AH12" s="3416"/>
      <c r="AI12" s="3416"/>
      <c r="AJ12" s="3416"/>
      <c r="AK12" s="3416"/>
      <c r="AL12" s="945"/>
      <c r="AM12" s="946"/>
    </row>
    <row r="13" spans="2:39" ht="34.950000000000003" customHeight="1">
      <c r="B13" s="819"/>
      <c r="C13" s="829"/>
      <c r="D13" s="829"/>
      <c r="E13" s="829"/>
      <c r="F13" s="829"/>
      <c r="G13" s="941"/>
      <c r="H13" s="941"/>
      <c r="I13" s="940"/>
      <c r="J13" s="940"/>
      <c r="K13" s="940"/>
      <c r="L13" s="940"/>
      <c r="M13" s="940"/>
      <c r="N13" s="940"/>
      <c r="O13" s="940"/>
      <c r="P13" s="940"/>
      <c r="Q13" s="940"/>
      <c r="R13" s="940"/>
      <c r="S13" s="3420" t="s">
        <v>1166</v>
      </c>
      <c r="T13" s="3420"/>
      <c r="U13" s="3420"/>
      <c r="V13" s="3420"/>
      <c r="W13" s="3420"/>
      <c r="X13" s="3420"/>
      <c r="Y13" s="3420"/>
      <c r="Z13" s="3420"/>
      <c r="AA13" s="3420"/>
      <c r="AB13" s="3420"/>
      <c r="AC13" s="3420"/>
      <c r="AD13" s="3420"/>
      <c r="AE13" s="3420"/>
      <c r="AF13" s="829"/>
      <c r="AG13" s="941"/>
      <c r="AH13" s="940"/>
      <c r="AI13" s="940"/>
      <c r="AJ13" s="940"/>
      <c r="AK13" s="940"/>
      <c r="AL13" s="940"/>
      <c r="AM13" s="816"/>
    </row>
    <row r="14" spans="2:39" ht="30" customHeight="1" thickBot="1">
      <c r="B14" s="819"/>
      <c r="C14" s="3417" t="s">
        <v>1156</v>
      </c>
      <c r="D14" s="3417"/>
      <c r="E14" s="3417"/>
      <c r="F14" s="3417"/>
      <c r="G14" s="3417"/>
      <c r="H14" s="3417"/>
      <c r="I14" s="3417"/>
      <c r="J14" s="3417"/>
      <c r="K14" s="3417"/>
      <c r="L14" s="3417"/>
      <c r="M14" s="3418" t="str">
        <f>IF('rein.&amp;spacers'!AG16="","",'rein.&amp;spacers'!AG16)</f>
        <v/>
      </c>
      <c r="N14" s="3418"/>
      <c r="O14" s="3418"/>
      <c r="P14" s="3418"/>
      <c r="Q14" s="3418"/>
      <c r="R14" s="595"/>
      <c r="S14" s="3420"/>
      <c r="T14" s="3420"/>
      <c r="U14" s="3420"/>
      <c r="V14" s="3420"/>
      <c r="W14" s="3420"/>
      <c r="X14" s="3420"/>
      <c r="Y14" s="3420"/>
      <c r="Z14" s="3420"/>
      <c r="AA14" s="3420"/>
      <c r="AB14" s="3420"/>
      <c r="AC14" s="3420"/>
      <c r="AD14" s="3420"/>
      <c r="AE14" s="3420"/>
      <c r="AF14" s="595"/>
      <c r="AG14" s="3418" t="str">
        <f>IF('rein.&amp;spacers'!AH26="","",'rein.&amp;spacers'!AH26)</f>
        <v/>
      </c>
      <c r="AH14" s="3418"/>
      <c r="AI14" s="3418"/>
      <c r="AJ14" s="3418"/>
      <c r="AK14" s="3418"/>
      <c r="AL14" s="1307"/>
      <c r="AM14" s="816"/>
    </row>
    <row r="15" spans="2:39" ht="30" customHeight="1" thickBot="1">
      <c r="B15" s="819"/>
      <c r="C15" s="3417" t="s">
        <v>1162</v>
      </c>
      <c r="D15" s="3417"/>
      <c r="E15" s="3417"/>
      <c r="F15" s="3417"/>
      <c r="G15" s="3417"/>
      <c r="H15" s="3417"/>
      <c r="I15" s="3417"/>
      <c r="J15" s="3417"/>
      <c r="K15" s="3417"/>
      <c r="L15" s="3417"/>
      <c r="M15" s="3419" t="str">
        <f>IF('rein.&amp;spacers'!AG18="","",'rein.&amp;spacers'!AG18)</f>
        <v/>
      </c>
      <c r="N15" s="3419"/>
      <c r="O15" s="3419"/>
      <c r="P15" s="3419"/>
      <c r="Q15" s="3419"/>
      <c r="S15" s="3411" t="s">
        <v>1184</v>
      </c>
      <c r="T15" s="3411"/>
      <c r="U15" s="595"/>
      <c r="V15" s="3411" t="s">
        <v>1185</v>
      </c>
      <c r="W15" s="3411"/>
      <c r="X15" s="3411"/>
      <c r="Y15" s="3411"/>
      <c r="Z15" s="595"/>
      <c r="AA15" s="595"/>
      <c r="AB15" s="3411" t="s">
        <v>1161</v>
      </c>
      <c r="AC15" s="3411"/>
      <c r="AD15" s="3411"/>
      <c r="AE15" s="3411"/>
      <c r="AF15" s="595"/>
      <c r="AG15" s="595"/>
      <c r="AH15" s="3412" t="s">
        <v>1157</v>
      </c>
      <c r="AI15" s="3412"/>
      <c r="AJ15" s="3412"/>
      <c r="AK15" s="1286"/>
      <c r="AL15" s="1286"/>
      <c r="AM15" s="816"/>
    </row>
    <row r="16" spans="2:39" ht="30" customHeight="1">
      <c r="B16" s="819"/>
      <c r="C16" s="3421"/>
      <c r="D16" s="3421"/>
      <c r="E16" s="3421"/>
      <c r="F16" s="3421"/>
      <c r="G16" s="3421"/>
      <c r="H16" s="3421"/>
      <c r="I16" s="3421"/>
      <c r="J16" s="3421"/>
      <c r="K16" s="3421"/>
      <c r="L16" s="3421"/>
      <c r="M16" s="3421"/>
      <c r="N16" s="3421"/>
      <c r="O16" s="3421"/>
      <c r="P16" s="3421"/>
      <c r="R16" s="595"/>
      <c r="S16" s="3411"/>
      <c r="T16" s="3411"/>
      <c r="U16" s="595"/>
      <c r="V16" s="3411"/>
      <c r="W16" s="3411"/>
      <c r="X16" s="3411"/>
      <c r="Y16" s="3411"/>
      <c r="Z16" s="595"/>
      <c r="AA16" s="595"/>
      <c r="AB16" s="3411"/>
      <c r="AC16" s="3411"/>
      <c r="AD16" s="3411"/>
      <c r="AE16" s="3411"/>
      <c r="AF16" s="595"/>
      <c r="AG16" s="595"/>
      <c r="AH16" s="3411"/>
      <c r="AI16" s="3411"/>
      <c r="AJ16" s="3411"/>
      <c r="AK16" s="1286"/>
      <c r="AL16" s="1286"/>
      <c r="AM16" s="816"/>
    </row>
    <row r="17" spans="2:58" ht="30" customHeight="1">
      <c r="B17" s="819"/>
      <c r="C17" s="595"/>
      <c r="D17" s="595"/>
      <c r="E17" s="595"/>
      <c r="F17" s="3307" t="s">
        <v>1181</v>
      </c>
      <c r="G17" s="3307"/>
      <c r="H17" s="3307"/>
      <c r="I17" s="3307"/>
      <c r="J17" s="3307"/>
      <c r="K17" s="3307"/>
      <c r="L17" s="3307"/>
      <c r="M17" s="3307"/>
      <c r="N17" s="3307"/>
      <c r="O17" s="3307"/>
      <c r="P17" s="3307"/>
      <c r="Q17" s="3307"/>
      <c r="R17" s="595"/>
      <c r="S17" s="3411"/>
      <c r="T17" s="3411"/>
      <c r="U17" s="595"/>
      <c r="V17" s="3411"/>
      <c r="W17" s="3411"/>
      <c r="X17" s="3411"/>
      <c r="Y17" s="3411"/>
      <c r="Z17" s="595"/>
      <c r="AA17" s="595"/>
      <c r="AB17" s="3411"/>
      <c r="AC17" s="3411"/>
      <c r="AD17" s="3411"/>
      <c r="AE17" s="3411"/>
      <c r="AF17" s="595"/>
      <c r="AG17" s="595"/>
      <c r="AH17" s="3411"/>
      <c r="AI17" s="3411"/>
      <c r="AJ17" s="3411"/>
      <c r="AK17" s="1286"/>
      <c r="AL17" s="1286"/>
      <c r="AM17" s="816"/>
    </row>
    <row r="18" spans="2:58" ht="30" customHeight="1">
      <c r="B18" s="819"/>
      <c r="C18" s="595"/>
      <c r="D18" s="595"/>
      <c r="E18" s="595"/>
      <c r="F18" s="3305" t="s">
        <v>1163</v>
      </c>
      <c r="G18" s="3306"/>
      <c r="H18" s="3306"/>
      <c r="I18" s="3306"/>
      <c r="J18" s="3306"/>
      <c r="K18" s="3306"/>
      <c r="L18" s="3306"/>
      <c r="M18" s="3306"/>
      <c r="N18" s="3306"/>
      <c r="O18" s="3306"/>
      <c r="P18" s="3306"/>
      <c r="Q18" s="3306"/>
      <c r="R18" s="595"/>
      <c r="S18" s="3411"/>
      <c r="T18" s="3411"/>
      <c r="U18" s="873"/>
      <c r="V18" s="3411"/>
      <c r="W18" s="3411"/>
      <c r="X18" s="3411"/>
      <c r="Y18" s="3411"/>
      <c r="Z18" s="840"/>
      <c r="AA18" s="840"/>
      <c r="AB18" s="3411"/>
      <c r="AC18" s="3411"/>
      <c r="AD18" s="3411"/>
      <c r="AE18" s="3411"/>
      <c r="AF18" s="840"/>
      <c r="AG18" s="840"/>
      <c r="AH18" s="3411"/>
      <c r="AI18" s="3411"/>
      <c r="AJ18" s="3411"/>
      <c r="AK18" s="1286"/>
      <c r="AL18" s="1286"/>
      <c r="AM18" s="816"/>
    </row>
    <row r="19" spans="2:58" ht="30" customHeight="1" thickBot="1">
      <c r="B19" s="819"/>
      <c r="C19" s="595"/>
      <c r="D19" s="595"/>
      <c r="E19" s="595"/>
      <c r="F19" s="3306"/>
      <c r="G19" s="3306"/>
      <c r="H19" s="3306"/>
      <c r="I19" s="3306"/>
      <c r="J19" s="3306"/>
      <c r="K19" s="3306"/>
      <c r="L19" s="3306"/>
      <c r="M19" s="3306"/>
      <c r="N19" s="3306"/>
      <c r="O19" s="3306"/>
      <c r="P19" s="3306"/>
      <c r="Q19" s="3306"/>
      <c r="R19" s="1288">
        <v>1</v>
      </c>
      <c r="S19" s="3354" t="str">
        <f>IF('rein.&amp;spacers'!AF20="","",'rein.&amp;spacers'!AF20)</f>
        <v/>
      </c>
      <c r="T19" s="3354"/>
      <c r="U19" s="1132"/>
      <c r="V19" s="3347"/>
      <c r="W19" s="3347"/>
      <c r="X19" s="3347"/>
      <c r="Y19" s="3347"/>
      <c r="Z19" s="840"/>
      <c r="AA19" s="840"/>
      <c r="AB19" s="3348" t="str">
        <f>IF('rein.&amp;spacers'!AF20="","",S19-(V19/12))</f>
        <v/>
      </c>
      <c r="AC19" s="3348"/>
      <c r="AD19" s="3348"/>
      <c r="AE19" s="3348"/>
      <c r="AF19" s="840"/>
      <c r="AG19" s="840"/>
      <c r="AH19" s="3303" t="str">
        <f>IF(S19="","",MROUND(PI()*M$15*M$15*AB19/(4*144),0.001))</f>
        <v/>
      </c>
      <c r="AI19" s="3303"/>
      <c r="AJ19" s="3303"/>
      <c r="AK19" s="840"/>
      <c r="AL19" s="840"/>
      <c r="AM19" s="816"/>
      <c r="AN19" s="1048"/>
    </row>
    <row r="20" spans="2:58" ht="30" customHeight="1" thickBot="1">
      <c r="B20" s="819"/>
      <c r="C20" s="595"/>
      <c r="D20" s="595"/>
      <c r="E20" s="595"/>
      <c r="F20" s="3306"/>
      <c r="G20" s="3306"/>
      <c r="H20" s="3306"/>
      <c r="I20" s="3306"/>
      <c r="J20" s="3306"/>
      <c r="K20" s="3306"/>
      <c r="L20" s="3306"/>
      <c r="M20" s="3306"/>
      <c r="N20" s="3306"/>
      <c r="O20" s="3306"/>
      <c r="P20" s="3306"/>
      <c r="Q20" s="3306"/>
      <c r="R20" s="1288">
        <v>2</v>
      </c>
      <c r="S20" s="3372" t="str">
        <f>IF('rein.&amp;spacers'!AF21="","",'rein.&amp;spacers'!AF21)</f>
        <v/>
      </c>
      <c r="T20" s="3372"/>
      <c r="U20" s="1132"/>
      <c r="V20" s="3347"/>
      <c r="W20" s="3347"/>
      <c r="X20" s="3347"/>
      <c r="Y20" s="3347"/>
      <c r="Z20" s="840"/>
      <c r="AA20" s="840"/>
      <c r="AB20" s="3348" t="str">
        <f>IF('rein.&amp;spacers'!AF21="","",S20-(V20/12))</f>
        <v/>
      </c>
      <c r="AC20" s="3348"/>
      <c r="AD20" s="3348"/>
      <c r="AE20" s="3348"/>
      <c r="AF20" s="840"/>
      <c r="AG20" s="840"/>
      <c r="AH20" s="3303" t="str">
        <f>IF(S20="","",MROUND(PI()*M$15*M$15*AB20/(4*144),0.001))</f>
        <v/>
      </c>
      <c r="AI20" s="3303"/>
      <c r="AJ20" s="3303"/>
      <c r="AK20" s="840"/>
      <c r="AL20" s="840"/>
      <c r="AM20" s="816"/>
      <c r="AN20" s="1048"/>
      <c r="AO20" s="874"/>
      <c r="AP20" s="874"/>
    </row>
    <row r="21" spans="2:58" ht="30" customHeight="1" thickBot="1">
      <c r="B21" s="819"/>
      <c r="C21" s="595"/>
      <c r="D21" s="595"/>
      <c r="E21" s="595"/>
      <c r="F21" s="3306"/>
      <c r="G21" s="3306"/>
      <c r="H21" s="3306"/>
      <c r="I21" s="3306"/>
      <c r="J21" s="3306"/>
      <c r="K21" s="3306"/>
      <c r="L21" s="3306"/>
      <c r="M21" s="3306"/>
      <c r="N21" s="3306"/>
      <c r="O21" s="3306"/>
      <c r="P21" s="3306"/>
      <c r="Q21" s="3306"/>
      <c r="R21" s="1288">
        <v>3</v>
      </c>
      <c r="S21" s="3372" t="str">
        <f>IF('rein.&amp;spacers'!AF22="","",'rein.&amp;spacers'!AF22)</f>
        <v/>
      </c>
      <c r="T21" s="3372"/>
      <c r="U21" s="873"/>
      <c r="V21" s="3347"/>
      <c r="W21" s="3347"/>
      <c r="X21" s="3347"/>
      <c r="Y21" s="3347"/>
      <c r="Z21" s="840"/>
      <c r="AA21" s="840"/>
      <c r="AB21" s="3348" t="str">
        <f>IF('rein.&amp;spacers'!AF22="","",S21-(V21/12))</f>
        <v/>
      </c>
      <c r="AC21" s="3348"/>
      <c r="AD21" s="3348"/>
      <c r="AE21" s="3348"/>
      <c r="AF21" s="840"/>
      <c r="AG21" s="840"/>
      <c r="AH21" s="3303" t="str">
        <f t="shared" ref="AH21:AH22" si="0">IF(S21="","",MROUND(PI()*M$15*M$15*AB21/(4*144),0.001))</f>
        <v/>
      </c>
      <c r="AI21" s="3303"/>
      <c r="AJ21" s="3303"/>
      <c r="AK21" s="840"/>
      <c r="AL21" s="840"/>
      <c r="AM21" s="816"/>
      <c r="AN21" s="1048"/>
      <c r="AO21" s="874"/>
      <c r="AP21" s="874"/>
    </row>
    <row r="22" spans="2:58" ht="30" customHeight="1" thickBot="1">
      <c r="B22" s="819"/>
      <c r="C22" s="595"/>
      <c r="D22" s="595"/>
      <c r="E22" s="595"/>
      <c r="F22" s="3307" t="s">
        <v>1182</v>
      </c>
      <c r="G22" s="3307"/>
      <c r="H22" s="3307"/>
      <c r="I22" s="3307"/>
      <c r="J22" s="3307"/>
      <c r="K22" s="3307"/>
      <c r="L22" s="3307"/>
      <c r="M22" s="3307"/>
      <c r="N22" s="3307"/>
      <c r="O22" s="3307"/>
      <c r="P22" s="3307"/>
      <c r="Q22" s="3307"/>
      <c r="R22" s="1288">
        <v>4</v>
      </c>
      <c r="S22" s="3372" t="str">
        <f>IF('rein.&amp;spacers'!AF23="","",'rein.&amp;spacers'!AF23)</f>
        <v/>
      </c>
      <c r="T22" s="3372"/>
      <c r="U22" s="1132"/>
      <c r="V22" s="3347"/>
      <c r="W22" s="3347"/>
      <c r="X22" s="3347"/>
      <c r="Y22" s="3347"/>
      <c r="Z22" s="840"/>
      <c r="AA22" s="840"/>
      <c r="AB22" s="3348" t="str">
        <f>IF('rein.&amp;spacers'!AF23="","",S22-(V22/12))</f>
        <v/>
      </c>
      <c r="AC22" s="3348"/>
      <c r="AD22" s="3348"/>
      <c r="AE22" s="3348"/>
      <c r="AF22" s="840"/>
      <c r="AG22" s="840"/>
      <c r="AH22" s="3303" t="str">
        <f t="shared" si="0"/>
        <v/>
      </c>
      <c r="AI22" s="3303"/>
      <c r="AJ22" s="3303"/>
      <c r="AK22" s="840"/>
      <c r="AL22" s="840"/>
      <c r="AM22" s="816"/>
      <c r="AN22" s="1048"/>
      <c r="BC22" s="182"/>
      <c r="BD22" s="18"/>
      <c r="BF22" s="18"/>
    </row>
    <row r="23" spans="2:58" ht="30" customHeight="1" thickBot="1">
      <c r="B23" s="819"/>
      <c r="C23" s="595"/>
      <c r="D23" s="595"/>
      <c r="E23" s="595"/>
      <c r="F23" s="3305" t="s">
        <v>1164</v>
      </c>
      <c r="G23" s="3306"/>
      <c r="H23" s="3306"/>
      <c r="I23" s="3306"/>
      <c r="J23" s="3306"/>
      <c r="K23" s="3306"/>
      <c r="L23" s="3306"/>
      <c r="M23" s="3306"/>
      <c r="N23" s="3306"/>
      <c r="O23" s="3306"/>
      <c r="P23" s="3306"/>
      <c r="Q23" s="3306"/>
      <c r="R23" s="1288">
        <v>5</v>
      </c>
      <c r="S23" s="3372" t="str">
        <f>IF('rein.&amp;spacers'!AF24="","",'rein.&amp;spacers'!AF24)</f>
        <v/>
      </c>
      <c r="T23" s="3372"/>
      <c r="U23" s="873"/>
      <c r="V23" s="3347"/>
      <c r="W23" s="3347"/>
      <c r="X23" s="3347"/>
      <c r="Y23" s="3347"/>
      <c r="Z23" s="840"/>
      <c r="AA23" s="840"/>
      <c r="AB23" s="3348" t="str">
        <f>IF('rein.&amp;spacers'!AF24="","",S23-(V23/12))</f>
        <v/>
      </c>
      <c r="AC23" s="3348"/>
      <c r="AD23" s="3348"/>
      <c r="AE23" s="3348"/>
      <c r="AF23" s="840"/>
      <c r="AG23" s="840"/>
      <c r="AH23" s="3303" t="str">
        <f t="shared" ref="AH23" si="1">IF(S23="","",MROUND(PI()*M$15*M$15*AB23/(4*144),0.001))</f>
        <v/>
      </c>
      <c r="AI23" s="3303"/>
      <c r="AJ23" s="3303"/>
      <c r="AK23" s="840"/>
      <c r="AL23" s="840"/>
      <c r="AM23" s="816"/>
      <c r="AN23" s="1048"/>
      <c r="BD23" s="18"/>
    </row>
    <row r="24" spans="2:58" ht="30" customHeight="1" thickBot="1">
      <c r="B24" s="819"/>
      <c r="C24" s="595"/>
      <c r="D24" s="595"/>
      <c r="E24" s="595"/>
      <c r="F24" s="3306"/>
      <c r="G24" s="3306"/>
      <c r="H24" s="3306"/>
      <c r="I24" s="3306"/>
      <c r="J24" s="3306"/>
      <c r="K24" s="3306"/>
      <c r="L24" s="3306"/>
      <c r="M24" s="3306"/>
      <c r="N24" s="3306"/>
      <c r="O24" s="3306"/>
      <c r="P24" s="3306"/>
      <c r="Q24" s="3306"/>
      <c r="R24" s="1288">
        <v>6</v>
      </c>
      <c r="S24" s="3354" t="str">
        <f>IF('rein.&amp;spacers'!AI20="","",'rein.&amp;spacers'!AI20)</f>
        <v/>
      </c>
      <c r="T24" s="3354"/>
      <c r="U24" s="873"/>
      <c r="V24" s="3347"/>
      <c r="W24" s="3347"/>
      <c r="X24" s="3347"/>
      <c r="Y24" s="3347"/>
      <c r="Z24" s="840"/>
      <c r="AA24" s="840"/>
      <c r="AB24" s="3348" t="str">
        <f>IF('rein.&amp;spacers'!AI20="","",S24-(V24/12))</f>
        <v/>
      </c>
      <c r="AC24" s="3348"/>
      <c r="AD24" s="3348"/>
      <c r="AE24" s="3348"/>
      <c r="AF24" s="840"/>
      <c r="AG24" s="840"/>
      <c r="AH24" s="3303" t="str">
        <f t="shared" ref="AH24" si="2">IF(S24="","",MROUND(PI()*M$15*M$15*AB24/(4*144),0.001))</f>
        <v/>
      </c>
      <c r="AI24" s="3303"/>
      <c r="AJ24" s="3303"/>
      <c r="AK24" s="840"/>
      <c r="AL24" s="840"/>
      <c r="AM24" s="816"/>
      <c r="AN24" s="1048"/>
      <c r="BD24" s="18"/>
    </row>
    <row r="25" spans="2:58" ht="30" customHeight="1" thickBot="1">
      <c r="B25" s="819"/>
      <c r="C25" s="595"/>
      <c r="D25" s="595"/>
      <c r="E25" s="595"/>
      <c r="F25" s="3306"/>
      <c r="G25" s="3306"/>
      <c r="H25" s="3306"/>
      <c r="I25" s="3306"/>
      <c r="J25" s="3306"/>
      <c r="K25" s="3306"/>
      <c r="L25" s="3306"/>
      <c r="M25" s="3306"/>
      <c r="N25" s="3306"/>
      <c r="O25" s="3306"/>
      <c r="P25" s="3306"/>
      <c r="Q25" s="3306"/>
      <c r="R25" s="1288">
        <v>7</v>
      </c>
      <c r="S25" s="3372" t="str">
        <f>IF('rein.&amp;spacers'!AI21="","",'rein.&amp;spacers'!AI21)</f>
        <v/>
      </c>
      <c r="T25" s="3372"/>
      <c r="V25" s="3347"/>
      <c r="W25" s="3347"/>
      <c r="X25" s="3347"/>
      <c r="Y25" s="3347"/>
      <c r="Z25" s="840"/>
      <c r="AA25" s="840"/>
      <c r="AB25" s="3348" t="str">
        <f>IF('rein.&amp;spacers'!AI21="","",S25-(V25/12))</f>
        <v/>
      </c>
      <c r="AC25" s="3348"/>
      <c r="AD25" s="3348"/>
      <c r="AE25" s="3348"/>
      <c r="AF25" s="840"/>
      <c r="AG25" s="840"/>
      <c r="AH25" s="3303" t="str">
        <f t="shared" ref="AH25:AH28" si="3">IF(S25="","",MROUND(PI()*M$15*M$15*AB25/(4*144),0.001))</f>
        <v/>
      </c>
      <c r="AI25" s="3303"/>
      <c r="AJ25" s="3303"/>
      <c r="AK25" s="840"/>
      <c r="AL25" s="840"/>
      <c r="AM25" s="827"/>
      <c r="AN25" s="1048"/>
      <c r="BB25" s="1873"/>
      <c r="BC25" s="1873"/>
    </row>
    <row r="26" spans="2:58" ht="30" customHeight="1" thickBot="1">
      <c r="B26" s="819"/>
      <c r="C26" s="595"/>
      <c r="D26" s="595"/>
      <c r="E26" s="595"/>
      <c r="F26" s="3306"/>
      <c r="G26" s="3306"/>
      <c r="H26" s="3306"/>
      <c r="I26" s="3306"/>
      <c r="J26" s="3306"/>
      <c r="K26" s="3306"/>
      <c r="L26" s="3306"/>
      <c r="M26" s="3306"/>
      <c r="N26" s="3306"/>
      <c r="O26" s="3306"/>
      <c r="P26" s="3306"/>
      <c r="Q26" s="3306"/>
      <c r="R26" s="1288">
        <v>8</v>
      </c>
      <c r="S26" s="3372" t="str">
        <f>IF('rein.&amp;spacers'!AI22="","",'rein.&amp;spacers'!AI22)</f>
        <v/>
      </c>
      <c r="T26" s="3372"/>
      <c r="U26" s="939"/>
      <c r="V26" s="3347"/>
      <c r="W26" s="3347"/>
      <c r="X26" s="3347"/>
      <c r="Y26" s="3347"/>
      <c r="Z26" s="820"/>
      <c r="AA26" s="820"/>
      <c r="AB26" s="3348" t="str">
        <f>IF('rein.&amp;spacers'!AI22="","",S26-(V26/12))</f>
        <v/>
      </c>
      <c r="AC26" s="3348"/>
      <c r="AD26" s="3348"/>
      <c r="AE26" s="3348"/>
      <c r="AF26" s="840"/>
      <c r="AG26" s="840"/>
      <c r="AH26" s="3303" t="str">
        <f t="shared" si="3"/>
        <v/>
      </c>
      <c r="AI26" s="3303"/>
      <c r="AJ26" s="3303"/>
      <c r="AK26" s="840"/>
      <c r="AL26" s="840"/>
      <c r="AM26" s="816"/>
      <c r="AN26" s="1048"/>
    </row>
    <row r="27" spans="2:58" ht="30" customHeight="1" thickBot="1">
      <c r="B27" s="819"/>
      <c r="C27" s="595"/>
      <c r="D27" s="595"/>
      <c r="E27" s="595"/>
      <c r="F27" s="3307" t="s">
        <v>1183</v>
      </c>
      <c r="G27" s="3307"/>
      <c r="H27" s="3307"/>
      <c r="I27" s="3307"/>
      <c r="J27" s="3307"/>
      <c r="K27" s="3307"/>
      <c r="L27" s="3307"/>
      <c r="M27" s="3307"/>
      <c r="N27" s="3307"/>
      <c r="O27" s="3307"/>
      <c r="P27" s="3307"/>
      <c r="Q27" s="3307"/>
      <c r="R27" s="1288">
        <v>9</v>
      </c>
      <c r="S27" s="3372" t="str">
        <f>IF('rein.&amp;spacers'!AI23="","",'rein.&amp;spacers'!AI23)</f>
        <v/>
      </c>
      <c r="T27" s="3372"/>
      <c r="U27" s="939"/>
      <c r="V27" s="3347"/>
      <c r="W27" s="3347"/>
      <c r="X27" s="3347"/>
      <c r="Y27" s="3347"/>
      <c r="Z27" s="820"/>
      <c r="AA27" s="820"/>
      <c r="AB27" s="3348" t="str">
        <f>IF('rein.&amp;spacers'!AI23="","",S27-(V27/12))</f>
        <v/>
      </c>
      <c r="AC27" s="3348"/>
      <c r="AD27" s="3348"/>
      <c r="AE27" s="3348"/>
      <c r="AF27" s="840"/>
      <c r="AG27" s="840"/>
      <c r="AH27" s="3303" t="str">
        <f t="shared" si="3"/>
        <v/>
      </c>
      <c r="AI27" s="3303"/>
      <c r="AJ27" s="3303"/>
      <c r="AK27" s="840"/>
      <c r="AL27" s="840"/>
      <c r="AM27" s="816"/>
      <c r="AN27" s="1048"/>
    </row>
    <row r="28" spans="2:58" ht="30" customHeight="1" thickBot="1">
      <c r="B28" s="819"/>
      <c r="C28" s="595"/>
      <c r="D28" s="595"/>
      <c r="E28" s="595"/>
      <c r="F28" s="3305" t="s">
        <v>1165</v>
      </c>
      <c r="G28" s="3306"/>
      <c r="H28" s="3306"/>
      <c r="I28" s="3306"/>
      <c r="J28" s="3306"/>
      <c r="K28" s="3306"/>
      <c r="L28" s="3306"/>
      <c r="M28" s="3306"/>
      <c r="N28" s="3306"/>
      <c r="O28" s="3306"/>
      <c r="P28" s="3306"/>
      <c r="Q28" s="3306"/>
      <c r="R28" s="1288">
        <v>10</v>
      </c>
      <c r="S28" s="3372" t="str">
        <f>IF('rein.&amp;spacers'!AI24="","",'rein.&amp;spacers'!AI24)</f>
        <v/>
      </c>
      <c r="T28" s="3372"/>
      <c r="U28" s="939"/>
      <c r="V28" s="3347"/>
      <c r="W28" s="3347"/>
      <c r="X28" s="3347"/>
      <c r="Y28" s="3347"/>
      <c r="Z28" s="820"/>
      <c r="AA28" s="820"/>
      <c r="AB28" s="3348" t="str">
        <f>IF('rein.&amp;spacers'!AI24="","",S28-(V28/12))</f>
        <v/>
      </c>
      <c r="AC28" s="3348"/>
      <c r="AD28" s="3348"/>
      <c r="AE28" s="3348"/>
      <c r="AF28" s="820"/>
      <c r="AG28" s="820"/>
      <c r="AH28" s="3303" t="str">
        <f t="shared" si="3"/>
        <v/>
      </c>
      <c r="AI28" s="3303"/>
      <c r="AJ28" s="3303"/>
      <c r="AK28" s="825"/>
      <c r="AL28" s="825"/>
      <c r="AM28" s="816"/>
      <c r="AN28" s="1048"/>
    </row>
    <row r="29" spans="2:58" ht="30" customHeight="1" thickBot="1">
      <c r="B29" s="819"/>
      <c r="C29" s="595"/>
      <c r="D29" s="595"/>
      <c r="E29" s="595"/>
      <c r="F29" s="3306"/>
      <c r="G29" s="3306"/>
      <c r="H29" s="3306"/>
      <c r="I29" s="3306"/>
      <c r="J29" s="3306"/>
      <c r="K29" s="3306"/>
      <c r="L29" s="3306"/>
      <c r="M29" s="3306"/>
      <c r="N29" s="3306"/>
      <c r="O29" s="3306"/>
      <c r="P29" s="3306"/>
      <c r="Q29" s="3306"/>
      <c r="R29" s="821"/>
      <c r="S29" s="825"/>
      <c r="T29" s="1312"/>
      <c r="U29" s="1312"/>
      <c r="V29" s="1312"/>
      <c r="W29" s="1312"/>
      <c r="X29" s="997"/>
      <c r="Y29" s="997"/>
      <c r="Z29" s="997"/>
      <c r="AA29" s="997"/>
      <c r="AB29" s="997"/>
      <c r="AC29" s="997"/>
      <c r="AD29" s="997"/>
      <c r="AE29" s="997"/>
      <c r="AF29" s="997"/>
      <c r="AG29" s="997"/>
      <c r="AH29" s="975"/>
      <c r="AI29" s="975"/>
      <c r="AJ29" s="975"/>
      <c r="AK29" s="975"/>
      <c r="AL29" s="975"/>
      <c r="AM29" s="816"/>
      <c r="AO29" s="3376" t="s">
        <v>1141</v>
      </c>
      <c r="AP29" s="3377"/>
      <c r="AQ29" s="3377"/>
      <c r="AR29" s="3377"/>
      <c r="AS29" s="3377"/>
      <c r="AT29" s="3378"/>
    </row>
    <row r="30" spans="2:58" ht="30" customHeight="1" thickTop="1" thickBot="1">
      <c r="B30" s="819"/>
      <c r="C30" s="3310" t="s">
        <v>1167</v>
      </c>
      <c r="D30" s="3311"/>
      <c r="E30" s="3311"/>
      <c r="F30" s="3311"/>
      <c r="G30" s="3311"/>
      <c r="H30" s="3311"/>
      <c r="I30" s="3311"/>
      <c r="J30" s="3310" t="s">
        <v>1174</v>
      </c>
      <c r="K30" s="3311"/>
      <c r="L30" s="3311"/>
      <c r="M30" s="3311"/>
      <c r="N30" s="3311"/>
      <c r="O30" s="3311"/>
      <c r="P30" s="3311"/>
      <c r="Q30" s="3311"/>
      <c r="R30" s="3312"/>
      <c r="T30" s="3309" t="str">
        <f>IF(M15="","",MROUND(PI()*M15*M15/(4*144),0.0001))</f>
        <v/>
      </c>
      <c r="U30" s="3309"/>
      <c r="V30" s="3309"/>
      <c r="W30" s="997" t="s">
        <v>1192</v>
      </c>
      <c r="X30" s="997"/>
      <c r="Y30" s="997"/>
      <c r="Z30" s="997"/>
      <c r="AA30" s="997"/>
      <c r="AB30" s="3348" t="str">
        <f>IF(SUM(AB19:AE28)=0,"",SUM(AB19:AE28))</f>
        <v/>
      </c>
      <c r="AC30" s="3354"/>
      <c r="AD30" s="3354"/>
      <c r="AE30" s="3354"/>
      <c r="AF30" s="997" t="s">
        <v>408</v>
      </c>
      <c r="AG30" s="997"/>
      <c r="AH30" s="3303" t="str">
        <f>IF(SUM(AB19:AE28)=0,"",SUM(AH19:AJ28))</f>
        <v/>
      </c>
      <c r="AI30" s="3303"/>
      <c r="AJ30" s="3303"/>
      <c r="AK30" s="975" t="s">
        <v>1191</v>
      </c>
      <c r="AL30" s="975"/>
      <c r="AM30" s="816"/>
      <c r="AO30" s="3379" t="s">
        <v>1142</v>
      </c>
      <c r="AP30" s="3380"/>
      <c r="AQ30" s="3380"/>
      <c r="AR30" s="3380"/>
      <c r="AS30" s="3380"/>
      <c r="AT30" s="3381"/>
    </row>
    <row r="31" spans="2:58" ht="30" customHeight="1" thickTop="1" thickBot="1">
      <c r="B31" s="819"/>
      <c r="C31" s="3333"/>
      <c r="D31" s="3334"/>
      <c r="E31" s="3334"/>
      <c r="F31" s="3334"/>
      <c r="G31" s="3334"/>
      <c r="H31" s="3334"/>
      <c r="I31" s="3335"/>
      <c r="J31" s="3344" t="s">
        <v>1168</v>
      </c>
      <c r="K31" s="3345"/>
      <c r="L31" s="3345"/>
      <c r="M31" s="3345"/>
      <c r="N31" s="3345"/>
      <c r="O31" s="3345"/>
      <c r="P31" s="3346"/>
      <c r="Q31" s="3313" t="str">
        <f>IF(M14="","",IF((SUM(AB19:AE23)+SUM(AB24:AE28))=0,"",(SUM(AB19:AE23)+SUM(AB24:AE28))/M14))</f>
        <v/>
      </c>
      <c r="R31" s="3314"/>
      <c r="S31" s="1287"/>
      <c r="T31" s="3304" t="s">
        <v>1193</v>
      </c>
      <c r="U31" s="3304"/>
      <c r="V31" s="3304"/>
      <c r="W31" s="3304"/>
      <c r="X31" s="3304"/>
      <c r="Y31" s="1298"/>
      <c r="Z31" s="3356" t="s">
        <v>1189</v>
      </c>
      <c r="AA31" s="3356"/>
      <c r="AB31" s="3356"/>
      <c r="AC31" s="3356"/>
      <c r="AD31" s="3356"/>
      <c r="AE31" s="3356"/>
      <c r="AF31" s="3356"/>
      <c r="AG31" s="3304" t="s">
        <v>1194</v>
      </c>
      <c r="AH31" s="3304"/>
      <c r="AI31" s="3304"/>
      <c r="AJ31" s="3304"/>
      <c r="AK31" s="3304"/>
      <c r="AL31" s="3304"/>
      <c r="AM31" s="1299"/>
      <c r="AO31" s="3379" t="s">
        <v>1143</v>
      </c>
      <c r="AP31" s="3380"/>
      <c r="AQ31" s="3380"/>
      <c r="AR31" s="3380"/>
      <c r="AS31" s="3380"/>
      <c r="AT31" s="3381"/>
    </row>
    <row r="32" spans="2:58" ht="10.199999999999999" customHeight="1">
      <c r="B32" s="819"/>
      <c r="C32" s="1290"/>
      <c r="D32" s="3393"/>
      <c r="E32" s="3394"/>
      <c r="F32" s="3395"/>
      <c r="G32" s="1291"/>
      <c r="H32" s="3399"/>
      <c r="I32" s="1291"/>
      <c r="J32" s="3385" t="s">
        <v>1169</v>
      </c>
      <c r="K32" s="3386"/>
      <c r="L32" s="3386"/>
      <c r="M32" s="3386"/>
      <c r="N32" s="3386"/>
      <c r="O32" s="3386"/>
      <c r="P32" s="3387"/>
      <c r="Q32" s="3326" t="str">
        <f>IF(Q31="","",IF(M14="","",AH30/M14))</f>
        <v/>
      </c>
      <c r="R32" s="3328"/>
      <c r="S32" s="1287"/>
      <c r="T32" s="1313"/>
      <c r="U32" s="1313"/>
      <c r="V32" s="1313"/>
      <c r="W32" s="1313"/>
      <c r="X32" s="1313"/>
      <c r="Y32" s="1298"/>
      <c r="Z32" s="1296"/>
      <c r="AA32" s="1296"/>
      <c r="AB32" s="1296"/>
      <c r="AC32" s="1296"/>
      <c r="AD32" s="1296"/>
      <c r="AE32" s="1296"/>
      <c r="AF32" s="1296"/>
      <c r="AG32" s="1298"/>
      <c r="AH32" s="1308"/>
      <c r="AI32" s="1308"/>
      <c r="AJ32" s="1308"/>
      <c r="AK32" s="1308"/>
      <c r="AL32" s="1300"/>
      <c r="AM32" s="1309"/>
      <c r="AO32" s="1292"/>
      <c r="AP32" s="1293"/>
      <c r="AQ32" s="1293"/>
      <c r="AR32" s="1293"/>
      <c r="AS32" s="1293"/>
      <c r="AT32" s="1294"/>
    </row>
    <row r="33" spans="2:46" ht="19.95" customHeight="1" thickBot="1">
      <c r="B33" s="819"/>
      <c r="C33" s="1284">
        <v>1</v>
      </c>
      <c r="D33" s="3396"/>
      <c r="E33" s="3397"/>
      <c r="F33" s="3398"/>
      <c r="G33" s="1311">
        <v>6</v>
      </c>
      <c r="H33" s="3400"/>
      <c r="I33" s="829"/>
      <c r="J33" s="3388"/>
      <c r="K33" s="3389"/>
      <c r="L33" s="3389"/>
      <c r="M33" s="3389"/>
      <c r="N33" s="3389"/>
      <c r="O33" s="3389"/>
      <c r="P33" s="3390"/>
      <c r="Q33" s="3391"/>
      <c r="R33" s="3392"/>
      <c r="S33" s="825"/>
      <c r="T33" s="3382" t="s">
        <v>1186</v>
      </c>
      <c r="U33" s="3382"/>
      <c r="V33" s="3382"/>
      <c r="W33" s="3382"/>
      <c r="X33" s="3382"/>
      <c r="Y33" s="3382"/>
      <c r="Z33" s="3382"/>
      <c r="AA33" s="3382"/>
      <c r="AB33" s="3382"/>
      <c r="AC33" s="1314" t="s">
        <v>1187</v>
      </c>
      <c r="AD33" s="3383"/>
      <c r="AE33" s="3384"/>
      <c r="AF33" s="997"/>
      <c r="AG33" s="997"/>
      <c r="AH33" s="1315" t="s">
        <v>1188</v>
      </c>
      <c r="AI33" s="3383"/>
      <c r="AJ33" s="3384"/>
      <c r="AK33" s="975"/>
      <c r="AL33" s="975"/>
      <c r="AM33" s="992"/>
      <c r="AN33" s="1295"/>
      <c r="AO33" s="3379" t="s">
        <v>1144</v>
      </c>
      <c r="AP33" s="3380"/>
      <c r="AQ33" s="3380"/>
      <c r="AR33" s="3380"/>
      <c r="AS33" s="3380"/>
      <c r="AT33" s="3381"/>
    </row>
    <row r="34" spans="2:46" ht="30" customHeight="1" thickBot="1">
      <c r="B34" s="819"/>
      <c r="C34" s="1284">
        <v>2</v>
      </c>
      <c r="D34" s="3339"/>
      <c r="E34" s="3340"/>
      <c r="F34" s="3340"/>
      <c r="G34" s="1289">
        <v>7</v>
      </c>
      <c r="H34" s="1310"/>
      <c r="I34" s="829"/>
      <c r="J34" s="3401" t="s">
        <v>1170</v>
      </c>
      <c r="K34" s="3402"/>
      <c r="L34" s="3402"/>
      <c r="M34" s="3402"/>
      <c r="N34" s="3402"/>
      <c r="O34" s="3402"/>
      <c r="P34" s="3403"/>
      <c r="Q34" s="3315" t="str">
        <f>IF(Q31="","",IF(M14="","",Q32*M14))</f>
        <v/>
      </c>
      <c r="R34" s="3316"/>
      <c r="S34" s="825"/>
      <c r="T34" s="3355" t="s">
        <v>679</v>
      </c>
      <c r="U34" s="3355"/>
      <c r="V34" s="3355"/>
      <c r="W34" s="3355"/>
      <c r="X34" s="3355"/>
      <c r="Y34" s="3355"/>
      <c r="Z34" s="3355"/>
      <c r="AA34" s="3355"/>
      <c r="AB34" s="3355"/>
      <c r="AC34" s="3355"/>
      <c r="AD34" s="3355"/>
      <c r="AE34" s="3355"/>
      <c r="AF34" s="3355"/>
      <c r="AG34" s="3355"/>
      <c r="AH34" s="3355"/>
      <c r="AI34" s="3355"/>
      <c r="AJ34" s="3355"/>
      <c r="AK34" s="3355"/>
      <c r="AL34" s="1316"/>
      <c r="AM34" s="816"/>
      <c r="AO34" s="3379" t="s">
        <v>1145</v>
      </c>
      <c r="AP34" s="3380"/>
      <c r="AQ34" s="3380"/>
      <c r="AR34" s="3380"/>
      <c r="AS34" s="3380"/>
      <c r="AT34" s="3381"/>
    </row>
    <row r="35" spans="2:46" ht="30" customHeight="1" thickTop="1" thickBot="1">
      <c r="B35" s="819"/>
      <c r="C35" s="1284">
        <v>3</v>
      </c>
      <c r="D35" s="3339"/>
      <c r="E35" s="3340"/>
      <c r="F35" s="3340"/>
      <c r="G35" s="1289">
        <v>8</v>
      </c>
      <c r="H35" s="1310"/>
      <c r="I35" s="829"/>
      <c r="J35" s="3349" t="s">
        <v>1175</v>
      </c>
      <c r="K35" s="3350"/>
      <c r="L35" s="3350"/>
      <c r="M35" s="3350"/>
      <c r="N35" s="3350"/>
      <c r="O35" s="3350"/>
      <c r="P35" s="3351"/>
      <c r="Q35" s="3317" t="str">
        <f>IF(SUM(D32:F37,H32:H37)=0,"",SUM(D32:F37,H32:H37))</f>
        <v/>
      </c>
      <c r="R35" s="3318"/>
      <c r="S35" s="825"/>
      <c r="T35" s="3342"/>
      <c r="U35" s="3342"/>
      <c r="V35" s="3342"/>
      <c r="W35" s="3342"/>
      <c r="X35" s="3342"/>
      <c r="Y35" s="3342"/>
      <c r="Z35" s="3342"/>
      <c r="AA35" s="3342"/>
      <c r="AB35" s="3342"/>
      <c r="AC35" s="3342"/>
      <c r="AD35" s="3342"/>
      <c r="AE35" s="3342"/>
      <c r="AF35" s="3342"/>
      <c r="AG35" s="3342"/>
      <c r="AH35" s="3342"/>
      <c r="AI35" s="3342"/>
      <c r="AJ35" s="3342"/>
      <c r="AK35" s="3342"/>
      <c r="AL35" s="1304"/>
      <c r="AM35" s="816"/>
      <c r="AO35" s="3373" t="s">
        <v>1146</v>
      </c>
      <c r="AP35" s="3374"/>
      <c r="AQ35" s="3374"/>
      <c r="AR35" s="3374"/>
      <c r="AS35" s="3374"/>
      <c r="AT35" s="3375"/>
    </row>
    <row r="36" spans="2:46" ht="30" customHeight="1" thickBot="1">
      <c r="B36" s="819"/>
      <c r="C36" s="1284">
        <v>4</v>
      </c>
      <c r="D36" s="3339"/>
      <c r="E36" s="3340"/>
      <c r="F36" s="3340"/>
      <c r="G36" s="1289">
        <v>9</v>
      </c>
      <c r="H36" s="1310"/>
      <c r="I36" s="829"/>
      <c r="J36" s="3352" t="s">
        <v>1159</v>
      </c>
      <c r="K36" s="3353"/>
      <c r="L36" s="3353"/>
      <c r="M36" s="3353"/>
      <c r="N36" s="3353"/>
      <c r="O36" s="3353"/>
      <c r="P36" s="3336"/>
      <c r="Q36" s="3337"/>
      <c r="R36" s="3338"/>
      <c r="S36" s="825"/>
      <c r="T36" s="3342"/>
      <c r="U36" s="3342"/>
      <c r="V36" s="3342"/>
      <c r="W36" s="3342"/>
      <c r="X36" s="3342"/>
      <c r="Y36" s="3342"/>
      <c r="Z36" s="3342"/>
      <c r="AA36" s="3342"/>
      <c r="AB36" s="3342"/>
      <c r="AC36" s="3342"/>
      <c r="AD36" s="3342"/>
      <c r="AE36" s="3342"/>
      <c r="AF36" s="3342"/>
      <c r="AG36" s="3342"/>
      <c r="AH36" s="3342"/>
      <c r="AI36" s="3342"/>
      <c r="AJ36" s="3342"/>
      <c r="AK36" s="3342"/>
      <c r="AL36" s="1304"/>
      <c r="AM36" s="816"/>
    </row>
    <row r="37" spans="2:46" ht="30" customHeight="1" thickBot="1">
      <c r="B37" s="819"/>
      <c r="C37" s="1284">
        <v>5</v>
      </c>
      <c r="D37" s="3339"/>
      <c r="E37" s="3340"/>
      <c r="F37" s="3340"/>
      <c r="G37" s="1289">
        <v>10</v>
      </c>
      <c r="H37" s="1310"/>
      <c r="J37" s="3319" t="s">
        <v>1172</v>
      </c>
      <c r="K37" s="3320"/>
      <c r="L37" s="3320"/>
      <c r="M37" s="3320"/>
      <c r="N37" s="3320"/>
      <c r="O37" s="3320"/>
      <c r="P37" s="3321"/>
      <c r="Q37" s="3322"/>
      <c r="R37" s="3323"/>
      <c r="S37" s="825"/>
      <c r="T37" s="3342"/>
      <c r="U37" s="3342"/>
      <c r="V37" s="3342"/>
      <c r="W37" s="3342"/>
      <c r="X37" s="3342"/>
      <c r="Y37" s="3342"/>
      <c r="Z37" s="3342"/>
      <c r="AA37" s="3342"/>
      <c r="AB37" s="3342"/>
      <c r="AC37" s="3342"/>
      <c r="AD37" s="3342"/>
      <c r="AE37" s="3342"/>
      <c r="AF37" s="3342"/>
      <c r="AG37" s="3342"/>
      <c r="AH37" s="3342"/>
      <c r="AI37" s="3342"/>
      <c r="AJ37" s="3342"/>
      <c r="AK37" s="3342"/>
      <c r="AL37" s="1304"/>
      <c r="AM37" s="816"/>
    </row>
    <row r="38" spans="2:46" ht="30" customHeight="1" thickBot="1">
      <c r="B38" s="819"/>
      <c r="C38" s="3329"/>
      <c r="D38" s="1879"/>
      <c r="E38" s="1879"/>
      <c r="F38" s="1879"/>
      <c r="G38" s="1879"/>
      <c r="H38" s="1879"/>
      <c r="I38" s="3330"/>
      <c r="J38" s="3319" t="s">
        <v>1171</v>
      </c>
      <c r="K38" s="3320"/>
      <c r="L38" s="3320"/>
      <c r="M38" s="3320"/>
      <c r="N38" s="3320"/>
      <c r="O38" s="3320"/>
      <c r="P38" s="3339"/>
      <c r="Q38" s="3340"/>
      <c r="R38" s="3341"/>
      <c r="S38" s="825"/>
      <c r="T38" s="3342"/>
      <c r="U38" s="3342"/>
      <c r="V38" s="3342"/>
      <c r="W38" s="3342"/>
      <c r="X38" s="3342"/>
      <c r="Y38" s="3342"/>
      <c r="Z38" s="3342"/>
      <c r="AA38" s="3342"/>
      <c r="AB38" s="3342"/>
      <c r="AC38" s="3342"/>
      <c r="AD38" s="3342"/>
      <c r="AE38" s="3342"/>
      <c r="AF38" s="3342"/>
      <c r="AG38" s="3342"/>
      <c r="AH38" s="3342"/>
      <c r="AI38" s="3342"/>
      <c r="AJ38" s="3342"/>
      <c r="AK38" s="3342"/>
      <c r="AL38" s="1304"/>
      <c r="AM38" s="816"/>
    </row>
    <row r="39" spans="2:46" ht="30" customHeight="1" thickBot="1">
      <c r="B39" s="819"/>
      <c r="C39" s="3331"/>
      <c r="D39" s="2242"/>
      <c r="E39" s="2242"/>
      <c r="F39" s="2242"/>
      <c r="G39" s="2242"/>
      <c r="H39" s="2242"/>
      <c r="I39" s="3332"/>
      <c r="J39" s="3324" t="s">
        <v>1173</v>
      </c>
      <c r="K39" s="3325"/>
      <c r="L39" s="3325"/>
      <c r="M39" s="3325"/>
      <c r="N39" s="3325"/>
      <c r="O39" s="3325"/>
      <c r="P39" s="3326" t="str">
        <f>IF(OR(P37="",P38=""),"",P37*P38)</f>
        <v/>
      </c>
      <c r="Q39" s="3327"/>
      <c r="R39" s="3328"/>
      <c r="S39" s="595"/>
      <c r="T39" s="3342"/>
      <c r="U39" s="3342"/>
      <c r="V39" s="3342"/>
      <c r="W39" s="3342"/>
      <c r="X39" s="3342"/>
      <c r="Y39" s="3342"/>
      <c r="Z39" s="3342"/>
      <c r="AA39" s="3342"/>
      <c r="AB39" s="3342"/>
      <c r="AC39" s="3342"/>
      <c r="AD39" s="3342"/>
      <c r="AE39" s="3342"/>
      <c r="AF39" s="3342"/>
      <c r="AG39" s="3342"/>
      <c r="AH39" s="3342"/>
      <c r="AI39" s="3342"/>
      <c r="AJ39" s="3342"/>
      <c r="AK39" s="3342"/>
      <c r="AL39" s="1304"/>
      <c r="AM39" s="816"/>
    </row>
    <row r="40" spans="2:46" ht="30" customHeight="1" thickTop="1" thickBot="1">
      <c r="B40" s="819"/>
      <c r="C40" s="3365" t="s">
        <v>974</v>
      </c>
      <c r="D40" s="3366"/>
      <c r="E40" s="3366"/>
      <c r="F40" s="3367"/>
      <c r="G40" s="3368"/>
      <c r="H40" s="3369"/>
      <c r="I40" s="3369"/>
      <c r="J40" s="3369"/>
      <c r="K40" s="3370"/>
      <c r="L40" s="3371" t="s">
        <v>1160</v>
      </c>
      <c r="M40" s="3371"/>
      <c r="N40" s="3359"/>
      <c r="O40" s="3360"/>
      <c r="P40" s="3360"/>
      <c r="Q40" s="3360"/>
      <c r="R40" s="3361"/>
      <c r="S40" s="764"/>
      <c r="T40" s="3342"/>
      <c r="U40" s="3342"/>
      <c r="V40" s="3342"/>
      <c r="W40" s="3342"/>
      <c r="X40" s="3342"/>
      <c r="Y40" s="3342"/>
      <c r="Z40" s="3342"/>
      <c r="AA40" s="3342"/>
      <c r="AB40" s="3342"/>
      <c r="AC40" s="3342"/>
      <c r="AD40" s="3342"/>
      <c r="AE40" s="3342"/>
      <c r="AF40" s="3342"/>
      <c r="AG40" s="3342"/>
      <c r="AH40" s="3342"/>
      <c r="AI40" s="3342"/>
      <c r="AJ40" s="3342"/>
      <c r="AK40" s="3342"/>
      <c r="AL40" s="1304"/>
      <c r="AM40" s="816"/>
    </row>
    <row r="41" spans="2:46" ht="30" customHeight="1" thickBot="1">
      <c r="B41" s="819"/>
      <c r="C41" s="3357" t="s">
        <v>1154</v>
      </c>
      <c r="D41" s="3358"/>
      <c r="E41" s="3358"/>
      <c r="F41" s="3358"/>
      <c r="G41" s="3362"/>
      <c r="H41" s="3363"/>
      <c r="I41" s="3363"/>
      <c r="J41" s="3363"/>
      <c r="K41" s="3363"/>
      <c r="L41" s="3363"/>
      <c r="M41" s="3363"/>
      <c r="N41" s="3363"/>
      <c r="O41" s="3363"/>
      <c r="P41" s="3363"/>
      <c r="Q41" s="3363"/>
      <c r="R41" s="3364"/>
      <c r="S41" s="764"/>
      <c r="T41" s="1297"/>
      <c r="U41" s="1297"/>
      <c r="V41" s="1297"/>
      <c r="W41" s="1297"/>
      <c r="X41" s="1297"/>
      <c r="Y41" s="1297"/>
      <c r="Z41" s="1297"/>
      <c r="AA41" s="1297"/>
      <c r="AB41" s="1297"/>
      <c r="AC41" s="1297"/>
      <c r="AD41" s="1297"/>
      <c r="AE41" s="1297"/>
      <c r="AF41" s="1297"/>
      <c r="AG41" s="1297"/>
      <c r="AH41" s="1297"/>
      <c r="AI41" s="1297"/>
      <c r="AJ41" s="1297"/>
      <c r="AK41" s="1297"/>
      <c r="AL41" s="1305"/>
      <c r="AM41" s="816"/>
    </row>
    <row r="42" spans="2:46" ht="30" customHeight="1" thickTop="1" thickBot="1">
      <c r="B42" s="819"/>
      <c r="C42" s="3342"/>
      <c r="D42" s="3342"/>
      <c r="E42" s="3342"/>
      <c r="F42" s="3342"/>
      <c r="G42" s="3342"/>
      <c r="H42" s="3342"/>
      <c r="I42" s="3342"/>
      <c r="J42" s="3342"/>
      <c r="K42" s="3342"/>
      <c r="L42" s="3342"/>
      <c r="M42" s="3342"/>
      <c r="N42" s="3342"/>
      <c r="O42" s="3342"/>
      <c r="P42" s="3342"/>
      <c r="Q42" s="3342"/>
      <c r="R42" s="3342"/>
      <c r="S42" s="3342"/>
      <c r="T42" s="3343"/>
      <c r="U42" s="3343"/>
      <c r="V42" s="3343"/>
      <c r="W42" s="3343"/>
      <c r="X42" s="3343"/>
      <c r="Y42" s="3343"/>
      <c r="Z42" s="3343"/>
      <c r="AA42" s="3343"/>
      <c r="AB42" s="3343"/>
      <c r="AC42" s="3343"/>
      <c r="AD42" s="3343"/>
      <c r="AE42" s="3343"/>
      <c r="AF42" s="3343"/>
      <c r="AG42" s="3343"/>
      <c r="AH42" s="3343"/>
      <c r="AI42" s="3343"/>
      <c r="AJ42" s="3343"/>
      <c r="AK42" s="3343"/>
      <c r="AL42" s="1304"/>
      <c r="AM42" s="816"/>
    </row>
    <row r="43" spans="2:46" ht="30" customHeight="1" thickBot="1">
      <c r="B43" s="819"/>
      <c r="C43" s="3343"/>
      <c r="D43" s="3343"/>
      <c r="E43" s="3343"/>
      <c r="F43" s="3343"/>
      <c r="G43" s="3343"/>
      <c r="H43" s="3343"/>
      <c r="I43" s="3343"/>
      <c r="J43" s="3343"/>
      <c r="K43" s="3343"/>
      <c r="L43" s="3343"/>
      <c r="M43" s="3343"/>
      <c r="N43" s="3343"/>
      <c r="O43" s="3343"/>
      <c r="P43" s="3343"/>
      <c r="Q43" s="3343"/>
      <c r="R43" s="3343"/>
      <c r="S43" s="3343"/>
      <c r="T43" s="3343"/>
      <c r="U43" s="3343"/>
      <c r="V43" s="3343"/>
      <c r="W43" s="3343"/>
      <c r="X43" s="3343"/>
      <c r="Y43" s="3343"/>
      <c r="Z43" s="3343"/>
      <c r="AA43" s="3343"/>
      <c r="AB43" s="3343"/>
      <c r="AC43" s="3343"/>
      <c r="AD43" s="3343"/>
      <c r="AE43" s="3343"/>
      <c r="AF43" s="3343"/>
      <c r="AG43" s="3343"/>
      <c r="AH43" s="3343"/>
      <c r="AI43" s="3343"/>
      <c r="AJ43" s="3343"/>
      <c r="AK43" s="3343"/>
      <c r="AL43" s="1304"/>
      <c r="AM43" s="816"/>
    </row>
    <row r="44" spans="2:46" ht="30" customHeight="1" thickBot="1">
      <c r="B44" s="815"/>
      <c r="C44" s="3308"/>
      <c r="D44" s="3308"/>
      <c r="E44" s="3308"/>
      <c r="F44" s="3308"/>
      <c r="G44" s="3308"/>
      <c r="H44" s="3308"/>
      <c r="I44" s="3308"/>
      <c r="J44" s="3308"/>
      <c r="K44" s="3308"/>
      <c r="L44" s="3308"/>
      <c r="M44" s="3308"/>
      <c r="N44" s="3308"/>
      <c r="O44" s="3308"/>
      <c r="P44" s="3308"/>
      <c r="Q44" s="3308"/>
      <c r="R44" s="3308"/>
      <c r="S44" s="3308"/>
      <c r="T44" s="3308"/>
      <c r="U44" s="3308"/>
      <c r="V44" s="3308"/>
      <c r="W44" s="3308"/>
      <c r="X44" s="3308"/>
      <c r="Y44" s="3308"/>
      <c r="Z44" s="3308"/>
      <c r="AA44" s="3308"/>
      <c r="AB44" s="3308"/>
      <c r="AC44" s="3308"/>
      <c r="AD44" s="3308"/>
      <c r="AE44" s="3308"/>
      <c r="AF44" s="3308"/>
      <c r="AG44" s="3308"/>
      <c r="AH44" s="3308"/>
      <c r="AI44" s="3308"/>
      <c r="AJ44" s="3308"/>
      <c r="AK44" s="3308"/>
      <c r="AL44" s="1306"/>
      <c r="AM44" s="813"/>
    </row>
    <row r="45" spans="2:46" ht="15" thickTop="1"/>
  </sheetData>
  <sheetProtection algorithmName="SHA-512" hashValue="RkD/AkpIm706I+fg/yXJDGyJXtt5Q/dVgE2lqT4EXMeMz3VeAbsKcGQ5xNLb6cTEwZRAY/eD/VsCUgihUeB6hg==" saltValue="Azzv5Xml59GkkVN2QhBNQg==" spinCount="100000" sheet="1" selectLockedCells="1"/>
  <mergeCells count="150">
    <mergeCell ref="AH20:AJ20"/>
    <mergeCell ref="V15:Y18"/>
    <mergeCell ref="S15:T18"/>
    <mergeCell ref="AB15:AE18"/>
    <mergeCell ref="AH15:AJ18"/>
    <mergeCell ref="W6:AC6"/>
    <mergeCell ref="AD6:AG6"/>
    <mergeCell ref="AI6:AK6"/>
    <mergeCell ref="D7:G7"/>
    <mergeCell ref="I7:U7"/>
    <mergeCell ref="W7:AC7"/>
    <mergeCell ref="AD7:AK7"/>
    <mergeCell ref="I12:R12"/>
    <mergeCell ref="AH12:AK12"/>
    <mergeCell ref="W10:AC10"/>
    <mergeCell ref="C14:L14"/>
    <mergeCell ref="C15:L15"/>
    <mergeCell ref="M14:Q14"/>
    <mergeCell ref="M15:Q15"/>
    <mergeCell ref="AG14:AK14"/>
    <mergeCell ref="S13:AE14"/>
    <mergeCell ref="C16:P16"/>
    <mergeCell ref="S19:T19"/>
    <mergeCell ref="S20:T20"/>
    <mergeCell ref="F4:AH4"/>
    <mergeCell ref="AJ1:AM1"/>
    <mergeCell ref="E2:AH2"/>
    <mergeCell ref="AI2:AM2"/>
    <mergeCell ref="E3:AH3"/>
    <mergeCell ref="AK3:AM3"/>
    <mergeCell ref="D11:G11"/>
    <mergeCell ref="T11:U11"/>
    <mergeCell ref="W11:AC11"/>
    <mergeCell ref="AD11:AK11"/>
    <mergeCell ref="I11:R11"/>
    <mergeCell ref="AD10:AK10"/>
    <mergeCell ref="D8:G8"/>
    <mergeCell ref="I8:U8"/>
    <mergeCell ref="W8:AC8"/>
    <mergeCell ref="AD8:AK8"/>
    <mergeCell ref="D9:G9"/>
    <mergeCell ref="I9:U9"/>
    <mergeCell ref="W9:AC9"/>
    <mergeCell ref="AD9:AK9"/>
    <mergeCell ref="D10:G10"/>
    <mergeCell ref="I10:O10"/>
    <mergeCell ref="Q10:R10"/>
    <mergeCell ref="T10:U10"/>
    <mergeCell ref="AO35:AT35"/>
    <mergeCell ref="AO29:AT29"/>
    <mergeCell ref="AO30:AT30"/>
    <mergeCell ref="AO31:AT31"/>
    <mergeCell ref="AO33:AT33"/>
    <mergeCell ref="AO34:AT34"/>
    <mergeCell ref="D34:F34"/>
    <mergeCell ref="D35:F35"/>
    <mergeCell ref="S23:T23"/>
    <mergeCell ref="S28:T28"/>
    <mergeCell ref="AH30:AJ30"/>
    <mergeCell ref="T33:AB33"/>
    <mergeCell ref="AD33:AE33"/>
    <mergeCell ref="AI33:AJ33"/>
    <mergeCell ref="J32:P33"/>
    <mergeCell ref="Q32:R33"/>
    <mergeCell ref="D32:F33"/>
    <mergeCell ref="H32:H33"/>
    <mergeCell ref="F28:Q29"/>
    <mergeCell ref="J34:P34"/>
    <mergeCell ref="S21:T21"/>
    <mergeCell ref="S22:T22"/>
    <mergeCell ref="V23:Y23"/>
    <mergeCell ref="V24:Y24"/>
    <mergeCell ref="V25:Y25"/>
    <mergeCell ref="V27:Y27"/>
    <mergeCell ref="S24:T24"/>
    <mergeCell ref="S25:T25"/>
    <mergeCell ref="S26:T26"/>
    <mergeCell ref="S27:T27"/>
    <mergeCell ref="C42:AK42"/>
    <mergeCell ref="BB25:BC25"/>
    <mergeCell ref="C30:I30"/>
    <mergeCell ref="J35:P35"/>
    <mergeCell ref="J36:O36"/>
    <mergeCell ref="D37:F37"/>
    <mergeCell ref="V26:Y26"/>
    <mergeCell ref="AB30:AE30"/>
    <mergeCell ref="AB26:AE26"/>
    <mergeCell ref="AB27:AE27"/>
    <mergeCell ref="T34:AK34"/>
    <mergeCell ref="T35:AK35"/>
    <mergeCell ref="Z31:AF31"/>
    <mergeCell ref="F27:Q27"/>
    <mergeCell ref="J38:O38"/>
    <mergeCell ref="C41:F41"/>
    <mergeCell ref="T38:AK38"/>
    <mergeCell ref="N40:R40"/>
    <mergeCell ref="G41:R41"/>
    <mergeCell ref="D36:F36"/>
    <mergeCell ref="C40:F40"/>
    <mergeCell ref="G40:K40"/>
    <mergeCell ref="L40:M40"/>
    <mergeCell ref="T36:AK36"/>
    <mergeCell ref="T37:AK37"/>
    <mergeCell ref="T39:AK39"/>
    <mergeCell ref="J31:P31"/>
    <mergeCell ref="V19:Y19"/>
    <mergeCell ref="V20:Y20"/>
    <mergeCell ref="V21:Y21"/>
    <mergeCell ref="V22:Y22"/>
    <mergeCell ref="AB28:AE28"/>
    <mergeCell ref="AH26:AJ26"/>
    <mergeCell ref="AH27:AJ27"/>
    <mergeCell ref="AH28:AJ28"/>
    <mergeCell ref="AH21:AJ21"/>
    <mergeCell ref="AH22:AJ22"/>
    <mergeCell ref="AH23:AJ23"/>
    <mergeCell ref="AH24:AJ24"/>
    <mergeCell ref="AH25:AJ25"/>
    <mergeCell ref="AB19:AE19"/>
    <mergeCell ref="AB20:AE20"/>
    <mergeCell ref="AB21:AE21"/>
    <mergeCell ref="AB22:AE22"/>
    <mergeCell ref="AB23:AE23"/>
    <mergeCell ref="AB24:AE24"/>
    <mergeCell ref="AB25:AE25"/>
    <mergeCell ref="V28:Y28"/>
    <mergeCell ref="AH19:AJ19"/>
    <mergeCell ref="AG31:AL31"/>
    <mergeCell ref="F18:Q21"/>
    <mergeCell ref="F23:Q26"/>
    <mergeCell ref="F22:Q22"/>
    <mergeCell ref="F17:Q17"/>
    <mergeCell ref="C44:AK44"/>
    <mergeCell ref="T30:V30"/>
    <mergeCell ref="T31:X31"/>
    <mergeCell ref="J30:R30"/>
    <mergeCell ref="Q31:R31"/>
    <mergeCell ref="Q34:R34"/>
    <mergeCell ref="Q35:R35"/>
    <mergeCell ref="J37:O37"/>
    <mergeCell ref="P37:R37"/>
    <mergeCell ref="J39:O39"/>
    <mergeCell ref="P39:R39"/>
    <mergeCell ref="C38:I38"/>
    <mergeCell ref="C39:I39"/>
    <mergeCell ref="C31:I31"/>
    <mergeCell ref="P36:R36"/>
    <mergeCell ref="P38:R38"/>
    <mergeCell ref="T40:AK40"/>
    <mergeCell ref="C43:AK43"/>
  </mergeCells>
  <conditionalFormatting sqref="M14 AG14">
    <cfRule type="expression" dxfId="2" priority="236">
      <formula>#REF!&lt;$BC$23</formula>
    </cfRule>
  </conditionalFormatting>
  <conditionalFormatting sqref="M15">
    <cfRule type="expression" dxfId="1" priority="1">
      <formula>#REF!&lt;$BC$23</formula>
    </cfRule>
  </conditionalFormatting>
  <conditionalFormatting sqref="P16">
    <cfRule type="expression" dxfId="0" priority="4">
      <formula>$P$16&lt;30</formula>
    </cfRule>
  </conditionalFormatting>
  <dataValidations count="2">
    <dataValidation type="list" allowBlank="1" showInputMessage="1" sqref="T11:U11" xr:uid="{00000000-0002-0000-0F00-000000000000}">
      <formula1>$T$10</formula1>
    </dataValidation>
    <dataValidation type="list" allowBlank="1" showInputMessage="1" sqref="T10:U10" xr:uid="{045963D6-7D6B-44B0-8D07-0B0EB222C3FE}">
      <formula1>$G$40</formula1>
    </dataValidation>
  </dataValidations>
  <printOptions horizontalCentered="1"/>
  <pageMargins left="0.7" right="0.7" top="0.75" bottom="0.75" header="0.3" footer="0.3"/>
  <pageSetup scale="58" fitToHeight="0" orientation="portrait" r:id="rId1"/>
  <drawing r:id="rId2"/>
  <legacyDrawing r:id="rId3"/>
  <extLst>
    <ext xmlns:x14="http://schemas.microsoft.com/office/spreadsheetml/2009/9/main" uri="{CCE6A557-97BC-4b89-ADB6-D9C93CAAB3DF}">
      <x14:dataValidations xmlns:xm="http://schemas.microsoft.com/office/excel/2006/main" count="5">
        <x14:dataValidation type="list" allowBlank="1" showInputMessage="1" xr:uid="{00000000-0002-0000-0F00-000001000000}">
          <x14:formula1>
            <xm:f>List!$F$25:$F$29</xm:f>
          </x14:formula1>
          <xm:sqref>AD6:AE6</xm:sqref>
        </x14:dataValidation>
        <x14:dataValidation type="list" allowBlank="1" showInputMessage="1" xr:uid="{00000000-0002-0000-0F00-000002000000}">
          <x14:formula1>
            <xm:f>List!$F$37:$F$43</xm:f>
          </x14:formula1>
          <xm:sqref>AI6:AJ6</xm:sqref>
        </x14:dataValidation>
        <x14:dataValidation type="list" showInputMessage="1" xr:uid="{00000000-0002-0000-0F00-000003000000}">
          <x14:formula1>
            <xm:f>List!$B$17:$B$18</xm:f>
          </x14:formula1>
          <xm:sqref>I11</xm:sqref>
        </x14:dataValidation>
        <x14:dataValidation type="list" allowBlank="1" showInputMessage="1" xr:uid="{00000000-0002-0000-0F00-000004000000}">
          <x14:formula1>
            <xm:f>List!$C$2:$C$3</xm:f>
          </x14:formula1>
          <xm:sqref>Q10:R10</xm:sqref>
        </x14:dataValidation>
        <x14:dataValidation type="list" errorStyle="information" showInputMessage="1" xr:uid="{00000000-0002-0000-0F00-000005000000}">
          <x14:formula1>
            <xm:f>List!$B$2:$B$3</xm:f>
          </x14:formula1>
          <xm:sqref>I10:O10</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4">
    <tabColor rgb="FFFF3399"/>
    <pageSetUpPr fitToPage="1"/>
  </sheetPr>
  <dimension ref="A1:AN66"/>
  <sheetViews>
    <sheetView zoomScale="89" zoomScaleNormal="89" workbookViewId="0">
      <selection activeCell="G10" sqref="G10:M10"/>
    </sheetView>
  </sheetViews>
  <sheetFormatPr defaultRowHeight="14.4"/>
  <cols>
    <col min="1" max="1" width="0.6640625" customWidth="1"/>
    <col min="2" max="2" width="3.88671875" customWidth="1"/>
    <col min="3" max="3" width="4" customWidth="1"/>
    <col min="4" max="4" width="2.44140625" customWidth="1"/>
    <col min="5" max="5" width="1.6640625" customWidth="1"/>
    <col min="6" max="6" width="11" customWidth="1"/>
    <col min="7" max="7" width="2.5546875" customWidth="1"/>
    <col min="8" max="8" width="3" customWidth="1"/>
    <col min="9" max="10" width="3.109375" customWidth="1"/>
    <col min="11" max="11" width="2.44140625" customWidth="1"/>
    <col min="12" max="12" width="2.88671875" customWidth="1"/>
    <col min="13" max="13" width="0.6640625" customWidth="1"/>
    <col min="14" max="14" width="5.33203125" customWidth="1"/>
    <col min="15" max="15" width="10.5546875" customWidth="1"/>
    <col min="16" max="16" width="5.109375" customWidth="1"/>
    <col min="17" max="17" width="7.44140625" style="112" customWidth="1"/>
    <col min="18" max="18" width="6.6640625" style="112" customWidth="1"/>
    <col min="19" max="19" width="4.33203125" style="112" customWidth="1"/>
    <col min="20" max="20" width="2" customWidth="1"/>
    <col min="21" max="22" width="2.6640625" customWidth="1"/>
    <col min="23" max="24" width="2.109375" customWidth="1"/>
    <col min="25" max="25" width="4.6640625" customWidth="1"/>
    <col min="26" max="26" width="1.6640625" customWidth="1"/>
    <col min="27" max="27" width="6.6640625" customWidth="1"/>
    <col min="28" max="29" width="1.88671875" customWidth="1"/>
    <col min="30" max="30" width="3" customWidth="1"/>
    <col min="31" max="31" width="4" customWidth="1"/>
    <col min="32" max="32" width="4.33203125" customWidth="1"/>
    <col min="33" max="33" width="1.109375" customWidth="1"/>
    <col min="34" max="35" width="4.33203125" customWidth="1"/>
    <col min="36" max="36" width="5" customWidth="1"/>
    <col min="37" max="37" width="1.33203125" customWidth="1"/>
    <col min="257" max="257" width="0.6640625" customWidth="1"/>
    <col min="258" max="258" width="3.88671875" customWidth="1"/>
    <col min="259" max="259" width="4" customWidth="1"/>
    <col min="260" max="260" width="2.44140625" customWidth="1"/>
    <col min="261" max="261" width="1.6640625" customWidth="1"/>
    <col min="262" max="262" width="11" customWidth="1"/>
    <col min="263" max="263" width="2.5546875" customWidth="1"/>
    <col min="264" max="264" width="3" customWidth="1"/>
    <col min="265" max="266" width="3.109375" customWidth="1"/>
    <col min="267" max="267" width="2.44140625" customWidth="1"/>
    <col min="268" max="268" width="2.88671875" customWidth="1"/>
    <col min="269" max="269" width="0.6640625" customWidth="1"/>
    <col min="270" max="270" width="5.33203125" customWidth="1"/>
    <col min="271" max="271" width="10.5546875" customWidth="1"/>
    <col min="272" max="272" width="5.109375" customWidth="1"/>
    <col min="273" max="273" width="7.44140625" customWidth="1"/>
    <col min="274" max="274" width="6.6640625" customWidth="1"/>
    <col min="275" max="275" width="4.33203125" customWidth="1"/>
    <col min="276" max="276" width="2" customWidth="1"/>
    <col min="277" max="278" width="2.6640625" customWidth="1"/>
    <col min="279" max="280" width="2.109375" customWidth="1"/>
    <col min="281" max="281" width="4.6640625" customWidth="1"/>
    <col min="282" max="282" width="1.6640625" customWidth="1"/>
    <col min="283" max="283" width="6.6640625" customWidth="1"/>
    <col min="284" max="285" width="1.88671875" customWidth="1"/>
    <col min="286" max="286" width="3" customWidth="1"/>
    <col min="287" max="287" width="4" customWidth="1"/>
    <col min="288" max="288" width="4.33203125" customWidth="1"/>
    <col min="289" max="289" width="1.109375" customWidth="1"/>
    <col min="290" max="291" width="4.33203125" customWidth="1"/>
    <col min="292" max="292" width="5" customWidth="1"/>
    <col min="293" max="293" width="1.33203125" customWidth="1"/>
    <col min="513" max="513" width="0.6640625" customWidth="1"/>
    <col min="514" max="514" width="3.88671875" customWidth="1"/>
    <col min="515" max="515" width="4" customWidth="1"/>
    <col min="516" max="516" width="2.44140625" customWidth="1"/>
    <col min="517" max="517" width="1.6640625" customWidth="1"/>
    <col min="518" max="518" width="11" customWidth="1"/>
    <col min="519" max="519" width="2.5546875" customWidth="1"/>
    <col min="520" max="520" width="3" customWidth="1"/>
    <col min="521" max="522" width="3.109375" customWidth="1"/>
    <col min="523" max="523" width="2.44140625" customWidth="1"/>
    <col min="524" max="524" width="2.88671875" customWidth="1"/>
    <col min="525" max="525" width="0.6640625" customWidth="1"/>
    <col min="526" max="526" width="5.33203125" customWidth="1"/>
    <col min="527" max="527" width="10.5546875" customWidth="1"/>
    <col min="528" max="528" width="5.109375" customWidth="1"/>
    <col min="529" max="529" width="7.44140625" customWidth="1"/>
    <col min="530" max="530" width="6.6640625" customWidth="1"/>
    <col min="531" max="531" width="4.33203125" customWidth="1"/>
    <col min="532" max="532" width="2" customWidth="1"/>
    <col min="533" max="534" width="2.6640625" customWidth="1"/>
    <col min="535" max="536" width="2.109375" customWidth="1"/>
    <col min="537" max="537" width="4.6640625" customWidth="1"/>
    <col min="538" max="538" width="1.6640625" customWidth="1"/>
    <col min="539" max="539" width="6.6640625" customWidth="1"/>
    <col min="540" max="541" width="1.88671875" customWidth="1"/>
    <col min="542" max="542" width="3" customWidth="1"/>
    <col min="543" max="543" width="4" customWidth="1"/>
    <col min="544" max="544" width="4.33203125" customWidth="1"/>
    <col min="545" max="545" width="1.109375" customWidth="1"/>
    <col min="546" max="547" width="4.33203125" customWidth="1"/>
    <col min="548" max="548" width="5" customWidth="1"/>
    <col min="549" max="549" width="1.33203125" customWidth="1"/>
    <col min="769" max="769" width="0.6640625" customWidth="1"/>
    <col min="770" max="770" width="3.88671875" customWidth="1"/>
    <col min="771" max="771" width="4" customWidth="1"/>
    <col min="772" max="772" width="2.44140625" customWidth="1"/>
    <col min="773" max="773" width="1.6640625" customWidth="1"/>
    <col min="774" max="774" width="11" customWidth="1"/>
    <col min="775" max="775" width="2.5546875" customWidth="1"/>
    <col min="776" max="776" width="3" customWidth="1"/>
    <col min="777" max="778" width="3.109375" customWidth="1"/>
    <col min="779" max="779" width="2.44140625" customWidth="1"/>
    <col min="780" max="780" width="2.88671875" customWidth="1"/>
    <col min="781" max="781" width="0.6640625" customWidth="1"/>
    <col min="782" max="782" width="5.33203125" customWidth="1"/>
    <col min="783" max="783" width="10.5546875" customWidth="1"/>
    <col min="784" max="784" width="5.109375" customWidth="1"/>
    <col min="785" max="785" width="7.44140625" customWidth="1"/>
    <col min="786" max="786" width="6.6640625" customWidth="1"/>
    <col min="787" max="787" width="4.33203125" customWidth="1"/>
    <col min="788" max="788" width="2" customWidth="1"/>
    <col min="789" max="790" width="2.6640625" customWidth="1"/>
    <col min="791" max="792" width="2.109375" customWidth="1"/>
    <col min="793" max="793" width="4.6640625" customWidth="1"/>
    <col min="794" max="794" width="1.6640625" customWidth="1"/>
    <col min="795" max="795" width="6.6640625" customWidth="1"/>
    <col min="796" max="797" width="1.88671875" customWidth="1"/>
    <col min="798" max="798" width="3" customWidth="1"/>
    <col min="799" max="799" width="4" customWidth="1"/>
    <col min="800" max="800" width="4.33203125" customWidth="1"/>
    <col min="801" max="801" width="1.109375" customWidth="1"/>
    <col min="802" max="803" width="4.33203125" customWidth="1"/>
    <col min="804" max="804" width="5" customWidth="1"/>
    <col min="805" max="805" width="1.33203125" customWidth="1"/>
    <col min="1025" max="1025" width="0.6640625" customWidth="1"/>
    <col min="1026" max="1026" width="3.88671875" customWidth="1"/>
    <col min="1027" max="1027" width="4" customWidth="1"/>
    <col min="1028" max="1028" width="2.44140625" customWidth="1"/>
    <col min="1029" max="1029" width="1.6640625" customWidth="1"/>
    <col min="1030" max="1030" width="11" customWidth="1"/>
    <col min="1031" max="1031" width="2.5546875" customWidth="1"/>
    <col min="1032" max="1032" width="3" customWidth="1"/>
    <col min="1033" max="1034" width="3.109375" customWidth="1"/>
    <col min="1035" max="1035" width="2.44140625" customWidth="1"/>
    <col min="1036" max="1036" width="2.88671875" customWidth="1"/>
    <col min="1037" max="1037" width="0.6640625" customWidth="1"/>
    <col min="1038" max="1038" width="5.33203125" customWidth="1"/>
    <col min="1039" max="1039" width="10.5546875" customWidth="1"/>
    <col min="1040" max="1040" width="5.109375" customWidth="1"/>
    <col min="1041" max="1041" width="7.44140625" customWidth="1"/>
    <col min="1042" max="1042" width="6.6640625" customWidth="1"/>
    <col min="1043" max="1043" width="4.33203125" customWidth="1"/>
    <col min="1044" max="1044" width="2" customWidth="1"/>
    <col min="1045" max="1046" width="2.6640625" customWidth="1"/>
    <col min="1047" max="1048" width="2.109375" customWidth="1"/>
    <col min="1049" max="1049" width="4.6640625" customWidth="1"/>
    <col min="1050" max="1050" width="1.6640625" customWidth="1"/>
    <col min="1051" max="1051" width="6.6640625" customWidth="1"/>
    <col min="1052" max="1053" width="1.88671875" customWidth="1"/>
    <col min="1054" max="1054" width="3" customWidth="1"/>
    <col min="1055" max="1055" width="4" customWidth="1"/>
    <col min="1056" max="1056" width="4.33203125" customWidth="1"/>
    <col min="1057" max="1057" width="1.109375" customWidth="1"/>
    <col min="1058" max="1059" width="4.33203125" customWidth="1"/>
    <col min="1060" max="1060" width="5" customWidth="1"/>
    <col min="1061" max="1061" width="1.33203125" customWidth="1"/>
    <col min="1281" max="1281" width="0.6640625" customWidth="1"/>
    <col min="1282" max="1282" width="3.88671875" customWidth="1"/>
    <col min="1283" max="1283" width="4" customWidth="1"/>
    <col min="1284" max="1284" width="2.44140625" customWidth="1"/>
    <col min="1285" max="1285" width="1.6640625" customWidth="1"/>
    <col min="1286" max="1286" width="11" customWidth="1"/>
    <col min="1287" max="1287" width="2.5546875" customWidth="1"/>
    <col min="1288" max="1288" width="3" customWidth="1"/>
    <col min="1289" max="1290" width="3.109375" customWidth="1"/>
    <col min="1291" max="1291" width="2.44140625" customWidth="1"/>
    <col min="1292" max="1292" width="2.88671875" customWidth="1"/>
    <col min="1293" max="1293" width="0.6640625" customWidth="1"/>
    <col min="1294" max="1294" width="5.33203125" customWidth="1"/>
    <col min="1295" max="1295" width="10.5546875" customWidth="1"/>
    <col min="1296" max="1296" width="5.109375" customWidth="1"/>
    <col min="1297" max="1297" width="7.44140625" customWidth="1"/>
    <col min="1298" max="1298" width="6.6640625" customWidth="1"/>
    <col min="1299" max="1299" width="4.33203125" customWidth="1"/>
    <col min="1300" max="1300" width="2" customWidth="1"/>
    <col min="1301" max="1302" width="2.6640625" customWidth="1"/>
    <col min="1303" max="1304" width="2.109375" customWidth="1"/>
    <col min="1305" max="1305" width="4.6640625" customWidth="1"/>
    <col min="1306" max="1306" width="1.6640625" customWidth="1"/>
    <col min="1307" max="1307" width="6.6640625" customWidth="1"/>
    <col min="1308" max="1309" width="1.88671875" customWidth="1"/>
    <col min="1310" max="1310" width="3" customWidth="1"/>
    <col min="1311" max="1311" width="4" customWidth="1"/>
    <col min="1312" max="1312" width="4.33203125" customWidth="1"/>
    <col min="1313" max="1313" width="1.109375" customWidth="1"/>
    <col min="1314" max="1315" width="4.33203125" customWidth="1"/>
    <col min="1316" max="1316" width="5" customWidth="1"/>
    <col min="1317" max="1317" width="1.33203125" customWidth="1"/>
    <col min="1537" max="1537" width="0.6640625" customWidth="1"/>
    <col min="1538" max="1538" width="3.88671875" customWidth="1"/>
    <col min="1539" max="1539" width="4" customWidth="1"/>
    <col min="1540" max="1540" width="2.44140625" customWidth="1"/>
    <col min="1541" max="1541" width="1.6640625" customWidth="1"/>
    <col min="1542" max="1542" width="11" customWidth="1"/>
    <col min="1543" max="1543" width="2.5546875" customWidth="1"/>
    <col min="1544" max="1544" width="3" customWidth="1"/>
    <col min="1545" max="1546" width="3.109375" customWidth="1"/>
    <col min="1547" max="1547" width="2.44140625" customWidth="1"/>
    <col min="1548" max="1548" width="2.88671875" customWidth="1"/>
    <col min="1549" max="1549" width="0.6640625" customWidth="1"/>
    <col min="1550" max="1550" width="5.33203125" customWidth="1"/>
    <col min="1551" max="1551" width="10.5546875" customWidth="1"/>
    <col min="1552" max="1552" width="5.109375" customWidth="1"/>
    <col min="1553" max="1553" width="7.44140625" customWidth="1"/>
    <col min="1554" max="1554" width="6.6640625" customWidth="1"/>
    <col min="1555" max="1555" width="4.33203125" customWidth="1"/>
    <col min="1556" max="1556" width="2" customWidth="1"/>
    <col min="1557" max="1558" width="2.6640625" customWidth="1"/>
    <col min="1559" max="1560" width="2.109375" customWidth="1"/>
    <col min="1561" max="1561" width="4.6640625" customWidth="1"/>
    <col min="1562" max="1562" width="1.6640625" customWidth="1"/>
    <col min="1563" max="1563" width="6.6640625" customWidth="1"/>
    <col min="1564" max="1565" width="1.88671875" customWidth="1"/>
    <col min="1566" max="1566" width="3" customWidth="1"/>
    <col min="1567" max="1567" width="4" customWidth="1"/>
    <col min="1568" max="1568" width="4.33203125" customWidth="1"/>
    <col min="1569" max="1569" width="1.109375" customWidth="1"/>
    <col min="1570" max="1571" width="4.33203125" customWidth="1"/>
    <col min="1572" max="1572" width="5" customWidth="1"/>
    <col min="1573" max="1573" width="1.33203125" customWidth="1"/>
    <col min="1793" max="1793" width="0.6640625" customWidth="1"/>
    <col min="1794" max="1794" width="3.88671875" customWidth="1"/>
    <col min="1795" max="1795" width="4" customWidth="1"/>
    <col min="1796" max="1796" width="2.44140625" customWidth="1"/>
    <col min="1797" max="1797" width="1.6640625" customWidth="1"/>
    <col min="1798" max="1798" width="11" customWidth="1"/>
    <col min="1799" max="1799" width="2.5546875" customWidth="1"/>
    <col min="1800" max="1800" width="3" customWidth="1"/>
    <col min="1801" max="1802" width="3.109375" customWidth="1"/>
    <col min="1803" max="1803" width="2.44140625" customWidth="1"/>
    <col min="1804" max="1804" width="2.88671875" customWidth="1"/>
    <col min="1805" max="1805" width="0.6640625" customWidth="1"/>
    <col min="1806" max="1806" width="5.33203125" customWidth="1"/>
    <col min="1807" max="1807" width="10.5546875" customWidth="1"/>
    <col min="1808" max="1808" width="5.109375" customWidth="1"/>
    <col min="1809" max="1809" width="7.44140625" customWidth="1"/>
    <col min="1810" max="1810" width="6.6640625" customWidth="1"/>
    <col min="1811" max="1811" width="4.33203125" customWidth="1"/>
    <col min="1812" max="1812" width="2" customWidth="1"/>
    <col min="1813" max="1814" width="2.6640625" customWidth="1"/>
    <col min="1815" max="1816" width="2.109375" customWidth="1"/>
    <col min="1817" max="1817" width="4.6640625" customWidth="1"/>
    <col min="1818" max="1818" width="1.6640625" customWidth="1"/>
    <col min="1819" max="1819" width="6.6640625" customWidth="1"/>
    <col min="1820" max="1821" width="1.88671875" customWidth="1"/>
    <col min="1822" max="1822" width="3" customWidth="1"/>
    <col min="1823" max="1823" width="4" customWidth="1"/>
    <col min="1824" max="1824" width="4.33203125" customWidth="1"/>
    <col min="1825" max="1825" width="1.109375" customWidth="1"/>
    <col min="1826" max="1827" width="4.33203125" customWidth="1"/>
    <col min="1828" max="1828" width="5" customWidth="1"/>
    <col min="1829" max="1829" width="1.33203125" customWidth="1"/>
    <col min="2049" max="2049" width="0.6640625" customWidth="1"/>
    <col min="2050" max="2050" width="3.88671875" customWidth="1"/>
    <col min="2051" max="2051" width="4" customWidth="1"/>
    <col min="2052" max="2052" width="2.44140625" customWidth="1"/>
    <col min="2053" max="2053" width="1.6640625" customWidth="1"/>
    <col min="2054" max="2054" width="11" customWidth="1"/>
    <col min="2055" max="2055" width="2.5546875" customWidth="1"/>
    <col min="2056" max="2056" width="3" customWidth="1"/>
    <col min="2057" max="2058" width="3.109375" customWidth="1"/>
    <col min="2059" max="2059" width="2.44140625" customWidth="1"/>
    <col min="2060" max="2060" width="2.88671875" customWidth="1"/>
    <col min="2061" max="2061" width="0.6640625" customWidth="1"/>
    <col min="2062" max="2062" width="5.33203125" customWidth="1"/>
    <col min="2063" max="2063" width="10.5546875" customWidth="1"/>
    <col min="2064" max="2064" width="5.109375" customWidth="1"/>
    <col min="2065" max="2065" width="7.44140625" customWidth="1"/>
    <col min="2066" max="2066" width="6.6640625" customWidth="1"/>
    <col min="2067" max="2067" width="4.33203125" customWidth="1"/>
    <col min="2068" max="2068" width="2" customWidth="1"/>
    <col min="2069" max="2070" width="2.6640625" customWidth="1"/>
    <col min="2071" max="2072" width="2.109375" customWidth="1"/>
    <col min="2073" max="2073" width="4.6640625" customWidth="1"/>
    <col min="2074" max="2074" width="1.6640625" customWidth="1"/>
    <col min="2075" max="2075" width="6.6640625" customWidth="1"/>
    <col min="2076" max="2077" width="1.88671875" customWidth="1"/>
    <col min="2078" max="2078" width="3" customWidth="1"/>
    <col min="2079" max="2079" width="4" customWidth="1"/>
    <col min="2080" max="2080" width="4.33203125" customWidth="1"/>
    <col min="2081" max="2081" width="1.109375" customWidth="1"/>
    <col min="2082" max="2083" width="4.33203125" customWidth="1"/>
    <col min="2084" max="2084" width="5" customWidth="1"/>
    <col min="2085" max="2085" width="1.33203125" customWidth="1"/>
    <col min="2305" max="2305" width="0.6640625" customWidth="1"/>
    <col min="2306" max="2306" width="3.88671875" customWidth="1"/>
    <col min="2307" max="2307" width="4" customWidth="1"/>
    <col min="2308" max="2308" width="2.44140625" customWidth="1"/>
    <col min="2309" max="2309" width="1.6640625" customWidth="1"/>
    <col min="2310" max="2310" width="11" customWidth="1"/>
    <col min="2311" max="2311" width="2.5546875" customWidth="1"/>
    <col min="2312" max="2312" width="3" customWidth="1"/>
    <col min="2313" max="2314" width="3.109375" customWidth="1"/>
    <col min="2315" max="2315" width="2.44140625" customWidth="1"/>
    <col min="2316" max="2316" width="2.88671875" customWidth="1"/>
    <col min="2317" max="2317" width="0.6640625" customWidth="1"/>
    <col min="2318" max="2318" width="5.33203125" customWidth="1"/>
    <col min="2319" max="2319" width="10.5546875" customWidth="1"/>
    <col min="2320" max="2320" width="5.109375" customWidth="1"/>
    <col min="2321" max="2321" width="7.44140625" customWidth="1"/>
    <col min="2322" max="2322" width="6.6640625" customWidth="1"/>
    <col min="2323" max="2323" width="4.33203125" customWidth="1"/>
    <col min="2324" max="2324" width="2" customWidth="1"/>
    <col min="2325" max="2326" width="2.6640625" customWidth="1"/>
    <col min="2327" max="2328" width="2.109375" customWidth="1"/>
    <col min="2329" max="2329" width="4.6640625" customWidth="1"/>
    <col min="2330" max="2330" width="1.6640625" customWidth="1"/>
    <col min="2331" max="2331" width="6.6640625" customWidth="1"/>
    <col min="2332" max="2333" width="1.88671875" customWidth="1"/>
    <col min="2334" max="2334" width="3" customWidth="1"/>
    <col min="2335" max="2335" width="4" customWidth="1"/>
    <col min="2336" max="2336" width="4.33203125" customWidth="1"/>
    <col min="2337" max="2337" width="1.109375" customWidth="1"/>
    <col min="2338" max="2339" width="4.33203125" customWidth="1"/>
    <col min="2340" max="2340" width="5" customWidth="1"/>
    <col min="2341" max="2341" width="1.33203125" customWidth="1"/>
    <col min="2561" max="2561" width="0.6640625" customWidth="1"/>
    <col min="2562" max="2562" width="3.88671875" customWidth="1"/>
    <col min="2563" max="2563" width="4" customWidth="1"/>
    <col min="2564" max="2564" width="2.44140625" customWidth="1"/>
    <col min="2565" max="2565" width="1.6640625" customWidth="1"/>
    <col min="2566" max="2566" width="11" customWidth="1"/>
    <col min="2567" max="2567" width="2.5546875" customWidth="1"/>
    <col min="2568" max="2568" width="3" customWidth="1"/>
    <col min="2569" max="2570" width="3.109375" customWidth="1"/>
    <col min="2571" max="2571" width="2.44140625" customWidth="1"/>
    <col min="2572" max="2572" width="2.88671875" customWidth="1"/>
    <col min="2573" max="2573" width="0.6640625" customWidth="1"/>
    <col min="2574" max="2574" width="5.33203125" customWidth="1"/>
    <col min="2575" max="2575" width="10.5546875" customWidth="1"/>
    <col min="2576" max="2576" width="5.109375" customWidth="1"/>
    <col min="2577" max="2577" width="7.44140625" customWidth="1"/>
    <col min="2578" max="2578" width="6.6640625" customWidth="1"/>
    <col min="2579" max="2579" width="4.33203125" customWidth="1"/>
    <col min="2580" max="2580" width="2" customWidth="1"/>
    <col min="2581" max="2582" width="2.6640625" customWidth="1"/>
    <col min="2583" max="2584" width="2.109375" customWidth="1"/>
    <col min="2585" max="2585" width="4.6640625" customWidth="1"/>
    <col min="2586" max="2586" width="1.6640625" customWidth="1"/>
    <col min="2587" max="2587" width="6.6640625" customWidth="1"/>
    <col min="2588" max="2589" width="1.88671875" customWidth="1"/>
    <col min="2590" max="2590" width="3" customWidth="1"/>
    <col min="2591" max="2591" width="4" customWidth="1"/>
    <col min="2592" max="2592" width="4.33203125" customWidth="1"/>
    <col min="2593" max="2593" width="1.109375" customWidth="1"/>
    <col min="2594" max="2595" width="4.33203125" customWidth="1"/>
    <col min="2596" max="2596" width="5" customWidth="1"/>
    <col min="2597" max="2597" width="1.33203125" customWidth="1"/>
    <col min="2817" max="2817" width="0.6640625" customWidth="1"/>
    <col min="2818" max="2818" width="3.88671875" customWidth="1"/>
    <col min="2819" max="2819" width="4" customWidth="1"/>
    <col min="2820" max="2820" width="2.44140625" customWidth="1"/>
    <col min="2821" max="2821" width="1.6640625" customWidth="1"/>
    <col min="2822" max="2822" width="11" customWidth="1"/>
    <col min="2823" max="2823" width="2.5546875" customWidth="1"/>
    <col min="2824" max="2824" width="3" customWidth="1"/>
    <col min="2825" max="2826" width="3.109375" customWidth="1"/>
    <col min="2827" max="2827" width="2.44140625" customWidth="1"/>
    <col min="2828" max="2828" width="2.88671875" customWidth="1"/>
    <col min="2829" max="2829" width="0.6640625" customWidth="1"/>
    <col min="2830" max="2830" width="5.33203125" customWidth="1"/>
    <col min="2831" max="2831" width="10.5546875" customWidth="1"/>
    <col min="2832" max="2832" width="5.109375" customWidth="1"/>
    <col min="2833" max="2833" width="7.44140625" customWidth="1"/>
    <col min="2834" max="2834" width="6.6640625" customWidth="1"/>
    <col min="2835" max="2835" width="4.33203125" customWidth="1"/>
    <col min="2836" max="2836" width="2" customWidth="1"/>
    <col min="2837" max="2838" width="2.6640625" customWidth="1"/>
    <col min="2839" max="2840" width="2.109375" customWidth="1"/>
    <col min="2841" max="2841" width="4.6640625" customWidth="1"/>
    <col min="2842" max="2842" width="1.6640625" customWidth="1"/>
    <col min="2843" max="2843" width="6.6640625" customWidth="1"/>
    <col min="2844" max="2845" width="1.88671875" customWidth="1"/>
    <col min="2846" max="2846" width="3" customWidth="1"/>
    <col min="2847" max="2847" width="4" customWidth="1"/>
    <col min="2848" max="2848" width="4.33203125" customWidth="1"/>
    <col min="2849" max="2849" width="1.109375" customWidth="1"/>
    <col min="2850" max="2851" width="4.33203125" customWidth="1"/>
    <col min="2852" max="2852" width="5" customWidth="1"/>
    <col min="2853" max="2853" width="1.33203125" customWidth="1"/>
    <col min="3073" max="3073" width="0.6640625" customWidth="1"/>
    <col min="3074" max="3074" width="3.88671875" customWidth="1"/>
    <col min="3075" max="3075" width="4" customWidth="1"/>
    <col min="3076" max="3076" width="2.44140625" customWidth="1"/>
    <col min="3077" max="3077" width="1.6640625" customWidth="1"/>
    <col min="3078" max="3078" width="11" customWidth="1"/>
    <col min="3079" max="3079" width="2.5546875" customWidth="1"/>
    <col min="3080" max="3080" width="3" customWidth="1"/>
    <col min="3081" max="3082" width="3.109375" customWidth="1"/>
    <col min="3083" max="3083" width="2.44140625" customWidth="1"/>
    <col min="3084" max="3084" width="2.88671875" customWidth="1"/>
    <col min="3085" max="3085" width="0.6640625" customWidth="1"/>
    <col min="3086" max="3086" width="5.33203125" customWidth="1"/>
    <col min="3087" max="3087" width="10.5546875" customWidth="1"/>
    <col min="3088" max="3088" width="5.109375" customWidth="1"/>
    <col min="3089" max="3089" width="7.44140625" customWidth="1"/>
    <col min="3090" max="3090" width="6.6640625" customWidth="1"/>
    <col min="3091" max="3091" width="4.33203125" customWidth="1"/>
    <col min="3092" max="3092" width="2" customWidth="1"/>
    <col min="3093" max="3094" width="2.6640625" customWidth="1"/>
    <col min="3095" max="3096" width="2.109375" customWidth="1"/>
    <col min="3097" max="3097" width="4.6640625" customWidth="1"/>
    <col min="3098" max="3098" width="1.6640625" customWidth="1"/>
    <col min="3099" max="3099" width="6.6640625" customWidth="1"/>
    <col min="3100" max="3101" width="1.88671875" customWidth="1"/>
    <col min="3102" max="3102" width="3" customWidth="1"/>
    <col min="3103" max="3103" width="4" customWidth="1"/>
    <col min="3104" max="3104" width="4.33203125" customWidth="1"/>
    <col min="3105" max="3105" width="1.109375" customWidth="1"/>
    <col min="3106" max="3107" width="4.33203125" customWidth="1"/>
    <col min="3108" max="3108" width="5" customWidth="1"/>
    <col min="3109" max="3109" width="1.33203125" customWidth="1"/>
    <col min="3329" max="3329" width="0.6640625" customWidth="1"/>
    <col min="3330" max="3330" width="3.88671875" customWidth="1"/>
    <col min="3331" max="3331" width="4" customWidth="1"/>
    <col min="3332" max="3332" width="2.44140625" customWidth="1"/>
    <col min="3333" max="3333" width="1.6640625" customWidth="1"/>
    <col min="3334" max="3334" width="11" customWidth="1"/>
    <col min="3335" max="3335" width="2.5546875" customWidth="1"/>
    <col min="3336" max="3336" width="3" customWidth="1"/>
    <col min="3337" max="3338" width="3.109375" customWidth="1"/>
    <col min="3339" max="3339" width="2.44140625" customWidth="1"/>
    <col min="3340" max="3340" width="2.88671875" customWidth="1"/>
    <col min="3341" max="3341" width="0.6640625" customWidth="1"/>
    <col min="3342" max="3342" width="5.33203125" customWidth="1"/>
    <col min="3343" max="3343" width="10.5546875" customWidth="1"/>
    <col min="3344" max="3344" width="5.109375" customWidth="1"/>
    <col min="3345" max="3345" width="7.44140625" customWidth="1"/>
    <col min="3346" max="3346" width="6.6640625" customWidth="1"/>
    <col min="3347" max="3347" width="4.33203125" customWidth="1"/>
    <col min="3348" max="3348" width="2" customWidth="1"/>
    <col min="3349" max="3350" width="2.6640625" customWidth="1"/>
    <col min="3351" max="3352" width="2.109375" customWidth="1"/>
    <col min="3353" max="3353" width="4.6640625" customWidth="1"/>
    <col min="3354" max="3354" width="1.6640625" customWidth="1"/>
    <col min="3355" max="3355" width="6.6640625" customWidth="1"/>
    <col min="3356" max="3357" width="1.88671875" customWidth="1"/>
    <col min="3358" max="3358" width="3" customWidth="1"/>
    <col min="3359" max="3359" width="4" customWidth="1"/>
    <col min="3360" max="3360" width="4.33203125" customWidth="1"/>
    <col min="3361" max="3361" width="1.109375" customWidth="1"/>
    <col min="3362" max="3363" width="4.33203125" customWidth="1"/>
    <col min="3364" max="3364" width="5" customWidth="1"/>
    <col min="3365" max="3365" width="1.33203125" customWidth="1"/>
    <col min="3585" max="3585" width="0.6640625" customWidth="1"/>
    <col min="3586" max="3586" width="3.88671875" customWidth="1"/>
    <col min="3587" max="3587" width="4" customWidth="1"/>
    <col min="3588" max="3588" width="2.44140625" customWidth="1"/>
    <col min="3589" max="3589" width="1.6640625" customWidth="1"/>
    <col min="3590" max="3590" width="11" customWidth="1"/>
    <col min="3591" max="3591" width="2.5546875" customWidth="1"/>
    <col min="3592" max="3592" width="3" customWidth="1"/>
    <col min="3593" max="3594" width="3.109375" customWidth="1"/>
    <col min="3595" max="3595" width="2.44140625" customWidth="1"/>
    <col min="3596" max="3596" width="2.88671875" customWidth="1"/>
    <col min="3597" max="3597" width="0.6640625" customWidth="1"/>
    <col min="3598" max="3598" width="5.33203125" customWidth="1"/>
    <col min="3599" max="3599" width="10.5546875" customWidth="1"/>
    <col min="3600" max="3600" width="5.109375" customWidth="1"/>
    <col min="3601" max="3601" width="7.44140625" customWidth="1"/>
    <col min="3602" max="3602" width="6.6640625" customWidth="1"/>
    <col min="3603" max="3603" width="4.33203125" customWidth="1"/>
    <col min="3604" max="3604" width="2" customWidth="1"/>
    <col min="3605" max="3606" width="2.6640625" customWidth="1"/>
    <col min="3607" max="3608" width="2.109375" customWidth="1"/>
    <col min="3609" max="3609" width="4.6640625" customWidth="1"/>
    <col min="3610" max="3610" width="1.6640625" customWidth="1"/>
    <col min="3611" max="3611" width="6.6640625" customWidth="1"/>
    <col min="3612" max="3613" width="1.88671875" customWidth="1"/>
    <col min="3614" max="3614" width="3" customWidth="1"/>
    <col min="3615" max="3615" width="4" customWidth="1"/>
    <col min="3616" max="3616" width="4.33203125" customWidth="1"/>
    <col min="3617" max="3617" width="1.109375" customWidth="1"/>
    <col min="3618" max="3619" width="4.33203125" customWidth="1"/>
    <col min="3620" max="3620" width="5" customWidth="1"/>
    <col min="3621" max="3621" width="1.33203125" customWidth="1"/>
    <col min="3841" max="3841" width="0.6640625" customWidth="1"/>
    <col min="3842" max="3842" width="3.88671875" customWidth="1"/>
    <col min="3843" max="3843" width="4" customWidth="1"/>
    <col min="3844" max="3844" width="2.44140625" customWidth="1"/>
    <col min="3845" max="3845" width="1.6640625" customWidth="1"/>
    <col min="3846" max="3846" width="11" customWidth="1"/>
    <col min="3847" max="3847" width="2.5546875" customWidth="1"/>
    <col min="3848" max="3848" width="3" customWidth="1"/>
    <col min="3849" max="3850" width="3.109375" customWidth="1"/>
    <col min="3851" max="3851" width="2.44140625" customWidth="1"/>
    <col min="3852" max="3852" width="2.88671875" customWidth="1"/>
    <col min="3853" max="3853" width="0.6640625" customWidth="1"/>
    <col min="3854" max="3854" width="5.33203125" customWidth="1"/>
    <col min="3855" max="3855" width="10.5546875" customWidth="1"/>
    <col min="3856" max="3856" width="5.109375" customWidth="1"/>
    <col min="3857" max="3857" width="7.44140625" customWidth="1"/>
    <col min="3858" max="3858" width="6.6640625" customWidth="1"/>
    <col min="3859" max="3859" width="4.33203125" customWidth="1"/>
    <col min="3860" max="3860" width="2" customWidth="1"/>
    <col min="3861" max="3862" width="2.6640625" customWidth="1"/>
    <col min="3863" max="3864" width="2.109375" customWidth="1"/>
    <col min="3865" max="3865" width="4.6640625" customWidth="1"/>
    <col min="3866" max="3866" width="1.6640625" customWidth="1"/>
    <col min="3867" max="3867" width="6.6640625" customWidth="1"/>
    <col min="3868" max="3869" width="1.88671875" customWidth="1"/>
    <col min="3870" max="3870" width="3" customWidth="1"/>
    <col min="3871" max="3871" width="4" customWidth="1"/>
    <col min="3872" max="3872" width="4.33203125" customWidth="1"/>
    <col min="3873" max="3873" width="1.109375" customWidth="1"/>
    <col min="3874" max="3875" width="4.33203125" customWidth="1"/>
    <col min="3876" max="3876" width="5" customWidth="1"/>
    <col min="3877" max="3877" width="1.33203125" customWidth="1"/>
    <col min="4097" max="4097" width="0.6640625" customWidth="1"/>
    <col min="4098" max="4098" width="3.88671875" customWidth="1"/>
    <col min="4099" max="4099" width="4" customWidth="1"/>
    <col min="4100" max="4100" width="2.44140625" customWidth="1"/>
    <col min="4101" max="4101" width="1.6640625" customWidth="1"/>
    <col min="4102" max="4102" width="11" customWidth="1"/>
    <col min="4103" max="4103" width="2.5546875" customWidth="1"/>
    <col min="4104" max="4104" width="3" customWidth="1"/>
    <col min="4105" max="4106" width="3.109375" customWidth="1"/>
    <col min="4107" max="4107" width="2.44140625" customWidth="1"/>
    <col min="4108" max="4108" width="2.88671875" customWidth="1"/>
    <col min="4109" max="4109" width="0.6640625" customWidth="1"/>
    <col min="4110" max="4110" width="5.33203125" customWidth="1"/>
    <col min="4111" max="4111" width="10.5546875" customWidth="1"/>
    <col min="4112" max="4112" width="5.109375" customWidth="1"/>
    <col min="4113" max="4113" width="7.44140625" customWidth="1"/>
    <col min="4114" max="4114" width="6.6640625" customWidth="1"/>
    <col min="4115" max="4115" width="4.33203125" customWidth="1"/>
    <col min="4116" max="4116" width="2" customWidth="1"/>
    <col min="4117" max="4118" width="2.6640625" customWidth="1"/>
    <col min="4119" max="4120" width="2.109375" customWidth="1"/>
    <col min="4121" max="4121" width="4.6640625" customWidth="1"/>
    <col min="4122" max="4122" width="1.6640625" customWidth="1"/>
    <col min="4123" max="4123" width="6.6640625" customWidth="1"/>
    <col min="4124" max="4125" width="1.88671875" customWidth="1"/>
    <col min="4126" max="4126" width="3" customWidth="1"/>
    <col min="4127" max="4127" width="4" customWidth="1"/>
    <col min="4128" max="4128" width="4.33203125" customWidth="1"/>
    <col min="4129" max="4129" width="1.109375" customWidth="1"/>
    <col min="4130" max="4131" width="4.33203125" customWidth="1"/>
    <col min="4132" max="4132" width="5" customWidth="1"/>
    <col min="4133" max="4133" width="1.33203125" customWidth="1"/>
    <col min="4353" max="4353" width="0.6640625" customWidth="1"/>
    <col min="4354" max="4354" width="3.88671875" customWidth="1"/>
    <col min="4355" max="4355" width="4" customWidth="1"/>
    <col min="4356" max="4356" width="2.44140625" customWidth="1"/>
    <col min="4357" max="4357" width="1.6640625" customWidth="1"/>
    <col min="4358" max="4358" width="11" customWidth="1"/>
    <col min="4359" max="4359" width="2.5546875" customWidth="1"/>
    <col min="4360" max="4360" width="3" customWidth="1"/>
    <col min="4361" max="4362" width="3.109375" customWidth="1"/>
    <col min="4363" max="4363" width="2.44140625" customWidth="1"/>
    <col min="4364" max="4364" width="2.88671875" customWidth="1"/>
    <col min="4365" max="4365" width="0.6640625" customWidth="1"/>
    <col min="4366" max="4366" width="5.33203125" customWidth="1"/>
    <col min="4367" max="4367" width="10.5546875" customWidth="1"/>
    <col min="4368" max="4368" width="5.109375" customWidth="1"/>
    <col min="4369" max="4369" width="7.44140625" customWidth="1"/>
    <col min="4370" max="4370" width="6.6640625" customWidth="1"/>
    <col min="4371" max="4371" width="4.33203125" customWidth="1"/>
    <col min="4372" max="4372" width="2" customWidth="1"/>
    <col min="4373" max="4374" width="2.6640625" customWidth="1"/>
    <col min="4375" max="4376" width="2.109375" customWidth="1"/>
    <col min="4377" max="4377" width="4.6640625" customWidth="1"/>
    <col min="4378" max="4378" width="1.6640625" customWidth="1"/>
    <col min="4379" max="4379" width="6.6640625" customWidth="1"/>
    <col min="4380" max="4381" width="1.88671875" customWidth="1"/>
    <col min="4382" max="4382" width="3" customWidth="1"/>
    <col min="4383" max="4383" width="4" customWidth="1"/>
    <col min="4384" max="4384" width="4.33203125" customWidth="1"/>
    <col min="4385" max="4385" width="1.109375" customWidth="1"/>
    <col min="4386" max="4387" width="4.33203125" customWidth="1"/>
    <col min="4388" max="4388" width="5" customWidth="1"/>
    <col min="4389" max="4389" width="1.33203125" customWidth="1"/>
    <col min="4609" max="4609" width="0.6640625" customWidth="1"/>
    <col min="4610" max="4610" width="3.88671875" customWidth="1"/>
    <col min="4611" max="4611" width="4" customWidth="1"/>
    <col min="4612" max="4612" width="2.44140625" customWidth="1"/>
    <col min="4613" max="4613" width="1.6640625" customWidth="1"/>
    <col min="4614" max="4614" width="11" customWidth="1"/>
    <col min="4615" max="4615" width="2.5546875" customWidth="1"/>
    <col min="4616" max="4616" width="3" customWidth="1"/>
    <col min="4617" max="4618" width="3.109375" customWidth="1"/>
    <col min="4619" max="4619" width="2.44140625" customWidth="1"/>
    <col min="4620" max="4620" width="2.88671875" customWidth="1"/>
    <col min="4621" max="4621" width="0.6640625" customWidth="1"/>
    <col min="4622" max="4622" width="5.33203125" customWidth="1"/>
    <col min="4623" max="4623" width="10.5546875" customWidth="1"/>
    <col min="4624" max="4624" width="5.109375" customWidth="1"/>
    <col min="4625" max="4625" width="7.44140625" customWidth="1"/>
    <col min="4626" max="4626" width="6.6640625" customWidth="1"/>
    <col min="4627" max="4627" width="4.33203125" customWidth="1"/>
    <col min="4628" max="4628" width="2" customWidth="1"/>
    <col min="4629" max="4630" width="2.6640625" customWidth="1"/>
    <col min="4631" max="4632" width="2.109375" customWidth="1"/>
    <col min="4633" max="4633" width="4.6640625" customWidth="1"/>
    <col min="4634" max="4634" width="1.6640625" customWidth="1"/>
    <col min="4635" max="4635" width="6.6640625" customWidth="1"/>
    <col min="4636" max="4637" width="1.88671875" customWidth="1"/>
    <col min="4638" max="4638" width="3" customWidth="1"/>
    <col min="4639" max="4639" width="4" customWidth="1"/>
    <col min="4640" max="4640" width="4.33203125" customWidth="1"/>
    <col min="4641" max="4641" width="1.109375" customWidth="1"/>
    <col min="4642" max="4643" width="4.33203125" customWidth="1"/>
    <col min="4644" max="4644" width="5" customWidth="1"/>
    <col min="4645" max="4645" width="1.33203125" customWidth="1"/>
    <col min="4865" max="4865" width="0.6640625" customWidth="1"/>
    <col min="4866" max="4866" width="3.88671875" customWidth="1"/>
    <col min="4867" max="4867" width="4" customWidth="1"/>
    <col min="4868" max="4868" width="2.44140625" customWidth="1"/>
    <col min="4869" max="4869" width="1.6640625" customWidth="1"/>
    <col min="4870" max="4870" width="11" customWidth="1"/>
    <col min="4871" max="4871" width="2.5546875" customWidth="1"/>
    <col min="4872" max="4872" width="3" customWidth="1"/>
    <col min="4873" max="4874" width="3.109375" customWidth="1"/>
    <col min="4875" max="4875" width="2.44140625" customWidth="1"/>
    <col min="4876" max="4876" width="2.88671875" customWidth="1"/>
    <col min="4877" max="4877" width="0.6640625" customWidth="1"/>
    <col min="4878" max="4878" width="5.33203125" customWidth="1"/>
    <col min="4879" max="4879" width="10.5546875" customWidth="1"/>
    <col min="4880" max="4880" width="5.109375" customWidth="1"/>
    <col min="4881" max="4881" width="7.44140625" customWidth="1"/>
    <col min="4882" max="4882" width="6.6640625" customWidth="1"/>
    <col min="4883" max="4883" width="4.33203125" customWidth="1"/>
    <col min="4884" max="4884" width="2" customWidth="1"/>
    <col min="4885" max="4886" width="2.6640625" customWidth="1"/>
    <col min="4887" max="4888" width="2.109375" customWidth="1"/>
    <col min="4889" max="4889" width="4.6640625" customWidth="1"/>
    <col min="4890" max="4890" width="1.6640625" customWidth="1"/>
    <col min="4891" max="4891" width="6.6640625" customWidth="1"/>
    <col min="4892" max="4893" width="1.88671875" customWidth="1"/>
    <col min="4894" max="4894" width="3" customWidth="1"/>
    <col min="4895" max="4895" width="4" customWidth="1"/>
    <col min="4896" max="4896" width="4.33203125" customWidth="1"/>
    <col min="4897" max="4897" width="1.109375" customWidth="1"/>
    <col min="4898" max="4899" width="4.33203125" customWidth="1"/>
    <col min="4900" max="4900" width="5" customWidth="1"/>
    <col min="4901" max="4901" width="1.33203125" customWidth="1"/>
    <col min="5121" max="5121" width="0.6640625" customWidth="1"/>
    <col min="5122" max="5122" width="3.88671875" customWidth="1"/>
    <col min="5123" max="5123" width="4" customWidth="1"/>
    <col min="5124" max="5124" width="2.44140625" customWidth="1"/>
    <col min="5125" max="5125" width="1.6640625" customWidth="1"/>
    <col min="5126" max="5126" width="11" customWidth="1"/>
    <col min="5127" max="5127" width="2.5546875" customWidth="1"/>
    <col min="5128" max="5128" width="3" customWidth="1"/>
    <col min="5129" max="5130" width="3.109375" customWidth="1"/>
    <col min="5131" max="5131" width="2.44140625" customWidth="1"/>
    <col min="5132" max="5132" width="2.88671875" customWidth="1"/>
    <col min="5133" max="5133" width="0.6640625" customWidth="1"/>
    <col min="5134" max="5134" width="5.33203125" customWidth="1"/>
    <col min="5135" max="5135" width="10.5546875" customWidth="1"/>
    <col min="5136" max="5136" width="5.109375" customWidth="1"/>
    <col min="5137" max="5137" width="7.44140625" customWidth="1"/>
    <col min="5138" max="5138" width="6.6640625" customWidth="1"/>
    <col min="5139" max="5139" width="4.33203125" customWidth="1"/>
    <col min="5140" max="5140" width="2" customWidth="1"/>
    <col min="5141" max="5142" width="2.6640625" customWidth="1"/>
    <col min="5143" max="5144" width="2.109375" customWidth="1"/>
    <col min="5145" max="5145" width="4.6640625" customWidth="1"/>
    <col min="5146" max="5146" width="1.6640625" customWidth="1"/>
    <col min="5147" max="5147" width="6.6640625" customWidth="1"/>
    <col min="5148" max="5149" width="1.88671875" customWidth="1"/>
    <col min="5150" max="5150" width="3" customWidth="1"/>
    <col min="5151" max="5151" width="4" customWidth="1"/>
    <col min="5152" max="5152" width="4.33203125" customWidth="1"/>
    <col min="5153" max="5153" width="1.109375" customWidth="1"/>
    <col min="5154" max="5155" width="4.33203125" customWidth="1"/>
    <col min="5156" max="5156" width="5" customWidth="1"/>
    <col min="5157" max="5157" width="1.33203125" customWidth="1"/>
    <col min="5377" max="5377" width="0.6640625" customWidth="1"/>
    <col min="5378" max="5378" width="3.88671875" customWidth="1"/>
    <col min="5379" max="5379" width="4" customWidth="1"/>
    <col min="5380" max="5380" width="2.44140625" customWidth="1"/>
    <col min="5381" max="5381" width="1.6640625" customWidth="1"/>
    <col min="5382" max="5382" width="11" customWidth="1"/>
    <col min="5383" max="5383" width="2.5546875" customWidth="1"/>
    <col min="5384" max="5384" width="3" customWidth="1"/>
    <col min="5385" max="5386" width="3.109375" customWidth="1"/>
    <col min="5387" max="5387" width="2.44140625" customWidth="1"/>
    <col min="5388" max="5388" width="2.88671875" customWidth="1"/>
    <col min="5389" max="5389" width="0.6640625" customWidth="1"/>
    <col min="5390" max="5390" width="5.33203125" customWidth="1"/>
    <col min="5391" max="5391" width="10.5546875" customWidth="1"/>
    <col min="5392" max="5392" width="5.109375" customWidth="1"/>
    <col min="5393" max="5393" width="7.44140625" customWidth="1"/>
    <col min="5394" max="5394" width="6.6640625" customWidth="1"/>
    <col min="5395" max="5395" width="4.33203125" customWidth="1"/>
    <col min="5396" max="5396" width="2" customWidth="1"/>
    <col min="5397" max="5398" width="2.6640625" customWidth="1"/>
    <col min="5399" max="5400" width="2.109375" customWidth="1"/>
    <col min="5401" max="5401" width="4.6640625" customWidth="1"/>
    <col min="5402" max="5402" width="1.6640625" customWidth="1"/>
    <col min="5403" max="5403" width="6.6640625" customWidth="1"/>
    <col min="5404" max="5405" width="1.88671875" customWidth="1"/>
    <col min="5406" max="5406" width="3" customWidth="1"/>
    <col min="5407" max="5407" width="4" customWidth="1"/>
    <col min="5408" max="5408" width="4.33203125" customWidth="1"/>
    <col min="5409" max="5409" width="1.109375" customWidth="1"/>
    <col min="5410" max="5411" width="4.33203125" customWidth="1"/>
    <col min="5412" max="5412" width="5" customWidth="1"/>
    <col min="5413" max="5413" width="1.33203125" customWidth="1"/>
    <col min="5633" max="5633" width="0.6640625" customWidth="1"/>
    <col min="5634" max="5634" width="3.88671875" customWidth="1"/>
    <col min="5635" max="5635" width="4" customWidth="1"/>
    <col min="5636" max="5636" width="2.44140625" customWidth="1"/>
    <col min="5637" max="5637" width="1.6640625" customWidth="1"/>
    <col min="5638" max="5638" width="11" customWidth="1"/>
    <col min="5639" max="5639" width="2.5546875" customWidth="1"/>
    <col min="5640" max="5640" width="3" customWidth="1"/>
    <col min="5641" max="5642" width="3.109375" customWidth="1"/>
    <col min="5643" max="5643" width="2.44140625" customWidth="1"/>
    <col min="5644" max="5644" width="2.88671875" customWidth="1"/>
    <col min="5645" max="5645" width="0.6640625" customWidth="1"/>
    <col min="5646" max="5646" width="5.33203125" customWidth="1"/>
    <col min="5647" max="5647" width="10.5546875" customWidth="1"/>
    <col min="5648" max="5648" width="5.109375" customWidth="1"/>
    <col min="5649" max="5649" width="7.44140625" customWidth="1"/>
    <col min="5650" max="5650" width="6.6640625" customWidth="1"/>
    <col min="5651" max="5651" width="4.33203125" customWidth="1"/>
    <col min="5652" max="5652" width="2" customWidth="1"/>
    <col min="5653" max="5654" width="2.6640625" customWidth="1"/>
    <col min="5655" max="5656" width="2.109375" customWidth="1"/>
    <col min="5657" max="5657" width="4.6640625" customWidth="1"/>
    <col min="5658" max="5658" width="1.6640625" customWidth="1"/>
    <col min="5659" max="5659" width="6.6640625" customWidth="1"/>
    <col min="5660" max="5661" width="1.88671875" customWidth="1"/>
    <col min="5662" max="5662" width="3" customWidth="1"/>
    <col min="5663" max="5663" width="4" customWidth="1"/>
    <col min="5664" max="5664" width="4.33203125" customWidth="1"/>
    <col min="5665" max="5665" width="1.109375" customWidth="1"/>
    <col min="5666" max="5667" width="4.33203125" customWidth="1"/>
    <col min="5668" max="5668" width="5" customWidth="1"/>
    <col min="5669" max="5669" width="1.33203125" customWidth="1"/>
    <col min="5889" max="5889" width="0.6640625" customWidth="1"/>
    <col min="5890" max="5890" width="3.88671875" customWidth="1"/>
    <col min="5891" max="5891" width="4" customWidth="1"/>
    <col min="5892" max="5892" width="2.44140625" customWidth="1"/>
    <col min="5893" max="5893" width="1.6640625" customWidth="1"/>
    <col min="5894" max="5894" width="11" customWidth="1"/>
    <col min="5895" max="5895" width="2.5546875" customWidth="1"/>
    <col min="5896" max="5896" width="3" customWidth="1"/>
    <col min="5897" max="5898" width="3.109375" customWidth="1"/>
    <col min="5899" max="5899" width="2.44140625" customWidth="1"/>
    <col min="5900" max="5900" width="2.88671875" customWidth="1"/>
    <col min="5901" max="5901" width="0.6640625" customWidth="1"/>
    <col min="5902" max="5902" width="5.33203125" customWidth="1"/>
    <col min="5903" max="5903" width="10.5546875" customWidth="1"/>
    <col min="5904" max="5904" width="5.109375" customWidth="1"/>
    <col min="5905" max="5905" width="7.44140625" customWidth="1"/>
    <col min="5906" max="5906" width="6.6640625" customWidth="1"/>
    <col min="5907" max="5907" width="4.33203125" customWidth="1"/>
    <col min="5908" max="5908" width="2" customWidth="1"/>
    <col min="5909" max="5910" width="2.6640625" customWidth="1"/>
    <col min="5911" max="5912" width="2.109375" customWidth="1"/>
    <col min="5913" max="5913" width="4.6640625" customWidth="1"/>
    <col min="5914" max="5914" width="1.6640625" customWidth="1"/>
    <col min="5915" max="5915" width="6.6640625" customWidth="1"/>
    <col min="5916" max="5917" width="1.88671875" customWidth="1"/>
    <col min="5918" max="5918" width="3" customWidth="1"/>
    <col min="5919" max="5919" width="4" customWidth="1"/>
    <col min="5920" max="5920" width="4.33203125" customWidth="1"/>
    <col min="5921" max="5921" width="1.109375" customWidth="1"/>
    <col min="5922" max="5923" width="4.33203125" customWidth="1"/>
    <col min="5924" max="5924" width="5" customWidth="1"/>
    <col min="5925" max="5925" width="1.33203125" customWidth="1"/>
    <col min="6145" max="6145" width="0.6640625" customWidth="1"/>
    <col min="6146" max="6146" width="3.88671875" customWidth="1"/>
    <col min="6147" max="6147" width="4" customWidth="1"/>
    <col min="6148" max="6148" width="2.44140625" customWidth="1"/>
    <col min="6149" max="6149" width="1.6640625" customWidth="1"/>
    <col min="6150" max="6150" width="11" customWidth="1"/>
    <col min="6151" max="6151" width="2.5546875" customWidth="1"/>
    <col min="6152" max="6152" width="3" customWidth="1"/>
    <col min="6153" max="6154" width="3.109375" customWidth="1"/>
    <col min="6155" max="6155" width="2.44140625" customWidth="1"/>
    <col min="6156" max="6156" width="2.88671875" customWidth="1"/>
    <col min="6157" max="6157" width="0.6640625" customWidth="1"/>
    <col min="6158" max="6158" width="5.33203125" customWidth="1"/>
    <col min="6159" max="6159" width="10.5546875" customWidth="1"/>
    <col min="6160" max="6160" width="5.109375" customWidth="1"/>
    <col min="6161" max="6161" width="7.44140625" customWidth="1"/>
    <col min="6162" max="6162" width="6.6640625" customWidth="1"/>
    <col min="6163" max="6163" width="4.33203125" customWidth="1"/>
    <col min="6164" max="6164" width="2" customWidth="1"/>
    <col min="6165" max="6166" width="2.6640625" customWidth="1"/>
    <col min="6167" max="6168" width="2.109375" customWidth="1"/>
    <col min="6169" max="6169" width="4.6640625" customWidth="1"/>
    <col min="6170" max="6170" width="1.6640625" customWidth="1"/>
    <col min="6171" max="6171" width="6.6640625" customWidth="1"/>
    <col min="6172" max="6173" width="1.88671875" customWidth="1"/>
    <col min="6174" max="6174" width="3" customWidth="1"/>
    <col min="6175" max="6175" width="4" customWidth="1"/>
    <col min="6176" max="6176" width="4.33203125" customWidth="1"/>
    <col min="6177" max="6177" width="1.109375" customWidth="1"/>
    <col min="6178" max="6179" width="4.33203125" customWidth="1"/>
    <col min="6180" max="6180" width="5" customWidth="1"/>
    <col min="6181" max="6181" width="1.33203125" customWidth="1"/>
    <col min="6401" max="6401" width="0.6640625" customWidth="1"/>
    <col min="6402" max="6402" width="3.88671875" customWidth="1"/>
    <col min="6403" max="6403" width="4" customWidth="1"/>
    <col min="6404" max="6404" width="2.44140625" customWidth="1"/>
    <col min="6405" max="6405" width="1.6640625" customWidth="1"/>
    <col min="6406" max="6406" width="11" customWidth="1"/>
    <col min="6407" max="6407" width="2.5546875" customWidth="1"/>
    <col min="6408" max="6408" width="3" customWidth="1"/>
    <col min="6409" max="6410" width="3.109375" customWidth="1"/>
    <col min="6411" max="6411" width="2.44140625" customWidth="1"/>
    <col min="6412" max="6412" width="2.88671875" customWidth="1"/>
    <col min="6413" max="6413" width="0.6640625" customWidth="1"/>
    <col min="6414" max="6414" width="5.33203125" customWidth="1"/>
    <col min="6415" max="6415" width="10.5546875" customWidth="1"/>
    <col min="6416" max="6416" width="5.109375" customWidth="1"/>
    <col min="6417" max="6417" width="7.44140625" customWidth="1"/>
    <col min="6418" max="6418" width="6.6640625" customWidth="1"/>
    <col min="6419" max="6419" width="4.33203125" customWidth="1"/>
    <col min="6420" max="6420" width="2" customWidth="1"/>
    <col min="6421" max="6422" width="2.6640625" customWidth="1"/>
    <col min="6423" max="6424" width="2.109375" customWidth="1"/>
    <col min="6425" max="6425" width="4.6640625" customWidth="1"/>
    <col min="6426" max="6426" width="1.6640625" customWidth="1"/>
    <col min="6427" max="6427" width="6.6640625" customWidth="1"/>
    <col min="6428" max="6429" width="1.88671875" customWidth="1"/>
    <col min="6430" max="6430" width="3" customWidth="1"/>
    <col min="6431" max="6431" width="4" customWidth="1"/>
    <col min="6432" max="6432" width="4.33203125" customWidth="1"/>
    <col min="6433" max="6433" width="1.109375" customWidth="1"/>
    <col min="6434" max="6435" width="4.33203125" customWidth="1"/>
    <col min="6436" max="6436" width="5" customWidth="1"/>
    <col min="6437" max="6437" width="1.33203125" customWidth="1"/>
    <col min="6657" max="6657" width="0.6640625" customWidth="1"/>
    <col min="6658" max="6658" width="3.88671875" customWidth="1"/>
    <col min="6659" max="6659" width="4" customWidth="1"/>
    <col min="6660" max="6660" width="2.44140625" customWidth="1"/>
    <col min="6661" max="6661" width="1.6640625" customWidth="1"/>
    <col min="6662" max="6662" width="11" customWidth="1"/>
    <col min="6663" max="6663" width="2.5546875" customWidth="1"/>
    <col min="6664" max="6664" width="3" customWidth="1"/>
    <col min="6665" max="6666" width="3.109375" customWidth="1"/>
    <col min="6667" max="6667" width="2.44140625" customWidth="1"/>
    <col min="6668" max="6668" width="2.88671875" customWidth="1"/>
    <col min="6669" max="6669" width="0.6640625" customWidth="1"/>
    <col min="6670" max="6670" width="5.33203125" customWidth="1"/>
    <col min="6671" max="6671" width="10.5546875" customWidth="1"/>
    <col min="6672" max="6672" width="5.109375" customWidth="1"/>
    <col min="6673" max="6673" width="7.44140625" customWidth="1"/>
    <col min="6674" max="6674" width="6.6640625" customWidth="1"/>
    <col min="6675" max="6675" width="4.33203125" customWidth="1"/>
    <col min="6676" max="6676" width="2" customWidth="1"/>
    <col min="6677" max="6678" width="2.6640625" customWidth="1"/>
    <col min="6679" max="6680" width="2.109375" customWidth="1"/>
    <col min="6681" max="6681" width="4.6640625" customWidth="1"/>
    <col min="6682" max="6682" width="1.6640625" customWidth="1"/>
    <col min="6683" max="6683" width="6.6640625" customWidth="1"/>
    <col min="6684" max="6685" width="1.88671875" customWidth="1"/>
    <col min="6686" max="6686" width="3" customWidth="1"/>
    <col min="6687" max="6687" width="4" customWidth="1"/>
    <col min="6688" max="6688" width="4.33203125" customWidth="1"/>
    <col min="6689" max="6689" width="1.109375" customWidth="1"/>
    <col min="6690" max="6691" width="4.33203125" customWidth="1"/>
    <col min="6692" max="6692" width="5" customWidth="1"/>
    <col min="6693" max="6693" width="1.33203125" customWidth="1"/>
    <col min="6913" max="6913" width="0.6640625" customWidth="1"/>
    <col min="6914" max="6914" width="3.88671875" customWidth="1"/>
    <col min="6915" max="6915" width="4" customWidth="1"/>
    <col min="6916" max="6916" width="2.44140625" customWidth="1"/>
    <col min="6917" max="6917" width="1.6640625" customWidth="1"/>
    <col min="6918" max="6918" width="11" customWidth="1"/>
    <col min="6919" max="6919" width="2.5546875" customWidth="1"/>
    <col min="6920" max="6920" width="3" customWidth="1"/>
    <col min="6921" max="6922" width="3.109375" customWidth="1"/>
    <col min="6923" max="6923" width="2.44140625" customWidth="1"/>
    <col min="6924" max="6924" width="2.88671875" customWidth="1"/>
    <col min="6925" max="6925" width="0.6640625" customWidth="1"/>
    <col min="6926" max="6926" width="5.33203125" customWidth="1"/>
    <col min="6927" max="6927" width="10.5546875" customWidth="1"/>
    <col min="6928" max="6928" width="5.109375" customWidth="1"/>
    <col min="6929" max="6929" width="7.44140625" customWidth="1"/>
    <col min="6930" max="6930" width="6.6640625" customWidth="1"/>
    <col min="6931" max="6931" width="4.33203125" customWidth="1"/>
    <col min="6932" max="6932" width="2" customWidth="1"/>
    <col min="6933" max="6934" width="2.6640625" customWidth="1"/>
    <col min="6935" max="6936" width="2.109375" customWidth="1"/>
    <col min="6937" max="6937" width="4.6640625" customWidth="1"/>
    <col min="6938" max="6938" width="1.6640625" customWidth="1"/>
    <col min="6939" max="6939" width="6.6640625" customWidth="1"/>
    <col min="6940" max="6941" width="1.88671875" customWidth="1"/>
    <col min="6942" max="6942" width="3" customWidth="1"/>
    <col min="6943" max="6943" width="4" customWidth="1"/>
    <col min="6944" max="6944" width="4.33203125" customWidth="1"/>
    <col min="6945" max="6945" width="1.109375" customWidth="1"/>
    <col min="6946" max="6947" width="4.33203125" customWidth="1"/>
    <col min="6948" max="6948" width="5" customWidth="1"/>
    <col min="6949" max="6949" width="1.33203125" customWidth="1"/>
    <col min="7169" max="7169" width="0.6640625" customWidth="1"/>
    <col min="7170" max="7170" width="3.88671875" customWidth="1"/>
    <col min="7171" max="7171" width="4" customWidth="1"/>
    <col min="7172" max="7172" width="2.44140625" customWidth="1"/>
    <col min="7173" max="7173" width="1.6640625" customWidth="1"/>
    <col min="7174" max="7174" width="11" customWidth="1"/>
    <col min="7175" max="7175" width="2.5546875" customWidth="1"/>
    <col min="7176" max="7176" width="3" customWidth="1"/>
    <col min="7177" max="7178" width="3.109375" customWidth="1"/>
    <col min="7179" max="7179" width="2.44140625" customWidth="1"/>
    <col min="7180" max="7180" width="2.88671875" customWidth="1"/>
    <col min="7181" max="7181" width="0.6640625" customWidth="1"/>
    <col min="7182" max="7182" width="5.33203125" customWidth="1"/>
    <col min="7183" max="7183" width="10.5546875" customWidth="1"/>
    <col min="7184" max="7184" width="5.109375" customWidth="1"/>
    <col min="7185" max="7185" width="7.44140625" customWidth="1"/>
    <col min="7186" max="7186" width="6.6640625" customWidth="1"/>
    <col min="7187" max="7187" width="4.33203125" customWidth="1"/>
    <col min="7188" max="7188" width="2" customWidth="1"/>
    <col min="7189" max="7190" width="2.6640625" customWidth="1"/>
    <col min="7191" max="7192" width="2.109375" customWidth="1"/>
    <col min="7193" max="7193" width="4.6640625" customWidth="1"/>
    <col min="7194" max="7194" width="1.6640625" customWidth="1"/>
    <col min="7195" max="7195" width="6.6640625" customWidth="1"/>
    <col min="7196" max="7197" width="1.88671875" customWidth="1"/>
    <col min="7198" max="7198" width="3" customWidth="1"/>
    <col min="7199" max="7199" width="4" customWidth="1"/>
    <col min="7200" max="7200" width="4.33203125" customWidth="1"/>
    <col min="7201" max="7201" width="1.109375" customWidth="1"/>
    <col min="7202" max="7203" width="4.33203125" customWidth="1"/>
    <col min="7204" max="7204" width="5" customWidth="1"/>
    <col min="7205" max="7205" width="1.33203125" customWidth="1"/>
    <col min="7425" max="7425" width="0.6640625" customWidth="1"/>
    <col min="7426" max="7426" width="3.88671875" customWidth="1"/>
    <col min="7427" max="7427" width="4" customWidth="1"/>
    <col min="7428" max="7428" width="2.44140625" customWidth="1"/>
    <col min="7429" max="7429" width="1.6640625" customWidth="1"/>
    <col min="7430" max="7430" width="11" customWidth="1"/>
    <col min="7431" max="7431" width="2.5546875" customWidth="1"/>
    <col min="7432" max="7432" width="3" customWidth="1"/>
    <col min="7433" max="7434" width="3.109375" customWidth="1"/>
    <col min="7435" max="7435" width="2.44140625" customWidth="1"/>
    <col min="7436" max="7436" width="2.88671875" customWidth="1"/>
    <col min="7437" max="7437" width="0.6640625" customWidth="1"/>
    <col min="7438" max="7438" width="5.33203125" customWidth="1"/>
    <col min="7439" max="7439" width="10.5546875" customWidth="1"/>
    <col min="7440" max="7440" width="5.109375" customWidth="1"/>
    <col min="7441" max="7441" width="7.44140625" customWidth="1"/>
    <col min="7442" max="7442" width="6.6640625" customWidth="1"/>
    <col min="7443" max="7443" width="4.33203125" customWidth="1"/>
    <col min="7444" max="7444" width="2" customWidth="1"/>
    <col min="7445" max="7446" width="2.6640625" customWidth="1"/>
    <col min="7447" max="7448" width="2.109375" customWidth="1"/>
    <col min="7449" max="7449" width="4.6640625" customWidth="1"/>
    <col min="7450" max="7450" width="1.6640625" customWidth="1"/>
    <col min="7451" max="7451" width="6.6640625" customWidth="1"/>
    <col min="7452" max="7453" width="1.88671875" customWidth="1"/>
    <col min="7454" max="7454" width="3" customWidth="1"/>
    <col min="7455" max="7455" width="4" customWidth="1"/>
    <col min="7456" max="7456" width="4.33203125" customWidth="1"/>
    <col min="7457" max="7457" width="1.109375" customWidth="1"/>
    <col min="7458" max="7459" width="4.33203125" customWidth="1"/>
    <col min="7460" max="7460" width="5" customWidth="1"/>
    <col min="7461" max="7461" width="1.33203125" customWidth="1"/>
    <col min="7681" max="7681" width="0.6640625" customWidth="1"/>
    <col min="7682" max="7682" width="3.88671875" customWidth="1"/>
    <col min="7683" max="7683" width="4" customWidth="1"/>
    <col min="7684" max="7684" width="2.44140625" customWidth="1"/>
    <col min="7685" max="7685" width="1.6640625" customWidth="1"/>
    <col min="7686" max="7686" width="11" customWidth="1"/>
    <col min="7687" max="7687" width="2.5546875" customWidth="1"/>
    <col min="7688" max="7688" width="3" customWidth="1"/>
    <col min="7689" max="7690" width="3.109375" customWidth="1"/>
    <col min="7691" max="7691" width="2.44140625" customWidth="1"/>
    <col min="7692" max="7692" width="2.88671875" customWidth="1"/>
    <col min="7693" max="7693" width="0.6640625" customWidth="1"/>
    <col min="7694" max="7694" width="5.33203125" customWidth="1"/>
    <col min="7695" max="7695" width="10.5546875" customWidth="1"/>
    <col min="7696" max="7696" width="5.109375" customWidth="1"/>
    <col min="7697" max="7697" width="7.44140625" customWidth="1"/>
    <col min="7698" max="7698" width="6.6640625" customWidth="1"/>
    <col min="7699" max="7699" width="4.33203125" customWidth="1"/>
    <col min="7700" max="7700" width="2" customWidth="1"/>
    <col min="7701" max="7702" width="2.6640625" customWidth="1"/>
    <col min="7703" max="7704" width="2.109375" customWidth="1"/>
    <col min="7705" max="7705" width="4.6640625" customWidth="1"/>
    <col min="7706" max="7706" width="1.6640625" customWidth="1"/>
    <col min="7707" max="7707" width="6.6640625" customWidth="1"/>
    <col min="7708" max="7709" width="1.88671875" customWidth="1"/>
    <col min="7710" max="7710" width="3" customWidth="1"/>
    <col min="7711" max="7711" width="4" customWidth="1"/>
    <col min="7712" max="7712" width="4.33203125" customWidth="1"/>
    <col min="7713" max="7713" width="1.109375" customWidth="1"/>
    <col min="7714" max="7715" width="4.33203125" customWidth="1"/>
    <col min="7716" max="7716" width="5" customWidth="1"/>
    <col min="7717" max="7717" width="1.33203125" customWidth="1"/>
    <col min="7937" max="7937" width="0.6640625" customWidth="1"/>
    <col min="7938" max="7938" width="3.88671875" customWidth="1"/>
    <col min="7939" max="7939" width="4" customWidth="1"/>
    <col min="7940" max="7940" width="2.44140625" customWidth="1"/>
    <col min="7941" max="7941" width="1.6640625" customWidth="1"/>
    <col min="7942" max="7942" width="11" customWidth="1"/>
    <col min="7943" max="7943" width="2.5546875" customWidth="1"/>
    <col min="7944" max="7944" width="3" customWidth="1"/>
    <col min="7945" max="7946" width="3.109375" customWidth="1"/>
    <col min="7947" max="7947" width="2.44140625" customWidth="1"/>
    <col min="7948" max="7948" width="2.88671875" customWidth="1"/>
    <col min="7949" max="7949" width="0.6640625" customWidth="1"/>
    <col min="7950" max="7950" width="5.33203125" customWidth="1"/>
    <col min="7951" max="7951" width="10.5546875" customWidth="1"/>
    <col min="7952" max="7952" width="5.109375" customWidth="1"/>
    <col min="7953" max="7953" width="7.44140625" customWidth="1"/>
    <col min="7954" max="7954" width="6.6640625" customWidth="1"/>
    <col min="7955" max="7955" width="4.33203125" customWidth="1"/>
    <col min="7956" max="7956" width="2" customWidth="1"/>
    <col min="7957" max="7958" width="2.6640625" customWidth="1"/>
    <col min="7959" max="7960" width="2.109375" customWidth="1"/>
    <col min="7961" max="7961" width="4.6640625" customWidth="1"/>
    <col min="7962" max="7962" width="1.6640625" customWidth="1"/>
    <col min="7963" max="7963" width="6.6640625" customWidth="1"/>
    <col min="7964" max="7965" width="1.88671875" customWidth="1"/>
    <col min="7966" max="7966" width="3" customWidth="1"/>
    <col min="7967" max="7967" width="4" customWidth="1"/>
    <col min="7968" max="7968" width="4.33203125" customWidth="1"/>
    <col min="7969" max="7969" width="1.109375" customWidth="1"/>
    <col min="7970" max="7971" width="4.33203125" customWidth="1"/>
    <col min="7972" max="7972" width="5" customWidth="1"/>
    <col min="7973" max="7973" width="1.33203125" customWidth="1"/>
    <col min="8193" max="8193" width="0.6640625" customWidth="1"/>
    <col min="8194" max="8194" width="3.88671875" customWidth="1"/>
    <col min="8195" max="8195" width="4" customWidth="1"/>
    <col min="8196" max="8196" width="2.44140625" customWidth="1"/>
    <col min="8197" max="8197" width="1.6640625" customWidth="1"/>
    <col min="8198" max="8198" width="11" customWidth="1"/>
    <col min="8199" max="8199" width="2.5546875" customWidth="1"/>
    <col min="8200" max="8200" width="3" customWidth="1"/>
    <col min="8201" max="8202" width="3.109375" customWidth="1"/>
    <col min="8203" max="8203" width="2.44140625" customWidth="1"/>
    <col min="8204" max="8204" width="2.88671875" customWidth="1"/>
    <col min="8205" max="8205" width="0.6640625" customWidth="1"/>
    <col min="8206" max="8206" width="5.33203125" customWidth="1"/>
    <col min="8207" max="8207" width="10.5546875" customWidth="1"/>
    <col min="8208" max="8208" width="5.109375" customWidth="1"/>
    <col min="8209" max="8209" width="7.44140625" customWidth="1"/>
    <col min="8210" max="8210" width="6.6640625" customWidth="1"/>
    <col min="8211" max="8211" width="4.33203125" customWidth="1"/>
    <col min="8212" max="8212" width="2" customWidth="1"/>
    <col min="8213" max="8214" width="2.6640625" customWidth="1"/>
    <col min="8215" max="8216" width="2.109375" customWidth="1"/>
    <col min="8217" max="8217" width="4.6640625" customWidth="1"/>
    <col min="8218" max="8218" width="1.6640625" customWidth="1"/>
    <col min="8219" max="8219" width="6.6640625" customWidth="1"/>
    <col min="8220" max="8221" width="1.88671875" customWidth="1"/>
    <col min="8222" max="8222" width="3" customWidth="1"/>
    <col min="8223" max="8223" width="4" customWidth="1"/>
    <col min="8224" max="8224" width="4.33203125" customWidth="1"/>
    <col min="8225" max="8225" width="1.109375" customWidth="1"/>
    <col min="8226" max="8227" width="4.33203125" customWidth="1"/>
    <col min="8228" max="8228" width="5" customWidth="1"/>
    <col min="8229" max="8229" width="1.33203125" customWidth="1"/>
    <col min="8449" max="8449" width="0.6640625" customWidth="1"/>
    <col min="8450" max="8450" width="3.88671875" customWidth="1"/>
    <col min="8451" max="8451" width="4" customWidth="1"/>
    <col min="8452" max="8452" width="2.44140625" customWidth="1"/>
    <col min="8453" max="8453" width="1.6640625" customWidth="1"/>
    <col min="8454" max="8454" width="11" customWidth="1"/>
    <col min="8455" max="8455" width="2.5546875" customWidth="1"/>
    <col min="8456" max="8456" width="3" customWidth="1"/>
    <col min="8457" max="8458" width="3.109375" customWidth="1"/>
    <col min="8459" max="8459" width="2.44140625" customWidth="1"/>
    <col min="8460" max="8460" width="2.88671875" customWidth="1"/>
    <col min="8461" max="8461" width="0.6640625" customWidth="1"/>
    <col min="8462" max="8462" width="5.33203125" customWidth="1"/>
    <col min="8463" max="8463" width="10.5546875" customWidth="1"/>
    <col min="8464" max="8464" width="5.109375" customWidth="1"/>
    <col min="8465" max="8465" width="7.44140625" customWidth="1"/>
    <col min="8466" max="8466" width="6.6640625" customWidth="1"/>
    <col min="8467" max="8467" width="4.33203125" customWidth="1"/>
    <col min="8468" max="8468" width="2" customWidth="1"/>
    <col min="8469" max="8470" width="2.6640625" customWidth="1"/>
    <col min="8471" max="8472" width="2.109375" customWidth="1"/>
    <col min="8473" max="8473" width="4.6640625" customWidth="1"/>
    <col min="8474" max="8474" width="1.6640625" customWidth="1"/>
    <col min="8475" max="8475" width="6.6640625" customWidth="1"/>
    <col min="8476" max="8477" width="1.88671875" customWidth="1"/>
    <col min="8478" max="8478" width="3" customWidth="1"/>
    <col min="8479" max="8479" width="4" customWidth="1"/>
    <col min="8480" max="8480" width="4.33203125" customWidth="1"/>
    <col min="8481" max="8481" width="1.109375" customWidth="1"/>
    <col min="8482" max="8483" width="4.33203125" customWidth="1"/>
    <col min="8484" max="8484" width="5" customWidth="1"/>
    <col min="8485" max="8485" width="1.33203125" customWidth="1"/>
    <col min="8705" max="8705" width="0.6640625" customWidth="1"/>
    <col min="8706" max="8706" width="3.88671875" customWidth="1"/>
    <col min="8707" max="8707" width="4" customWidth="1"/>
    <col min="8708" max="8708" width="2.44140625" customWidth="1"/>
    <col min="8709" max="8709" width="1.6640625" customWidth="1"/>
    <col min="8710" max="8710" width="11" customWidth="1"/>
    <col min="8711" max="8711" width="2.5546875" customWidth="1"/>
    <col min="8712" max="8712" width="3" customWidth="1"/>
    <col min="8713" max="8714" width="3.109375" customWidth="1"/>
    <col min="8715" max="8715" width="2.44140625" customWidth="1"/>
    <col min="8716" max="8716" width="2.88671875" customWidth="1"/>
    <col min="8717" max="8717" width="0.6640625" customWidth="1"/>
    <col min="8718" max="8718" width="5.33203125" customWidth="1"/>
    <col min="8719" max="8719" width="10.5546875" customWidth="1"/>
    <col min="8720" max="8720" width="5.109375" customWidth="1"/>
    <col min="8721" max="8721" width="7.44140625" customWidth="1"/>
    <col min="8722" max="8722" width="6.6640625" customWidth="1"/>
    <col min="8723" max="8723" width="4.33203125" customWidth="1"/>
    <col min="8724" max="8724" width="2" customWidth="1"/>
    <col min="8725" max="8726" width="2.6640625" customWidth="1"/>
    <col min="8727" max="8728" width="2.109375" customWidth="1"/>
    <col min="8729" max="8729" width="4.6640625" customWidth="1"/>
    <col min="8730" max="8730" width="1.6640625" customWidth="1"/>
    <col min="8731" max="8731" width="6.6640625" customWidth="1"/>
    <col min="8732" max="8733" width="1.88671875" customWidth="1"/>
    <col min="8734" max="8734" width="3" customWidth="1"/>
    <col min="8735" max="8735" width="4" customWidth="1"/>
    <col min="8736" max="8736" width="4.33203125" customWidth="1"/>
    <col min="8737" max="8737" width="1.109375" customWidth="1"/>
    <col min="8738" max="8739" width="4.33203125" customWidth="1"/>
    <col min="8740" max="8740" width="5" customWidth="1"/>
    <col min="8741" max="8741" width="1.33203125" customWidth="1"/>
    <col min="8961" max="8961" width="0.6640625" customWidth="1"/>
    <col min="8962" max="8962" width="3.88671875" customWidth="1"/>
    <col min="8963" max="8963" width="4" customWidth="1"/>
    <col min="8964" max="8964" width="2.44140625" customWidth="1"/>
    <col min="8965" max="8965" width="1.6640625" customWidth="1"/>
    <col min="8966" max="8966" width="11" customWidth="1"/>
    <col min="8967" max="8967" width="2.5546875" customWidth="1"/>
    <col min="8968" max="8968" width="3" customWidth="1"/>
    <col min="8969" max="8970" width="3.109375" customWidth="1"/>
    <col min="8971" max="8971" width="2.44140625" customWidth="1"/>
    <col min="8972" max="8972" width="2.88671875" customWidth="1"/>
    <col min="8973" max="8973" width="0.6640625" customWidth="1"/>
    <col min="8974" max="8974" width="5.33203125" customWidth="1"/>
    <col min="8975" max="8975" width="10.5546875" customWidth="1"/>
    <col min="8976" max="8976" width="5.109375" customWidth="1"/>
    <col min="8977" max="8977" width="7.44140625" customWidth="1"/>
    <col min="8978" max="8978" width="6.6640625" customWidth="1"/>
    <col min="8979" max="8979" width="4.33203125" customWidth="1"/>
    <col min="8980" max="8980" width="2" customWidth="1"/>
    <col min="8981" max="8982" width="2.6640625" customWidth="1"/>
    <col min="8983" max="8984" width="2.109375" customWidth="1"/>
    <col min="8985" max="8985" width="4.6640625" customWidth="1"/>
    <col min="8986" max="8986" width="1.6640625" customWidth="1"/>
    <col min="8987" max="8987" width="6.6640625" customWidth="1"/>
    <col min="8988" max="8989" width="1.88671875" customWidth="1"/>
    <col min="8990" max="8990" width="3" customWidth="1"/>
    <col min="8991" max="8991" width="4" customWidth="1"/>
    <col min="8992" max="8992" width="4.33203125" customWidth="1"/>
    <col min="8993" max="8993" width="1.109375" customWidth="1"/>
    <col min="8994" max="8995" width="4.33203125" customWidth="1"/>
    <col min="8996" max="8996" width="5" customWidth="1"/>
    <col min="8997" max="8997" width="1.33203125" customWidth="1"/>
    <col min="9217" max="9217" width="0.6640625" customWidth="1"/>
    <col min="9218" max="9218" width="3.88671875" customWidth="1"/>
    <col min="9219" max="9219" width="4" customWidth="1"/>
    <col min="9220" max="9220" width="2.44140625" customWidth="1"/>
    <col min="9221" max="9221" width="1.6640625" customWidth="1"/>
    <col min="9222" max="9222" width="11" customWidth="1"/>
    <col min="9223" max="9223" width="2.5546875" customWidth="1"/>
    <col min="9224" max="9224" width="3" customWidth="1"/>
    <col min="9225" max="9226" width="3.109375" customWidth="1"/>
    <col min="9227" max="9227" width="2.44140625" customWidth="1"/>
    <col min="9228" max="9228" width="2.88671875" customWidth="1"/>
    <col min="9229" max="9229" width="0.6640625" customWidth="1"/>
    <col min="9230" max="9230" width="5.33203125" customWidth="1"/>
    <col min="9231" max="9231" width="10.5546875" customWidth="1"/>
    <col min="9232" max="9232" width="5.109375" customWidth="1"/>
    <col min="9233" max="9233" width="7.44140625" customWidth="1"/>
    <col min="9234" max="9234" width="6.6640625" customWidth="1"/>
    <col min="9235" max="9235" width="4.33203125" customWidth="1"/>
    <col min="9236" max="9236" width="2" customWidth="1"/>
    <col min="9237" max="9238" width="2.6640625" customWidth="1"/>
    <col min="9239" max="9240" width="2.109375" customWidth="1"/>
    <col min="9241" max="9241" width="4.6640625" customWidth="1"/>
    <col min="9242" max="9242" width="1.6640625" customWidth="1"/>
    <col min="9243" max="9243" width="6.6640625" customWidth="1"/>
    <col min="9244" max="9245" width="1.88671875" customWidth="1"/>
    <col min="9246" max="9246" width="3" customWidth="1"/>
    <col min="9247" max="9247" width="4" customWidth="1"/>
    <col min="9248" max="9248" width="4.33203125" customWidth="1"/>
    <col min="9249" max="9249" width="1.109375" customWidth="1"/>
    <col min="9250" max="9251" width="4.33203125" customWidth="1"/>
    <col min="9252" max="9252" width="5" customWidth="1"/>
    <col min="9253" max="9253" width="1.33203125" customWidth="1"/>
    <col min="9473" max="9473" width="0.6640625" customWidth="1"/>
    <col min="9474" max="9474" width="3.88671875" customWidth="1"/>
    <col min="9475" max="9475" width="4" customWidth="1"/>
    <col min="9476" max="9476" width="2.44140625" customWidth="1"/>
    <col min="9477" max="9477" width="1.6640625" customWidth="1"/>
    <col min="9478" max="9478" width="11" customWidth="1"/>
    <col min="9479" max="9479" width="2.5546875" customWidth="1"/>
    <col min="9480" max="9480" width="3" customWidth="1"/>
    <col min="9481" max="9482" width="3.109375" customWidth="1"/>
    <col min="9483" max="9483" width="2.44140625" customWidth="1"/>
    <col min="9484" max="9484" width="2.88671875" customWidth="1"/>
    <col min="9485" max="9485" width="0.6640625" customWidth="1"/>
    <col min="9486" max="9486" width="5.33203125" customWidth="1"/>
    <col min="9487" max="9487" width="10.5546875" customWidth="1"/>
    <col min="9488" max="9488" width="5.109375" customWidth="1"/>
    <col min="9489" max="9489" width="7.44140625" customWidth="1"/>
    <col min="9490" max="9490" width="6.6640625" customWidth="1"/>
    <col min="9491" max="9491" width="4.33203125" customWidth="1"/>
    <col min="9492" max="9492" width="2" customWidth="1"/>
    <col min="9493" max="9494" width="2.6640625" customWidth="1"/>
    <col min="9495" max="9496" width="2.109375" customWidth="1"/>
    <col min="9497" max="9497" width="4.6640625" customWidth="1"/>
    <col min="9498" max="9498" width="1.6640625" customWidth="1"/>
    <col min="9499" max="9499" width="6.6640625" customWidth="1"/>
    <col min="9500" max="9501" width="1.88671875" customWidth="1"/>
    <col min="9502" max="9502" width="3" customWidth="1"/>
    <col min="9503" max="9503" width="4" customWidth="1"/>
    <col min="9504" max="9504" width="4.33203125" customWidth="1"/>
    <col min="9505" max="9505" width="1.109375" customWidth="1"/>
    <col min="9506" max="9507" width="4.33203125" customWidth="1"/>
    <col min="9508" max="9508" width="5" customWidth="1"/>
    <col min="9509" max="9509" width="1.33203125" customWidth="1"/>
    <col min="9729" max="9729" width="0.6640625" customWidth="1"/>
    <col min="9730" max="9730" width="3.88671875" customWidth="1"/>
    <col min="9731" max="9731" width="4" customWidth="1"/>
    <col min="9732" max="9732" width="2.44140625" customWidth="1"/>
    <col min="9733" max="9733" width="1.6640625" customWidth="1"/>
    <col min="9734" max="9734" width="11" customWidth="1"/>
    <col min="9735" max="9735" width="2.5546875" customWidth="1"/>
    <col min="9736" max="9736" width="3" customWidth="1"/>
    <col min="9737" max="9738" width="3.109375" customWidth="1"/>
    <col min="9739" max="9739" width="2.44140625" customWidth="1"/>
    <col min="9740" max="9740" width="2.88671875" customWidth="1"/>
    <col min="9741" max="9741" width="0.6640625" customWidth="1"/>
    <col min="9742" max="9742" width="5.33203125" customWidth="1"/>
    <col min="9743" max="9743" width="10.5546875" customWidth="1"/>
    <col min="9744" max="9744" width="5.109375" customWidth="1"/>
    <col min="9745" max="9745" width="7.44140625" customWidth="1"/>
    <col min="9746" max="9746" width="6.6640625" customWidth="1"/>
    <col min="9747" max="9747" width="4.33203125" customWidth="1"/>
    <col min="9748" max="9748" width="2" customWidth="1"/>
    <col min="9749" max="9750" width="2.6640625" customWidth="1"/>
    <col min="9751" max="9752" width="2.109375" customWidth="1"/>
    <col min="9753" max="9753" width="4.6640625" customWidth="1"/>
    <col min="9754" max="9754" width="1.6640625" customWidth="1"/>
    <col min="9755" max="9755" width="6.6640625" customWidth="1"/>
    <col min="9756" max="9757" width="1.88671875" customWidth="1"/>
    <col min="9758" max="9758" width="3" customWidth="1"/>
    <col min="9759" max="9759" width="4" customWidth="1"/>
    <col min="9760" max="9760" width="4.33203125" customWidth="1"/>
    <col min="9761" max="9761" width="1.109375" customWidth="1"/>
    <col min="9762" max="9763" width="4.33203125" customWidth="1"/>
    <col min="9764" max="9764" width="5" customWidth="1"/>
    <col min="9765" max="9765" width="1.33203125" customWidth="1"/>
    <col min="9985" max="9985" width="0.6640625" customWidth="1"/>
    <col min="9986" max="9986" width="3.88671875" customWidth="1"/>
    <col min="9987" max="9987" width="4" customWidth="1"/>
    <col min="9988" max="9988" width="2.44140625" customWidth="1"/>
    <col min="9989" max="9989" width="1.6640625" customWidth="1"/>
    <col min="9990" max="9990" width="11" customWidth="1"/>
    <col min="9991" max="9991" width="2.5546875" customWidth="1"/>
    <col min="9992" max="9992" width="3" customWidth="1"/>
    <col min="9993" max="9994" width="3.109375" customWidth="1"/>
    <col min="9995" max="9995" width="2.44140625" customWidth="1"/>
    <col min="9996" max="9996" width="2.88671875" customWidth="1"/>
    <col min="9997" max="9997" width="0.6640625" customWidth="1"/>
    <col min="9998" max="9998" width="5.33203125" customWidth="1"/>
    <col min="9999" max="9999" width="10.5546875" customWidth="1"/>
    <col min="10000" max="10000" width="5.109375" customWidth="1"/>
    <col min="10001" max="10001" width="7.44140625" customWidth="1"/>
    <col min="10002" max="10002" width="6.6640625" customWidth="1"/>
    <col min="10003" max="10003" width="4.33203125" customWidth="1"/>
    <col min="10004" max="10004" width="2" customWidth="1"/>
    <col min="10005" max="10006" width="2.6640625" customWidth="1"/>
    <col min="10007" max="10008" width="2.109375" customWidth="1"/>
    <col min="10009" max="10009" width="4.6640625" customWidth="1"/>
    <col min="10010" max="10010" width="1.6640625" customWidth="1"/>
    <col min="10011" max="10011" width="6.6640625" customWidth="1"/>
    <col min="10012" max="10013" width="1.88671875" customWidth="1"/>
    <col min="10014" max="10014" width="3" customWidth="1"/>
    <col min="10015" max="10015" width="4" customWidth="1"/>
    <col min="10016" max="10016" width="4.33203125" customWidth="1"/>
    <col min="10017" max="10017" width="1.109375" customWidth="1"/>
    <col min="10018" max="10019" width="4.33203125" customWidth="1"/>
    <col min="10020" max="10020" width="5" customWidth="1"/>
    <col min="10021" max="10021" width="1.33203125" customWidth="1"/>
    <col min="10241" max="10241" width="0.6640625" customWidth="1"/>
    <col min="10242" max="10242" width="3.88671875" customWidth="1"/>
    <col min="10243" max="10243" width="4" customWidth="1"/>
    <col min="10244" max="10244" width="2.44140625" customWidth="1"/>
    <col min="10245" max="10245" width="1.6640625" customWidth="1"/>
    <col min="10246" max="10246" width="11" customWidth="1"/>
    <col min="10247" max="10247" width="2.5546875" customWidth="1"/>
    <col min="10248" max="10248" width="3" customWidth="1"/>
    <col min="10249" max="10250" width="3.109375" customWidth="1"/>
    <col min="10251" max="10251" width="2.44140625" customWidth="1"/>
    <col min="10252" max="10252" width="2.88671875" customWidth="1"/>
    <col min="10253" max="10253" width="0.6640625" customWidth="1"/>
    <col min="10254" max="10254" width="5.33203125" customWidth="1"/>
    <col min="10255" max="10255" width="10.5546875" customWidth="1"/>
    <col min="10256" max="10256" width="5.109375" customWidth="1"/>
    <col min="10257" max="10257" width="7.44140625" customWidth="1"/>
    <col min="10258" max="10258" width="6.6640625" customWidth="1"/>
    <col min="10259" max="10259" width="4.33203125" customWidth="1"/>
    <col min="10260" max="10260" width="2" customWidth="1"/>
    <col min="10261" max="10262" width="2.6640625" customWidth="1"/>
    <col min="10263" max="10264" width="2.109375" customWidth="1"/>
    <col min="10265" max="10265" width="4.6640625" customWidth="1"/>
    <col min="10266" max="10266" width="1.6640625" customWidth="1"/>
    <col min="10267" max="10267" width="6.6640625" customWidth="1"/>
    <col min="10268" max="10269" width="1.88671875" customWidth="1"/>
    <col min="10270" max="10270" width="3" customWidth="1"/>
    <col min="10271" max="10271" width="4" customWidth="1"/>
    <col min="10272" max="10272" width="4.33203125" customWidth="1"/>
    <col min="10273" max="10273" width="1.109375" customWidth="1"/>
    <col min="10274" max="10275" width="4.33203125" customWidth="1"/>
    <col min="10276" max="10276" width="5" customWidth="1"/>
    <col min="10277" max="10277" width="1.33203125" customWidth="1"/>
    <col min="10497" max="10497" width="0.6640625" customWidth="1"/>
    <col min="10498" max="10498" width="3.88671875" customWidth="1"/>
    <col min="10499" max="10499" width="4" customWidth="1"/>
    <col min="10500" max="10500" width="2.44140625" customWidth="1"/>
    <col min="10501" max="10501" width="1.6640625" customWidth="1"/>
    <col min="10502" max="10502" width="11" customWidth="1"/>
    <col min="10503" max="10503" width="2.5546875" customWidth="1"/>
    <col min="10504" max="10504" width="3" customWidth="1"/>
    <col min="10505" max="10506" width="3.109375" customWidth="1"/>
    <col min="10507" max="10507" width="2.44140625" customWidth="1"/>
    <col min="10508" max="10508" width="2.88671875" customWidth="1"/>
    <col min="10509" max="10509" width="0.6640625" customWidth="1"/>
    <col min="10510" max="10510" width="5.33203125" customWidth="1"/>
    <col min="10511" max="10511" width="10.5546875" customWidth="1"/>
    <col min="10512" max="10512" width="5.109375" customWidth="1"/>
    <col min="10513" max="10513" width="7.44140625" customWidth="1"/>
    <col min="10514" max="10514" width="6.6640625" customWidth="1"/>
    <col min="10515" max="10515" width="4.33203125" customWidth="1"/>
    <col min="10516" max="10516" width="2" customWidth="1"/>
    <col min="10517" max="10518" width="2.6640625" customWidth="1"/>
    <col min="10519" max="10520" width="2.109375" customWidth="1"/>
    <col min="10521" max="10521" width="4.6640625" customWidth="1"/>
    <col min="10522" max="10522" width="1.6640625" customWidth="1"/>
    <col min="10523" max="10523" width="6.6640625" customWidth="1"/>
    <col min="10524" max="10525" width="1.88671875" customWidth="1"/>
    <col min="10526" max="10526" width="3" customWidth="1"/>
    <col min="10527" max="10527" width="4" customWidth="1"/>
    <col min="10528" max="10528" width="4.33203125" customWidth="1"/>
    <col min="10529" max="10529" width="1.109375" customWidth="1"/>
    <col min="10530" max="10531" width="4.33203125" customWidth="1"/>
    <col min="10532" max="10532" width="5" customWidth="1"/>
    <col min="10533" max="10533" width="1.33203125" customWidth="1"/>
    <col min="10753" max="10753" width="0.6640625" customWidth="1"/>
    <col min="10754" max="10754" width="3.88671875" customWidth="1"/>
    <col min="10755" max="10755" width="4" customWidth="1"/>
    <col min="10756" max="10756" width="2.44140625" customWidth="1"/>
    <col min="10757" max="10757" width="1.6640625" customWidth="1"/>
    <col min="10758" max="10758" width="11" customWidth="1"/>
    <col min="10759" max="10759" width="2.5546875" customWidth="1"/>
    <col min="10760" max="10760" width="3" customWidth="1"/>
    <col min="10761" max="10762" width="3.109375" customWidth="1"/>
    <col min="10763" max="10763" width="2.44140625" customWidth="1"/>
    <col min="10764" max="10764" width="2.88671875" customWidth="1"/>
    <col min="10765" max="10765" width="0.6640625" customWidth="1"/>
    <col min="10766" max="10766" width="5.33203125" customWidth="1"/>
    <col min="10767" max="10767" width="10.5546875" customWidth="1"/>
    <col min="10768" max="10768" width="5.109375" customWidth="1"/>
    <col min="10769" max="10769" width="7.44140625" customWidth="1"/>
    <col min="10770" max="10770" width="6.6640625" customWidth="1"/>
    <col min="10771" max="10771" width="4.33203125" customWidth="1"/>
    <col min="10772" max="10772" width="2" customWidth="1"/>
    <col min="10773" max="10774" width="2.6640625" customWidth="1"/>
    <col min="10775" max="10776" width="2.109375" customWidth="1"/>
    <col min="10777" max="10777" width="4.6640625" customWidth="1"/>
    <col min="10778" max="10778" width="1.6640625" customWidth="1"/>
    <col min="10779" max="10779" width="6.6640625" customWidth="1"/>
    <col min="10780" max="10781" width="1.88671875" customWidth="1"/>
    <col min="10782" max="10782" width="3" customWidth="1"/>
    <col min="10783" max="10783" width="4" customWidth="1"/>
    <col min="10784" max="10784" width="4.33203125" customWidth="1"/>
    <col min="10785" max="10785" width="1.109375" customWidth="1"/>
    <col min="10786" max="10787" width="4.33203125" customWidth="1"/>
    <col min="10788" max="10788" width="5" customWidth="1"/>
    <col min="10789" max="10789" width="1.33203125" customWidth="1"/>
    <col min="11009" max="11009" width="0.6640625" customWidth="1"/>
    <col min="11010" max="11010" width="3.88671875" customWidth="1"/>
    <col min="11011" max="11011" width="4" customWidth="1"/>
    <col min="11012" max="11012" width="2.44140625" customWidth="1"/>
    <col min="11013" max="11013" width="1.6640625" customWidth="1"/>
    <col min="11014" max="11014" width="11" customWidth="1"/>
    <col min="11015" max="11015" width="2.5546875" customWidth="1"/>
    <col min="11016" max="11016" width="3" customWidth="1"/>
    <col min="11017" max="11018" width="3.109375" customWidth="1"/>
    <col min="11019" max="11019" width="2.44140625" customWidth="1"/>
    <col min="11020" max="11020" width="2.88671875" customWidth="1"/>
    <col min="11021" max="11021" width="0.6640625" customWidth="1"/>
    <col min="11022" max="11022" width="5.33203125" customWidth="1"/>
    <col min="11023" max="11023" width="10.5546875" customWidth="1"/>
    <col min="11024" max="11024" width="5.109375" customWidth="1"/>
    <col min="11025" max="11025" width="7.44140625" customWidth="1"/>
    <col min="11026" max="11026" width="6.6640625" customWidth="1"/>
    <col min="11027" max="11027" width="4.33203125" customWidth="1"/>
    <col min="11028" max="11028" width="2" customWidth="1"/>
    <col min="11029" max="11030" width="2.6640625" customWidth="1"/>
    <col min="11031" max="11032" width="2.109375" customWidth="1"/>
    <col min="11033" max="11033" width="4.6640625" customWidth="1"/>
    <col min="11034" max="11034" width="1.6640625" customWidth="1"/>
    <col min="11035" max="11035" width="6.6640625" customWidth="1"/>
    <col min="11036" max="11037" width="1.88671875" customWidth="1"/>
    <col min="11038" max="11038" width="3" customWidth="1"/>
    <col min="11039" max="11039" width="4" customWidth="1"/>
    <col min="11040" max="11040" width="4.33203125" customWidth="1"/>
    <col min="11041" max="11041" width="1.109375" customWidth="1"/>
    <col min="11042" max="11043" width="4.33203125" customWidth="1"/>
    <col min="11044" max="11044" width="5" customWidth="1"/>
    <col min="11045" max="11045" width="1.33203125" customWidth="1"/>
    <col min="11265" max="11265" width="0.6640625" customWidth="1"/>
    <col min="11266" max="11266" width="3.88671875" customWidth="1"/>
    <col min="11267" max="11267" width="4" customWidth="1"/>
    <col min="11268" max="11268" width="2.44140625" customWidth="1"/>
    <col min="11269" max="11269" width="1.6640625" customWidth="1"/>
    <col min="11270" max="11270" width="11" customWidth="1"/>
    <col min="11271" max="11271" width="2.5546875" customWidth="1"/>
    <col min="11272" max="11272" width="3" customWidth="1"/>
    <col min="11273" max="11274" width="3.109375" customWidth="1"/>
    <col min="11275" max="11275" width="2.44140625" customWidth="1"/>
    <col min="11276" max="11276" width="2.88671875" customWidth="1"/>
    <col min="11277" max="11277" width="0.6640625" customWidth="1"/>
    <col min="11278" max="11278" width="5.33203125" customWidth="1"/>
    <col min="11279" max="11279" width="10.5546875" customWidth="1"/>
    <col min="11280" max="11280" width="5.109375" customWidth="1"/>
    <col min="11281" max="11281" width="7.44140625" customWidth="1"/>
    <col min="11282" max="11282" width="6.6640625" customWidth="1"/>
    <col min="11283" max="11283" width="4.33203125" customWidth="1"/>
    <col min="11284" max="11284" width="2" customWidth="1"/>
    <col min="11285" max="11286" width="2.6640625" customWidth="1"/>
    <col min="11287" max="11288" width="2.109375" customWidth="1"/>
    <col min="11289" max="11289" width="4.6640625" customWidth="1"/>
    <col min="11290" max="11290" width="1.6640625" customWidth="1"/>
    <col min="11291" max="11291" width="6.6640625" customWidth="1"/>
    <col min="11292" max="11293" width="1.88671875" customWidth="1"/>
    <col min="11294" max="11294" width="3" customWidth="1"/>
    <col min="11295" max="11295" width="4" customWidth="1"/>
    <col min="11296" max="11296" width="4.33203125" customWidth="1"/>
    <col min="11297" max="11297" width="1.109375" customWidth="1"/>
    <col min="11298" max="11299" width="4.33203125" customWidth="1"/>
    <col min="11300" max="11300" width="5" customWidth="1"/>
    <col min="11301" max="11301" width="1.33203125" customWidth="1"/>
    <col min="11521" max="11521" width="0.6640625" customWidth="1"/>
    <col min="11522" max="11522" width="3.88671875" customWidth="1"/>
    <col min="11523" max="11523" width="4" customWidth="1"/>
    <col min="11524" max="11524" width="2.44140625" customWidth="1"/>
    <col min="11525" max="11525" width="1.6640625" customWidth="1"/>
    <col min="11526" max="11526" width="11" customWidth="1"/>
    <col min="11527" max="11527" width="2.5546875" customWidth="1"/>
    <col min="11528" max="11528" width="3" customWidth="1"/>
    <col min="11529" max="11530" width="3.109375" customWidth="1"/>
    <col min="11531" max="11531" width="2.44140625" customWidth="1"/>
    <col min="11532" max="11532" width="2.88671875" customWidth="1"/>
    <col min="11533" max="11533" width="0.6640625" customWidth="1"/>
    <col min="11534" max="11534" width="5.33203125" customWidth="1"/>
    <col min="11535" max="11535" width="10.5546875" customWidth="1"/>
    <col min="11536" max="11536" width="5.109375" customWidth="1"/>
    <col min="11537" max="11537" width="7.44140625" customWidth="1"/>
    <col min="11538" max="11538" width="6.6640625" customWidth="1"/>
    <col min="11539" max="11539" width="4.33203125" customWidth="1"/>
    <col min="11540" max="11540" width="2" customWidth="1"/>
    <col min="11541" max="11542" width="2.6640625" customWidth="1"/>
    <col min="11543" max="11544" width="2.109375" customWidth="1"/>
    <col min="11545" max="11545" width="4.6640625" customWidth="1"/>
    <col min="11546" max="11546" width="1.6640625" customWidth="1"/>
    <col min="11547" max="11547" width="6.6640625" customWidth="1"/>
    <col min="11548" max="11549" width="1.88671875" customWidth="1"/>
    <col min="11550" max="11550" width="3" customWidth="1"/>
    <col min="11551" max="11551" width="4" customWidth="1"/>
    <col min="11552" max="11552" width="4.33203125" customWidth="1"/>
    <col min="11553" max="11553" width="1.109375" customWidth="1"/>
    <col min="11554" max="11555" width="4.33203125" customWidth="1"/>
    <col min="11556" max="11556" width="5" customWidth="1"/>
    <col min="11557" max="11557" width="1.33203125" customWidth="1"/>
    <col min="11777" max="11777" width="0.6640625" customWidth="1"/>
    <col min="11778" max="11778" width="3.88671875" customWidth="1"/>
    <col min="11779" max="11779" width="4" customWidth="1"/>
    <col min="11780" max="11780" width="2.44140625" customWidth="1"/>
    <col min="11781" max="11781" width="1.6640625" customWidth="1"/>
    <col min="11782" max="11782" width="11" customWidth="1"/>
    <col min="11783" max="11783" width="2.5546875" customWidth="1"/>
    <col min="11784" max="11784" width="3" customWidth="1"/>
    <col min="11785" max="11786" width="3.109375" customWidth="1"/>
    <col min="11787" max="11787" width="2.44140625" customWidth="1"/>
    <col min="11788" max="11788" width="2.88671875" customWidth="1"/>
    <col min="11789" max="11789" width="0.6640625" customWidth="1"/>
    <col min="11790" max="11790" width="5.33203125" customWidth="1"/>
    <col min="11791" max="11791" width="10.5546875" customWidth="1"/>
    <col min="11792" max="11792" width="5.109375" customWidth="1"/>
    <col min="11793" max="11793" width="7.44140625" customWidth="1"/>
    <col min="11794" max="11794" width="6.6640625" customWidth="1"/>
    <col min="11795" max="11795" width="4.33203125" customWidth="1"/>
    <col min="11796" max="11796" width="2" customWidth="1"/>
    <col min="11797" max="11798" width="2.6640625" customWidth="1"/>
    <col min="11799" max="11800" width="2.109375" customWidth="1"/>
    <col min="11801" max="11801" width="4.6640625" customWidth="1"/>
    <col min="11802" max="11802" width="1.6640625" customWidth="1"/>
    <col min="11803" max="11803" width="6.6640625" customWidth="1"/>
    <col min="11804" max="11805" width="1.88671875" customWidth="1"/>
    <col min="11806" max="11806" width="3" customWidth="1"/>
    <col min="11807" max="11807" width="4" customWidth="1"/>
    <col min="11808" max="11808" width="4.33203125" customWidth="1"/>
    <col min="11809" max="11809" width="1.109375" customWidth="1"/>
    <col min="11810" max="11811" width="4.33203125" customWidth="1"/>
    <col min="11812" max="11812" width="5" customWidth="1"/>
    <col min="11813" max="11813" width="1.33203125" customWidth="1"/>
    <col min="12033" max="12033" width="0.6640625" customWidth="1"/>
    <col min="12034" max="12034" width="3.88671875" customWidth="1"/>
    <col min="12035" max="12035" width="4" customWidth="1"/>
    <col min="12036" max="12036" width="2.44140625" customWidth="1"/>
    <col min="12037" max="12037" width="1.6640625" customWidth="1"/>
    <col min="12038" max="12038" width="11" customWidth="1"/>
    <col min="12039" max="12039" width="2.5546875" customWidth="1"/>
    <col min="12040" max="12040" width="3" customWidth="1"/>
    <col min="12041" max="12042" width="3.109375" customWidth="1"/>
    <col min="12043" max="12043" width="2.44140625" customWidth="1"/>
    <col min="12044" max="12044" width="2.88671875" customWidth="1"/>
    <col min="12045" max="12045" width="0.6640625" customWidth="1"/>
    <col min="12046" max="12046" width="5.33203125" customWidth="1"/>
    <col min="12047" max="12047" width="10.5546875" customWidth="1"/>
    <col min="12048" max="12048" width="5.109375" customWidth="1"/>
    <col min="12049" max="12049" width="7.44140625" customWidth="1"/>
    <col min="12050" max="12050" width="6.6640625" customWidth="1"/>
    <col min="12051" max="12051" width="4.33203125" customWidth="1"/>
    <col min="12052" max="12052" width="2" customWidth="1"/>
    <col min="12053" max="12054" width="2.6640625" customWidth="1"/>
    <col min="12055" max="12056" width="2.109375" customWidth="1"/>
    <col min="12057" max="12057" width="4.6640625" customWidth="1"/>
    <col min="12058" max="12058" width="1.6640625" customWidth="1"/>
    <col min="12059" max="12059" width="6.6640625" customWidth="1"/>
    <col min="12060" max="12061" width="1.88671875" customWidth="1"/>
    <col min="12062" max="12062" width="3" customWidth="1"/>
    <col min="12063" max="12063" width="4" customWidth="1"/>
    <col min="12064" max="12064" width="4.33203125" customWidth="1"/>
    <col min="12065" max="12065" width="1.109375" customWidth="1"/>
    <col min="12066" max="12067" width="4.33203125" customWidth="1"/>
    <col min="12068" max="12068" width="5" customWidth="1"/>
    <col min="12069" max="12069" width="1.33203125" customWidth="1"/>
    <col min="12289" max="12289" width="0.6640625" customWidth="1"/>
    <col min="12290" max="12290" width="3.88671875" customWidth="1"/>
    <col min="12291" max="12291" width="4" customWidth="1"/>
    <col min="12292" max="12292" width="2.44140625" customWidth="1"/>
    <col min="12293" max="12293" width="1.6640625" customWidth="1"/>
    <col min="12294" max="12294" width="11" customWidth="1"/>
    <col min="12295" max="12295" width="2.5546875" customWidth="1"/>
    <col min="12296" max="12296" width="3" customWidth="1"/>
    <col min="12297" max="12298" width="3.109375" customWidth="1"/>
    <col min="12299" max="12299" width="2.44140625" customWidth="1"/>
    <col min="12300" max="12300" width="2.88671875" customWidth="1"/>
    <col min="12301" max="12301" width="0.6640625" customWidth="1"/>
    <col min="12302" max="12302" width="5.33203125" customWidth="1"/>
    <col min="12303" max="12303" width="10.5546875" customWidth="1"/>
    <col min="12304" max="12304" width="5.109375" customWidth="1"/>
    <col min="12305" max="12305" width="7.44140625" customWidth="1"/>
    <col min="12306" max="12306" width="6.6640625" customWidth="1"/>
    <col min="12307" max="12307" width="4.33203125" customWidth="1"/>
    <col min="12308" max="12308" width="2" customWidth="1"/>
    <col min="12309" max="12310" width="2.6640625" customWidth="1"/>
    <col min="12311" max="12312" width="2.109375" customWidth="1"/>
    <col min="12313" max="12313" width="4.6640625" customWidth="1"/>
    <col min="12314" max="12314" width="1.6640625" customWidth="1"/>
    <col min="12315" max="12315" width="6.6640625" customWidth="1"/>
    <col min="12316" max="12317" width="1.88671875" customWidth="1"/>
    <col min="12318" max="12318" width="3" customWidth="1"/>
    <col min="12319" max="12319" width="4" customWidth="1"/>
    <col min="12320" max="12320" width="4.33203125" customWidth="1"/>
    <col min="12321" max="12321" width="1.109375" customWidth="1"/>
    <col min="12322" max="12323" width="4.33203125" customWidth="1"/>
    <col min="12324" max="12324" width="5" customWidth="1"/>
    <col min="12325" max="12325" width="1.33203125" customWidth="1"/>
    <col min="12545" max="12545" width="0.6640625" customWidth="1"/>
    <col min="12546" max="12546" width="3.88671875" customWidth="1"/>
    <col min="12547" max="12547" width="4" customWidth="1"/>
    <col min="12548" max="12548" width="2.44140625" customWidth="1"/>
    <col min="12549" max="12549" width="1.6640625" customWidth="1"/>
    <col min="12550" max="12550" width="11" customWidth="1"/>
    <col min="12551" max="12551" width="2.5546875" customWidth="1"/>
    <col min="12552" max="12552" width="3" customWidth="1"/>
    <col min="12553" max="12554" width="3.109375" customWidth="1"/>
    <col min="12555" max="12555" width="2.44140625" customWidth="1"/>
    <col min="12556" max="12556" width="2.88671875" customWidth="1"/>
    <col min="12557" max="12557" width="0.6640625" customWidth="1"/>
    <col min="12558" max="12558" width="5.33203125" customWidth="1"/>
    <col min="12559" max="12559" width="10.5546875" customWidth="1"/>
    <col min="12560" max="12560" width="5.109375" customWidth="1"/>
    <col min="12561" max="12561" width="7.44140625" customWidth="1"/>
    <col min="12562" max="12562" width="6.6640625" customWidth="1"/>
    <col min="12563" max="12563" width="4.33203125" customWidth="1"/>
    <col min="12564" max="12564" width="2" customWidth="1"/>
    <col min="12565" max="12566" width="2.6640625" customWidth="1"/>
    <col min="12567" max="12568" width="2.109375" customWidth="1"/>
    <col min="12569" max="12569" width="4.6640625" customWidth="1"/>
    <col min="12570" max="12570" width="1.6640625" customWidth="1"/>
    <col min="12571" max="12571" width="6.6640625" customWidth="1"/>
    <col min="12572" max="12573" width="1.88671875" customWidth="1"/>
    <col min="12574" max="12574" width="3" customWidth="1"/>
    <col min="12575" max="12575" width="4" customWidth="1"/>
    <col min="12576" max="12576" width="4.33203125" customWidth="1"/>
    <col min="12577" max="12577" width="1.109375" customWidth="1"/>
    <col min="12578" max="12579" width="4.33203125" customWidth="1"/>
    <col min="12580" max="12580" width="5" customWidth="1"/>
    <col min="12581" max="12581" width="1.33203125" customWidth="1"/>
    <col min="12801" max="12801" width="0.6640625" customWidth="1"/>
    <col min="12802" max="12802" width="3.88671875" customWidth="1"/>
    <col min="12803" max="12803" width="4" customWidth="1"/>
    <col min="12804" max="12804" width="2.44140625" customWidth="1"/>
    <col min="12805" max="12805" width="1.6640625" customWidth="1"/>
    <col min="12806" max="12806" width="11" customWidth="1"/>
    <col min="12807" max="12807" width="2.5546875" customWidth="1"/>
    <col min="12808" max="12808" width="3" customWidth="1"/>
    <col min="12809" max="12810" width="3.109375" customWidth="1"/>
    <col min="12811" max="12811" width="2.44140625" customWidth="1"/>
    <col min="12812" max="12812" width="2.88671875" customWidth="1"/>
    <col min="12813" max="12813" width="0.6640625" customWidth="1"/>
    <col min="12814" max="12814" width="5.33203125" customWidth="1"/>
    <col min="12815" max="12815" width="10.5546875" customWidth="1"/>
    <col min="12816" max="12816" width="5.109375" customWidth="1"/>
    <col min="12817" max="12817" width="7.44140625" customWidth="1"/>
    <col min="12818" max="12818" width="6.6640625" customWidth="1"/>
    <col min="12819" max="12819" width="4.33203125" customWidth="1"/>
    <col min="12820" max="12820" width="2" customWidth="1"/>
    <col min="12821" max="12822" width="2.6640625" customWidth="1"/>
    <col min="12823" max="12824" width="2.109375" customWidth="1"/>
    <col min="12825" max="12825" width="4.6640625" customWidth="1"/>
    <col min="12826" max="12826" width="1.6640625" customWidth="1"/>
    <col min="12827" max="12827" width="6.6640625" customWidth="1"/>
    <col min="12828" max="12829" width="1.88671875" customWidth="1"/>
    <col min="12830" max="12830" width="3" customWidth="1"/>
    <col min="12831" max="12831" width="4" customWidth="1"/>
    <col min="12832" max="12832" width="4.33203125" customWidth="1"/>
    <col min="12833" max="12833" width="1.109375" customWidth="1"/>
    <col min="12834" max="12835" width="4.33203125" customWidth="1"/>
    <col min="12836" max="12836" width="5" customWidth="1"/>
    <col min="12837" max="12837" width="1.33203125" customWidth="1"/>
    <col min="13057" max="13057" width="0.6640625" customWidth="1"/>
    <col min="13058" max="13058" width="3.88671875" customWidth="1"/>
    <col min="13059" max="13059" width="4" customWidth="1"/>
    <col min="13060" max="13060" width="2.44140625" customWidth="1"/>
    <col min="13061" max="13061" width="1.6640625" customWidth="1"/>
    <col min="13062" max="13062" width="11" customWidth="1"/>
    <col min="13063" max="13063" width="2.5546875" customWidth="1"/>
    <col min="13064" max="13064" width="3" customWidth="1"/>
    <col min="13065" max="13066" width="3.109375" customWidth="1"/>
    <col min="13067" max="13067" width="2.44140625" customWidth="1"/>
    <col min="13068" max="13068" width="2.88671875" customWidth="1"/>
    <col min="13069" max="13069" width="0.6640625" customWidth="1"/>
    <col min="13070" max="13070" width="5.33203125" customWidth="1"/>
    <col min="13071" max="13071" width="10.5546875" customWidth="1"/>
    <col min="13072" max="13072" width="5.109375" customWidth="1"/>
    <col min="13073" max="13073" width="7.44140625" customWidth="1"/>
    <col min="13074" max="13074" width="6.6640625" customWidth="1"/>
    <col min="13075" max="13075" width="4.33203125" customWidth="1"/>
    <col min="13076" max="13076" width="2" customWidth="1"/>
    <col min="13077" max="13078" width="2.6640625" customWidth="1"/>
    <col min="13079" max="13080" width="2.109375" customWidth="1"/>
    <col min="13081" max="13081" width="4.6640625" customWidth="1"/>
    <col min="13082" max="13082" width="1.6640625" customWidth="1"/>
    <col min="13083" max="13083" width="6.6640625" customWidth="1"/>
    <col min="13084" max="13085" width="1.88671875" customWidth="1"/>
    <col min="13086" max="13086" width="3" customWidth="1"/>
    <col min="13087" max="13087" width="4" customWidth="1"/>
    <col min="13088" max="13088" width="4.33203125" customWidth="1"/>
    <col min="13089" max="13089" width="1.109375" customWidth="1"/>
    <col min="13090" max="13091" width="4.33203125" customWidth="1"/>
    <col min="13092" max="13092" width="5" customWidth="1"/>
    <col min="13093" max="13093" width="1.33203125" customWidth="1"/>
    <col min="13313" max="13313" width="0.6640625" customWidth="1"/>
    <col min="13314" max="13314" width="3.88671875" customWidth="1"/>
    <col min="13315" max="13315" width="4" customWidth="1"/>
    <col min="13316" max="13316" width="2.44140625" customWidth="1"/>
    <col min="13317" max="13317" width="1.6640625" customWidth="1"/>
    <col min="13318" max="13318" width="11" customWidth="1"/>
    <col min="13319" max="13319" width="2.5546875" customWidth="1"/>
    <col min="13320" max="13320" width="3" customWidth="1"/>
    <col min="13321" max="13322" width="3.109375" customWidth="1"/>
    <col min="13323" max="13323" width="2.44140625" customWidth="1"/>
    <col min="13324" max="13324" width="2.88671875" customWidth="1"/>
    <col min="13325" max="13325" width="0.6640625" customWidth="1"/>
    <col min="13326" max="13326" width="5.33203125" customWidth="1"/>
    <col min="13327" max="13327" width="10.5546875" customWidth="1"/>
    <col min="13328" max="13328" width="5.109375" customWidth="1"/>
    <col min="13329" max="13329" width="7.44140625" customWidth="1"/>
    <col min="13330" max="13330" width="6.6640625" customWidth="1"/>
    <col min="13331" max="13331" width="4.33203125" customWidth="1"/>
    <col min="13332" max="13332" width="2" customWidth="1"/>
    <col min="13333" max="13334" width="2.6640625" customWidth="1"/>
    <col min="13335" max="13336" width="2.109375" customWidth="1"/>
    <col min="13337" max="13337" width="4.6640625" customWidth="1"/>
    <col min="13338" max="13338" width="1.6640625" customWidth="1"/>
    <col min="13339" max="13339" width="6.6640625" customWidth="1"/>
    <col min="13340" max="13341" width="1.88671875" customWidth="1"/>
    <col min="13342" max="13342" width="3" customWidth="1"/>
    <col min="13343" max="13343" width="4" customWidth="1"/>
    <col min="13344" max="13344" width="4.33203125" customWidth="1"/>
    <col min="13345" max="13345" width="1.109375" customWidth="1"/>
    <col min="13346" max="13347" width="4.33203125" customWidth="1"/>
    <col min="13348" max="13348" width="5" customWidth="1"/>
    <col min="13349" max="13349" width="1.33203125" customWidth="1"/>
    <col min="13569" max="13569" width="0.6640625" customWidth="1"/>
    <col min="13570" max="13570" width="3.88671875" customWidth="1"/>
    <col min="13571" max="13571" width="4" customWidth="1"/>
    <col min="13572" max="13572" width="2.44140625" customWidth="1"/>
    <col min="13573" max="13573" width="1.6640625" customWidth="1"/>
    <col min="13574" max="13574" width="11" customWidth="1"/>
    <col min="13575" max="13575" width="2.5546875" customWidth="1"/>
    <col min="13576" max="13576" width="3" customWidth="1"/>
    <col min="13577" max="13578" width="3.109375" customWidth="1"/>
    <col min="13579" max="13579" width="2.44140625" customWidth="1"/>
    <col min="13580" max="13580" width="2.88671875" customWidth="1"/>
    <col min="13581" max="13581" width="0.6640625" customWidth="1"/>
    <col min="13582" max="13582" width="5.33203125" customWidth="1"/>
    <col min="13583" max="13583" width="10.5546875" customWidth="1"/>
    <col min="13584" max="13584" width="5.109375" customWidth="1"/>
    <col min="13585" max="13585" width="7.44140625" customWidth="1"/>
    <col min="13586" max="13586" width="6.6640625" customWidth="1"/>
    <col min="13587" max="13587" width="4.33203125" customWidth="1"/>
    <col min="13588" max="13588" width="2" customWidth="1"/>
    <col min="13589" max="13590" width="2.6640625" customWidth="1"/>
    <col min="13591" max="13592" width="2.109375" customWidth="1"/>
    <col min="13593" max="13593" width="4.6640625" customWidth="1"/>
    <col min="13594" max="13594" width="1.6640625" customWidth="1"/>
    <col min="13595" max="13595" width="6.6640625" customWidth="1"/>
    <col min="13596" max="13597" width="1.88671875" customWidth="1"/>
    <col min="13598" max="13598" width="3" customWidth="1"/>
    <col min="13599" max="13599" width="4" customWidth="1"/>
    <col min="13600" max="13600" width="4.33203125" customWidth="1"/>
    <col min="13601" max="13601" width="1.109375" customWidth="1"/>
    <col min="13602" max="13603" width="4.33203125" customWidth="1"/>
    <col min="13604" max="13604" width="5" customWidth="1"/>
    <col min="13605" max="13605" width="1.33203125" customWidth="1"/>
    <col min="13825" max="13825" width="0.6640625" customWidth="1"/>
    <col min="13826" max="13826" width="3.88671875" customWidth="1"/>
    <col min="13827" max="13827" width="4" customWidth="1"/>
    <col min="13828" max="13828" width="2.44140625" customWidth="1"/>
    <col min="13829" max="13829" width="1.6640625" customWidth="1"/>
    <col min="13830" max="13830" width="11" customWidth="1"/>
    <col min="13831" max="13831" width="2.5546875" customWidth="1"/>
    <col min="13832" max="13832" width="3" customWidth="1"/>
    <col min="13833" max="13834" width="3.109375" customWidth="1"/>
    <col min="13835" max="13835" width="2.44140625" customWidth="1"/>
    <col min="13836" max="13836" width="2.88671875" customWidth="1"/>
    <col min="13837" max="13837" width="0.6640625" customWidth="1"/>
    <col min="13838" max="13838" width="5.33203125" customWidth="1"/>
    <col min="13839" max="13839" width="10.5546875" customWidth="1"/>
    <col min="13840" max="13840" width="5.109375" customWidth="1"/>
    <col min="13841" max="13841" width="7.44140625" customWidth="1"/>
    <col min="13842" max="13842" width="6.6640625" customWidth="1"/>
    <col min="13843" max="13843" width="4.33203125" customWidth="1"/>
    <col min="13844" max="13844" width="2" customWidth="1"/>
    <col min="13845" max="13846" width="2.6640625" customWidth="1"/>
    <col min="13847" max="13848" width="2.109375" customWidth="1"/>
    <col min="13849" max="13849" width="4.6640625" customWidth="1"/>
    <col min="13850" max="13850" width="1.6640625" customWidth="1"/>
    <col min="13851" max="13851" width="6.6640625" customWidth="1"/>
    <col min="13852" max="13853" width="1.88671875" customWidth="1"/>
    <col min="13854" max="13854" width="3" customWidth="1"/>
    <col min="13855" max="13855" width="4" customWidth="1"/>
    <col min="13856" max="13856" width="4.33203125" customWidth="1"/>
    <col min="13857" max="13857" width="1.109375" customWidth="1"/>
    <col min="13858" max="13859" width="4.33203125" customWidth="1"/>
    <col min="13860" max="13860" width="5" customWidth="1"/>
    <col min="13861" max="13861" width="1.33203125" customWidth="1"/>
    <col min="14081" max="14081" width="0.6640625" customWidth="1"/>
    <col min="14082" max="14082" width="3.88671875" customWidth="1"/>
    <col min="14083" max="14083" width="4" customWidth="1"/>
    <col min="14084" max="14084" width="2.44140625" customWidth="1"/>
    <col min="14085" max="14085" width="1.6640625" customWidth="1"/>
    <col min="14086" max="14086" width="11" customWidth="1"/>
    <col min="14087" max="14087" width="2.5546875" customWidth="1"/>
    <col min="14088" max="14088" width="3" customWidth="1"/>
    <col min="14089" max="14090" width="3.109375" customWidth="1"/>
    <col min="14091" max="14091" width="2.44140625" customWidth="1"/>
    <col min="14092" max="14092" width="2.88671875" customWidth="1"/>
    <col min="14093" max="14093" width="0.6640625" customWidth="1"/>
    <col min="14094" max="14094" width="5.33203125" customWidth="1"/>
    <col min="14095" max="14095" width="10.5546875" customWidth="1"/>
    <col min="14096" max="14096" width="5.109375" customWidth="1"/>
    <col min="14097" max="14097" width="7.44140625" customWidth="1"/>
    <col min="14098" max="14098" width="6.6640625" customWidth="1"/>
    <col min="14099" max="14099" width="4.33203125" customWidth="1"/>
    <col min="14100" max="14100" width="2" customWidth="1"/>
    <col min="14101" max="14102" width="2.6640625" customWidth="1"/>
    <col min="14103" max="14104" width="2.109375" customWidth="1"/>
    <col min="14105" max="14105" width="4.6640625" customWidth="1"/>
    <col min="14106" max="14106" width="1.6640625" customWidth="1"/>
    <col min="14107" max="14107" width="6.6640625" customWidth="1"/>
    <col min="14108" max="14109" width="1.88671875" customWidth="1"/>
    <col min="14110" max="14110" width="3" customWidth="1"/>
    <col min="14111" max="14111" width="4" customWidth="1"/>
    <col min="14112" max="14112" width="4.33203125" customWidth="1"/>
    <col min="14113" max="14113" width="1.109375" customWidth="1"/>
    <col min="14114" max="14115" width="4.33203125" customWidth="1"/>
    <col min="14116" max="14116" width="5" customWidth="1"/>
    <col min="14117" max="14117" width="1.33203125" customWidth="1"/>
    <col min="14337" max="14337" width="0.6640625" customWidth="1"/>
    <col min="14338" max="14338" width="3.88671875" customWidth="1"/>
    <col min="14339" max="14339" width="4" customWidth="1"/>
    <col min="14340" max="14340" width="2.44140625" customWidth="1"/>
    <col min="14341" max="14341" width="1.6640625" customWidth="1"/>
    <col min="14342" max="14342" width="11" customWidth="1"/>
    <col min="14343" max="14343" width="2.5546875" customWidth="1"/>
    <col min="14344" max="14344" width="3" customWidth="1"/>
    <col min="14345" max="14346" width="3.109375" customWidth="1"/>
    <col min="14347" max="14347" width="2.44140625" customWidth="1"/>
    <col min="14348" max="14348" width="2.88671875" customWidth="1"/>
    <col min="14349" max="14349" width="0.6640625" customWidth="1"/>
    <col min="14350" max="14350" width="5.33203125" customWidth="1"/>
    <col min="14351" max="14351" width="10.5546875" customWidth="1"/>
    <col min="14352" max="14352" width="5.109375" customWidth="1"/>
    <col min="14353" max="14353" width="7.44140625" customWidth="1"/>
    <col min="14354" max="14354" width="6.6640625" customWidth="1"/>
    <col min="14355" max="14355" width="4.33203125" customWidth="1"/>
    <col min="14356" max="14356" width="2" customWidth="1"/>
    <col min="14357" max="14358" width="2.6640625" customWidth="1"/>
    <col min="14359" max="14360" width="2.109375" customWidth="1"/>
    <col min="14361" max="14361" width="4.6640625" customWidth="1"/>
    <col min="14362" max="14362" width="1.6640625" customWidth="1"/>
    <col min="14363" max="14363" width="6.6640625" customWidth="1"/>
    <col min="14364" max="14365" width="1.88671875" customWidth="1"/>
    <col min="14366" max="14366" width="3" customWidth="1"/>
    <col min="14367" max="14367" width="4" customWidth="1"/>
    <col min="14368" max="14368" width="4.33203125" customWidth="1"/>
    <col min="14369" max="14369" width="1.109375" customWidth="1"/>
    <col min="14370" max="14371" width="4.33203125" customWidth="1"/>
    <col min="14372" max="14372" width="5" customWidth="1"/>
    <col min="14373" max="14373" width="1.33203125" customWidth="1"/>
    <col min="14593" max="14593" width="0.6640625" customWidth="1"/>
    <col min="14594" max="14594" width="3.88671875" customWidth="1"/>
    <col min="14595" max="14595" width="4" customWidth="1"/>
    <col min="14596" max="14596" width="2.44140625" customWidth="1"/>
    <col min="14597" max="14597" width="1.6640625" customWidth="1"/>
    <col min="14598" max="14598" width="11" customWidth="1"/>
    <col min="14599" max="14599" width="2.5546875" customWidth="1"/>
    <col min="14600" max="14600" width="3" customWidth="1"/>
    <col min="14601" max="14602" width="3.109375" customWidth="1"/>
    <col min="14603" max="14603" width="2.44140625" customWidth="1"/>
    <col min="14604" max="14604" width="2.88671875" customWidth="1"/>
    <col min="14605" max="14605" width="0.6640625" customWidth="1"/>
    <col min="14606" max="14606" width="5.33203125" customWidth="1"/>
    <col min="14607" max="14607" width="10.5546875" customWidth="1"/>
    <col min="14608" max="14608" width="5.109375" customWidth="1"/>
    <col min="14609" max="14609" width="7.44140625" customWidth="1"/>
    <col min="14610" max="14610" width="6.6640625" customWidth="1"/>
    <col min="14611" max="14611" width="4.33203125" customWidth="1"/>
    <col min="14612" max="14612" width="2" customWidth="1"/>
    <col min="14613" max="14614" width="2.6640625" customWidth="1"/>
    <col min="14615" max="14616" width="2.109375" customWidth="1"/>
    <col min="14617" max="14617" width="4.6640625" customWidth="1"/>
    <col min="14618" max="14618" width="1.6640625" customWidth="1"/>
    <col min="14619" max="14619" width="6.6640625" customWidth="1"/>
    <col min="14620" max="14621" width="1.88671875" customWidth="1"/>
    <col min="14622" max="14622" width="3" customWidth="1"/>
    <col min="14623" max="14623" width="4" customWidth="1"/>
    <col min="14624" max="14624" width="4.33203125" customWidth="1"/>
    <col min="14625" max="14625" width="1.109375" customWidth="1"/>
    <col min="14626" max="14627" width="4.33203125" customWidth="1"/>
    <col min="14628" max="14628" width="5" customWidth="1"/>
    <col min="14629" max="14629" width="1.33203125" customWidth="1"/>
    <col min="14849" max="14849" width="0.6640625" customWidth="1"/>
    <col min="14850" max="14850" width="3.88671875" customWidth="1"/>
    <col min="14851" max="14851" width="4" customWidth="1"/>
    <col min="14852" max="14852" width="2.44140625" customWidth="1"/>
    <col min="14853" max="14853" width="1.6640625" customWidth="1"/>
    <col min="14854" max="14854" width="11" customWidth="1"/>
    <col min="14855" max="14855" width="2.5546875" customWidth="1"/>
    <col min="14856" max="14856" width="3" customWidth="1"/>
    <col min="14857" max="14858" width="3.109375" customWidth="1"/>
    <col min="14859" max="14859" width="2.44140625" customWidth="1"/>
    <col min="14860" max="14860" width="2.88671875" customWidth="1"/>
    <col min="14861" max="14861" width="0.6640625" customWidth="1"/>
    <col min="14862" max="14862" width="5.33203125" customWidth="1"/>
    <col min="14863" max="14863" width="10.5546875" customWidth="1"/>
    <col min="14864" max="14864" width="5.109375" customWidth="1"/>
    <col min="14865" max="14865" width="7.44140625" customWidth="1"/>
    <col min="14866" max="14866" width="6.6640625" customWidth="1"/>
    <col min="14867" max="14867" width="4.33203125" customWidth="1"/>
    <col min="14868" max="14868" width="2" customWidth="1"/>
    <col min="14869" max="14870" width="2.6640625" customWidth="1"/>
    <col min="14871" max="14872" width="2.109375" customWidth="1"/>
    <col min="14873" max="14873" width="4.6640625" customWidth="1"/>
    <col min="14874" max="14874" width="1.6640625" customWidth="1"/>
    <col min="14875" max="14875" width="6.6640625" customWidth="1"/>
    <col min="14876" max="14877" width="1.88671875" customWidth="1"/>
    <col min="14878" max="14878" width="3" customWidth="1"/>
    <col min="14879" max="14879" width="4" customWidth="1"/>
    <col min="14880" max="14880" width="4.33203125" customWidth="1"/>
    <col min="14881" max="14881" width="1.109375" customWidth="1"/>
    <col min="14882" max="14883" width="4.33203125" customWidth="1"/>
    <col min="14884" max="14884" width="5" customWidth="1"/>
    <col min="14885" max="14885" width="1.33203125" customWidth="1"/>
    <col min="15105" max="15105" width="0.6640625" customWidth="1"/>
    <col min="15106" max="15106" width="3.88671875" customWidth="1"/>
    <col min="15107" max="15107" width="4" customWidth="1"/>
    <col min="15108" max="15108" width="2.44140625" customWidth="1"/>
    <col min="15109" max="15109" width="1.6640625" customWidth="1"/>
    <col min="15110" max="15110" width="11" customWidth="1"/>
    <col min="15111" max="15111" width="2.5546875" customWidth="1"/>
    <col min="15112" max="15112" width="3" customWidth="1"/>
    <col min="15113" max="15114" width="3.109375" customWidth="1"/>
    <col min="15115" max="15115" width="2.44140625" customWidth="1"/>
    <col min="15116" max="15116" width="2.88671875" customWidth="1"/>
    <col min="15117" max="15117" width="0.6640625" customWidth="1"/>
    <col min="15118" max="15118" width="5.33203125" customWidth="1"/>
    <col min="15119" max="15119" width="10.5546875" customWidth="1"/>
    <col min="15120" max="15120" width="5.109375" customWidth="1"/>
    <col min="15121" max="15121" width="7.44140625" customWidth="1"/>
    <col min="15122" max="15122" width="6.6640625" customWidth="1"/>
    <col min="15123" max="15123" width="4.33203125" customWidth="1"/>
    <col min="15124" max="15124" width="2" customWidth="1"/>
    <col min="15125" max="15126" width="2.6640625" customWidth="1"/>
    <col min="15127" max="15128" width="2.109375" customWidth="1"/>
    <col min="15129" max="15129" width="4.6640625" customWidth="1"/>
    <col min="15130" max="15130" width="1.6640625" customWidth="1"/>
    <col min="15131" max="15131" width="6.6640625" customWidth="1"/>
    <col min="15132" max="15133" width="1.88671875" customWidth="1"/>
    <col min="15134" max="15134" width="3" customWidth="1"/>
    <col min="15135" max="15135" width="4" customWidth="1"/>
    <col min="15136" max="15136" width="4.33203125" customWidth="1"/>
    <col min="15137" max="15137" width="1.109375" customWidth="1"/>
    <col min="15138" max="15139" width="4.33203125" customWidth="1"/>
    <col min="15140" max="15140" width="5" customWidth="1"/>
    <col min="15141" max="15141" width="1.33203125" customWidth="1"/>
    <col min="15361" max="15361" width="0.6640625" customWidth="1"/>
    <col min="15362" max="15362" width="3.88671875" customWidth="1"/>
    <col min="15363" max="15363" width="4" customWidth="1"/>
    <col min="15364" max="15364" width="2.44140625" customWidth="1"/>
    <col min="15365" max="15365" width="1.6640625" customWidth="1"/>
    <col min="15366" max="15366" width="11" customWidth="1"/>
    <col min="15367" max="15367" width="2.5546875" customWidth="1"/>
    <col min="15368" max="15368" width="3" customWidth="1"/>
    <col min="15369" max="15370" width="3.109375" customWidth="1"/>
    <col min="15371" max="15371" width="2.44140625" customWidth="1"/>
    <col min="15372" max="15372" width="2.88671875" customWidth="1"/>
    <col min="15373" max="15373" width="0.6640625" customWidth="1"/>
    <col min="15374" max="15374" width="5.33203125" customWidth="1"/>
    <col min="15375" max="15375" width="10.5546875" customWidth="1"/>
    <col min="15376" max="15376" width="5.109375" customWidth="1"/>
    <col min="15377" max="15377" width="7.44140625" customWidth="1"/>
    <col min="15378" max="15378" width="6.6640625" customWidth="1"/>
    <col min="15379" max="15379" width="4.33203125" customWidth="1"/>
    <col min="15380" max="15380" width="2" customWidth="1"/>
    <col min="15381" max="15382" width="2.6640625" customWidth="1"/>
    <col min="15383" max="15384" width="2.109375" customWidth="1"/>
    <col min="15385" max="15385" width="4.6640625" customWidth="1"/>
    <col min="15386" max="15386" width="1.6640625" customWidth="1"/>
    <col min="15387" max="15387" width="6.6640625" customWidth="1"/>
    <col min="15388" max="15389" width="1.88671875" customWidth="1"/>
    <col min="15390" max="15390" width="3" customWidth="1"/>
    <col min="15391" max="15391" width="4" customWidth="1"/>
    <col min="15392" max="15392" width="4.33203125" customWidth="1"/>
    <col min="15393" max="15393" width="1.109375" customWidth="1"/>
    <col min="15394" max="15395" width="4.33203125" customWidth="1"/>
    <col min="15396" max="15396" width="5" customWidth="1"/>
    <col min="15397" max="15397" width="1.33203125" customWidth="1"/>
    <col min="15617" max="15617" width="0.6640625" customWidth="1"/>
    <col min="15618" max="15618" width="3.88671875" customWidth="1"/>
    <col min="15619" max="15619" width="4" customWidth="1"/>
    <col min="15620" max="15620" width="2.44140625" customWidth="1"/>
    <col min="15621" max="15621" width="1.6640625" customWidth="1"/>
    <col min="15622" max="15622" width="11" customWidth="1"/>
    <col min="15623" max="15623" width="2.5546875" customWidth="1"/>
    <col min="15624" max="15624" width="3" customWidth="1"/>
    <col min="15625" max="15626" width="3.109375" customWidth="1"/>
    <col min="15627" max="15627" width="2.44140625" customWidth="1"/>
    <col min="15628" max="15628" width="2.88671875" customWidth="1"/>
    <col min="15629" max="15629" width="0.6640625" customWidth="1"/>
    <col min="15630" max="15630" width="5.33203125" customWidth="1"/>
    <col min="15631" max="15631" width="10.5546875" customWidth="1"/>
    <col min="15632" max="15632" width="5.109375" customWidth="1"/>
    <col min="15633" max="15633" width="7.44140625" customWidth="1"/>
    <col min="15634" max="15634" width="6.6640625" customWidth="1"/>
    <col min="15635" max="15635" width="4.33203125" customWidth="1"/>
    <col min="15636" max="15636" width="2" customWidth="1"/>
    <col min="15637" max="15638" width="2.6640625" customWidth="1"/>
    <col min="15639" max="15640" width="2.109375" customWidth="1"/>
    <col min="15641" max="15641" width="4.6640625" customWidth="1"/>
    <col min="15642" max="15642" width="1.6640625" customWidth="1"/>
    <col min="15643" max="15643" width="6.6640625" customWidth="1"/>
    <col min="15644" max="15645" width="1.88671875" customWidth="1"/>
    <col min="15646" max="15646" width="3" customWidth="1"/>
    <col min="15647" max="15647" width="4" customWidth="1"/>
    <col min="15648" max="15648" width="4.33203125" customWidth="1"/>
    <col min="15649" max="15649" width="1.109375" customWidth="1"/>
    <col min="15650" max="15651" width="4.33203125" customWidth="1"/>
    <col min="15652" max="15652" width="5" customWidth="1"/>
    <col min="15653" max="15653" width="1.33203125" customWidth="1"/>
    <col min="15873" max="15873" width="0.6640625" customWidth="1"/>
    <col min="15874" max="15874" width="3.88671875" customWidth="1"/>
    <col min="15875" max="15875" width="4" customWidth="1"/>
    <col min="15876" max="15876" width="2.44140625" customWidth="1"/>
    <col min="15877" max="15877" width="1.6640625" customWidth="1"/>
    <col min="15878" max="15878" width="11" customWidth="1"/>
    <col min="15879" max="15879" width="2.5546875" customWidth="1"/>
    <col min="15880" max="15880" width="3" customWidth="1"/>
    <col min="15881" max="15882" width="3.109375" customWidth="1"/>
    <col min="15883" max="15883" width="2.44140625" customWidth="1"/>
    <col min="15884" max="15884" width="2.88671875" customWidth="1"/>
    <col min="15885" max="15885" width="0.6640625" customWidth="1"/>
    <col min="15886" max="15886" width="5.33203125" customWidth="1"/>
    <col min="15887" max="15887" width="10.5546875" customWidth="1"/>
    <col min="15888" max="15888" width="5.109375" customWidth="1"/>
    <col min="15889" max="15889" width="7.44140625" customWidth="1"/>
    <col min="15890" max="15890" width="6.6640625" customWidth="1"/>
    <col min="15891" max="15891" width="4.33203125" customWidth="1"/>
    <col min="15892" max="15892" width="2" customWidth="1"/>
    <col min="15893" max="15894" width="2.6640625" customWidth="1"/>
    <col min="15895" max="15896" width="2.109375" customWidth="1"/>
    <col min="15897" max="15897" width="4.6640625" customWidth="1"/>
    <col min="15898" max="15898" width="1.6640625" customWidth="1"/>
    <col min="15899" max="15899" width="6.6640625" customWidth="1"/>
    <col min="15900" max="15901" width="1.88671875" customWidth="1"/>
    <col min="15902" max="15902" width="3" customWidth="1"/>
    <col min="15903" max="15903" width="4" customWidth="1"/>
    <col min="15904" max="15904" width="4.33203125" customWidth="1"/>
    <col min="15905" max="15905" width="1.109375" customWidth="1"/>
    <col min="15906" max="15907" width="4.33203125" customWidth="1"/>
    <col min="15908" max="15908" width="5" customWidth="1"/>
    <col min="15909" max="15909" width="1.33203125" customWidth="1"/>
    <col min="16129" max="16129" width="0.6640625" customWidth="1"/>
    <col min="16130" max="16130" width="3.88671875" customWidth="1"/>
    <col min="16131" max="16131" width="4" customWidth="1"/>
    <col min="16132" max="16132" width="2.44140625" customWidth="1"/>
    <col min="16133" max="16133" width="1.6640625" customWidth="1"/>
    <col min="16134" max="16134" width="11" customWidth="1"/>
    <col min="16135" max="16135" width="2.5546875" customWidth="1"/>
    <col min="16136" max="16136" width="3" customWidth="1"/>
    <col min="16137" max="16138" width="3.109375" customWidth="1"/>
    <col min="16139" max="16139" width="2.44140625" customWidth="1"/>
    <col min="16140" max="16140" width="2.88671875" customWidth="1"/>
    <col min="16141" max="16141" width="0.6640625" customWidth="1"/>
    <col min="16142" max="16142" width="5.33203125" customWidth="1"/>
    <col min="16143" max="16143" width="10.5546875" customWidth="1"/>
    <col min="16144" max="16144" width="5.109375" customWidth="1"/>
    <col min="16145" max="16145" width="7.44140625" customWidth="1"/>
    <col min="16146" max="16146" width="6.6640625" customWidth="1"/>
    <col min="16147" max="16147" width="4.33203125" customWidth="1"/>
    <col min="16148" max="16148" width="2" customWidth="1"/>
    <col min="16149" max="16150" width="2.6640625" customWidth="1"/>
    <col min="16151" max="16152" width="2.109375" customWidth="1"/>
    <col min="16153" max="16153" width="4.6640625" customWidth="1"/>
    <col min="16154" max="16154" width="1.6640625" customWidth="1"/>
    <col min="16155" max="16155" width="6.6640625" customWidth="1"/>
    <col min="16156" max="16157" width="1.88671875" customWidth="1"/>
    <col min="16158" max="16158" width="3" customWidth="1"/>
    <col min="16159" max="16159" width="4" customWidth="1"/>
    <col min="16160" max="16160" width="4.33203125" customWidth="1"/>
    <col min="16161" max="16161" width="1.109375" customWidth="1"/>
    <col min="16162" max="16163" width="4.33203125" customWidth="1"/>
    <col min="16164" max="16164" width="5" customWidth="1"/>
    <col min="16165" max="16165" width="1.33203125" customWidth="1"/>
  </cols>
  <sheetData>
    <row r="1" spans="1:37" ht="13.5" customHeight="1">
      <c r="A1" s="595"/>
      <c r="B1" s="595"/>
      <c r="C1" s="595"/>
      <c r="D1" s="595"/>
      <c r="E1" s="595"/>
      <c r="F1" s="595"/>
      <c r="G1" s="595"/>
      <c r="H1" s="595"/>
      <c r="I1" s="595"/>
      <c r="J1" s="595"/>
      <c r="K1" s="595"/>
      <c r="L1" s="595"/>
      <c r="M1" s="595"/>
      <c r="N1" s="595"/>
      <c r="O1" s="595"/>
      <c r="P1" s="595"/>
      <c r="Q1" s="812"/>
      <c r="R1" s="812"/>
      <c r="S1" s="812"/>
      <c r="T1" s="595"/>
      <c r="U1" s="595"/>
      <c r="V1" s="595"/>
      <c r="W1" s="595"/>
      <c r="X1" s="595"/>
      <c r="Y1" s="595"/>
      <c r="Z1" s="595"/>
      <c r="AA1" s="595"/>
      <c r="AB1" s="595"/>
      <c r="AC1" s="595"/>
      <c r="AD1" s="595"/>
      <c r="AE1" s="595"/>
      <c r="AF1" s="595"/>
      <c r="AG1" s="595"/>
      <c r="AH1" s="3434" t="str">
        <f>'DS Log Pg 1'!U1</f>
        <v>700-010-84</v>
      </c>
      <c r="AI1" s="3435"/>
      <c r="AJ1" s="3435"/>
      <c r="AK1" s="595"/>
    </row>
    <row r="2" spans="1:37" ht="12.75" customHeight="1">
      <c r="A2" s="595"/>
      <c r="B2" s="595"/>
      <c r="C2" s="595"/>
      <c r="D2" s="1833" t="s">
        <v>933</v>
      </c>
      <c r="E2" s="1833"/>
      <c r="F2" s="1833"/>
      <c r="G2" s="1833"/>
      <c r="H2" s="1833"/>
      <c r="I2" s="1833"/>
      <c r="J2" s="1833"/>
      <c r="K2" s="1833"/>
      <c r="L2" s="1833"/>
      <c r="M2" s="1833"/>
      <c r="N2" s="1833"/>
      <c r="O2" s="1833"/>
      <c r="P2" s="1833"/>
      <c r="Q2" s="1833"/>
      <c r="R2" s="1833"/>
      <c r="S2" s="1833"/>
      <c r="T2" s="1833"/>
      <c r="U2" s="1833"/>
      <c r="V2" s="1833"/>
      <c r="W2" s="1833"/>
      <c r="X2" s="1833"/>
      <c r="Y2" s="1833"/>
      <c r="Z2" s="1833"/>
      <c r="AA2" s="1833"/>
      <c r="AB2" s="1833"/>
      <c r="AC2" s="1833"/>
      <c r="AD2" s="1833"/>
      <c r="AE2" s="1833"/>
      <c r="AF2" s="1833"/>
      <c r="AG2" s="869"/>
      <c r="AH2" s="3436" t="s">
        <v>8</v>
      </c>
      <c r="AI2" s="3437"/>
      <c r="AJ2" s="3437"/>
      <c r="AK2" s="595"/>
    </row>
    <row r="3" spans="1:37" ht="21.75" customHeight="1">
      <c r="A3" s="595"/>
      <c r="B3" s="595"/>
      <c r="C3" s="595"/>
      <c r="D3" s="1834" t="s">
        <v>961</v>
      </c>
      <c r="E3" s="1835"/>
      <c r="F3" s="1835"/>
      <c r="G3" s="1835"/>
      <c r="H3" s="1835"/>
      <c r="I3" s="1835"/>
      <c r="J3" s="1835"/>
      <c r="K3" s="1835"/>
      <c r="L3" s="1835"/>
      <c r="M3" s="1835"/>
      <c r="N3" s="1835"/>
      <c r="O3" s="1835"/>
      <c r="P3" s="1835"/>
      <c r="Q3" s="1835"/>
      <c r="R3" s="1835"/>
      <c r="S3" s="1835"/>
      <c r="T3" s="1835"/>
      <c r="U3" s="1835"/>
      <c r="V3" s="1835"/>
      <c r="W3" s="1835"/>
      <c r="X3" s="1835"/>
      <c r="Y3" s="1835"/>
      <c r="Z3" s="1835"/>
      <c r="AA3" s="1835"/>
      <c r="AB3" s="1835"/>
      <c r="AC3" s="1835"/>
      <c r="AD3" s="1835"/>
      <c r="AE3" s="1835"/>
      <c r="AF3" s="1835"/>
      <c r="AG3" s="596"/>
      <c r="AH3" s="931"/>
      <c r="AI3" s="3438">
        <f>'DS Log Pg 1'!U3</f>
        <v>45222</v>
      </c>
      <c r="AJ3" s="3439"/>
      <c r="AK3" s="595"/>
    </row>
    <row r="4" spans="1:37" ht="15" customHeight="1" thickBot="1">
      <c r="A4" s="595"/>
      <c r="B4" s="595"/>
      <c r="C4" s="595"/>
      <c r="D4" s="595"/>
      <c r="E4" s="1838"/>
      <c r="F4" s="1838"/>
      <c r="G4" s="1838"/>
      <c r="H4" s="1838"/>
      <c r="I4" s="1838"/>
      <c r="J4" s="1838"/>
      <c r="K4" s="1838"/>
      <c r="L4" s="1838"/>
      <c r="M4" s="1838"/>
      <c r="N4" s="1838"/>
      <c r="O4" s="1838"/>
      <c r="P4" s="1838"/>
      <c r="Q4" s="1838"/>
      <c r="R4" s="1838"/>
      <c r="S4" s="1838"/>
      <c r="T4" s="1838"/>
      <c r="U4" s="1838"/>
      <c r="V4" s="1838"/>
      <c r="W4" s="1838"/>
      <c r="X4" s="1838"/>
      <c r="Y4" s="1838"/>
      <c r="Z4" s="1838"/>
      <c r="AA4" s="1838"/>
      <c r="AB4" s="1838"/>
      <c r="AC4" s="1838"/>
      <c r="AD4" s="1838"/>
      <c r="AE4" s="1838"/>
      <c r="AF4" s="1838"/>
      <c r="AG4" s="872"/>
      <c r="AH4" s="872"/>
      <c r="AI4" s="846"/>
      <c r="AJ4" s="595"/>
      <c r="AK4" s="595"/>
    </row>
    <row r="5" spans="1:37" ht="18" customHeight="1" thickTop="1">
      <c r="A5" s="595"/>
      <c r="B5" s="845"/>
      <c r="C5" s="876"/>
      <c r="D5" s="876"/>
      <c r="E5" s="876"/>
      <c r="F5" s="876"/>
      <c r="G5" s="876"/>
      <c r="H5" s="876"/>
      <c r="I5" s="876"/>
      <c r="J5" s="876"/>
      <c r="K5" s="876"/>
      <c r="L5" s="876"/>
      <c r="M5" s="876"/>
      <c r="N5" s="876"/>
      <c r="O5" s="876"/>
      <c r="P5" s="876"/>
      <c r="Q5" s="877"/>
      <c r="R5" s="877"/>
      <c r="S5" s="877"/>
      <c r="T5" s="876"/>
      <c r="U5" s="876"/>
      <c r="V5" s="876"/>
      <c r="W5" s="876"/>
      <c r="X5" s="876"/>
      <c r="Y5" s="876"/>
      <c r="Z5" s="876"/>
      <c r="AA5" s="876"/>
      <c r="AB5" s="876"/>
      <c r="AC5" s="876"/>
      <c r="AD5" s="876"/>
      <c r="AE5" s="876"/>
      <c r="AF5" s="876"/>
      <c r="AG5" s="876"/>
      <c r="AH5" s="876"/>
      <c r="AI5" s="876"/>
      <c r="AJ5" s="878"/>
      <c r="AK5" s="595"/>
    </row>
    <row r="6" spans="1:37" ht="18" customHeight="1" thickBot="1">
      <c r="A6" s="595"/>
      <c r="B6" s="841"/>
      <c r="C6" s="840"/>
      <c r="D6" s="840"/>
      <c r="E6" s="840"/>
      <c r="F6" s="840"/>
      <c r="G6" s="840"/>
      <c r="H6" s="840"/>
      <c r="I6" s="840"/>
      <c r="J6" s="840"/>
      <c r="K6" s="840"/>
      <c r="L6" s="840"/>
      <c r="M6" s="840"/>
      <c r="N6" s="840"/>
      <c r="O6" s="840"/>
      <c r="P6" s="840"/>
      <c r="Q6" s="873"/>
      <c r="R6" s="873"/>
      <c r="S6" s="873"/>
      <c r="T6" s="840"/>
      <c r="U6" s="1843" t="s">
        <v>10</v>
      </c>
      <c r="V6" s="1843"/>
      <c r="W6" s="1843"/>
      <c r="X6" s="1843"/>
      <c r="Y6" s="1843"/>
      <c r="Z6" s="1841"/>
      <c r="AA6" s="1841"/>
      <c r="AB6" s="871"/>
      <c r="AC6" s="871"/>
      <c r="AD6" s="3413"/>
      <c r="AE6" s="3413"/>
      <c r="AF6" s="873" t="s">
        <v>981</v>
      </c>
      <c r="AG6" s="840"/>
      <c r="AH6" s="3413"/>
      <c r="AI6" s="3413"/>
      <c r="AJ6" s="827"/>
      <c r="AK6" s="595"/>
    </row>
    <row r="7" spans="1:37" ht="18" customHeight="1" thickBot="1">
      <c r="A7" s="595"/>
      <c r="B7" s="841"/>
      <c r="C7" s="1843" t="s">
        <v>669</v>
      </c>
      <c r="D7" s="1843"/>
      <c r="E7" s="1843"/>
      <c r="F7" s="1843"/>
      <c r="G7" s="3433" t="str">
        <f>IF('DS Log Pg 1'!D7="","",'DS Log Pg 1'!D7)</f>
        <v/>
      </c>
      <c r="H7" s="3433"/>
      <c r="I7" s="3433"/>
      <c r="J7" s="3433"/>
      <c r="K7" s="3433"/>
      <c r="L7" s="3433"/>
      <c r="M7" s="3433"/>
      <c r="N7" s="3433"/>
      <c r="O7" s="3433"/>
      <c r="P7" s="3433"/>
      <c r="Q7" s="3433"/>
      <c r="R7" s="3433"/>
      <c r="S7" s="3433"/>
      <c r="T7" s="873"/>
      <c r="U7" s="1843" t="s">
        <v>670</v>
      </c>
      <c r="V7" s="1843"/>
      <c r="W7" s="1843"/>
      <c r="X7" s="1843"/>
      <c r="Y7" s="1843"/>
      <c r="Z7" s="1843"/>
      <c r="AA7" s="1843"/>
      <c r="AB7" s="870"/>
      <c r="AC7" s="870"/>
      <c r="AD7" s="3432" t="str">
        <f>IF('DS Log Pg 1'!S7="","",'DS Log Pg 1'!S7)</f>
        <v/>
      </c>
      <c r="AE7" s="3432"/>
      <c r="AF7" s="3432"/>
      <c r="AG7" s="3432"/>
      <c r="AH7" s="3432"/>
      <c r="AI7" s="3432"/>
      <c r="AJ7" s="827"/>
      <c r="AK7" s="595"/>
    </row>
    <row r="8" spans="1:37" ht="18" customHeight="1" thickBot="1">
      <c r="A8" s="595"/>
      <c r="B8" s="841"/>
      <c r="C8" s="1843" t="s">
        <v>931</v>
      </c>
      <c r="D8" s="1843"/>
      <c r="E8" s="1843"/>
      <c r="F8" s="1843"/>
      <c r="G8" s="3433" t="str">
        <f>IF('DS Log Pg 1'!D8="","",'DS Log Pg 1'!D8)</f>
        <v/>
      </c>
      <c r="H8" s="3433"/>
      <c r="I8" s="3433"/>
      <c r="J8" s="3433"/>
      <c r="K8" s="3433"/>
      <c r="L8" s="3433"/>
      <c r="M8" s="3433"/>
      <c r="N8" s="3433"/>
      <c r="O8" s="3433"/>
      <c r="P8" s="3433"/>
      <c r="Q8" s="3433"/>
      <c r="R8" s="3433"/>
      <c r="S8" s="3433"/>
      <c r="T8" s="873"/>
      <c r="U8" s="1841" t="s">
        <v>671</v>
      </c>
      <c r="V8" s="1841"/>
      <c r="W8" s="1841"/>
      <c r="X8" s="1841"/>
      <c r="Y8" s="1841"/>
      <c r="Z8" s="1841"/>
      <c r="AA8" s="1841"/>
      <c r="AB8" s="871"/>
      <c r="AC8" s="871"/>
      <c r="AD8" s="3432" t="str">
        <f>IF('DS Log Pg 1'!S8="","",'DS Log Pg 1'!S8)</f>
        <v/>
      </c>
      <c r="AE8" s="3432"/>
      <c r="AF8" s="3432"/>
      <c r="AG8" s="3432"/>
      <c r="AH8" s="3432"/>
      <c r="AI8" s="3432"/>
      <c r="AJ8" s="827"/>
      <c r="AK8" s="595"/>
    </row>
    <row r="9" spans="1:37" ht="18" customHeight="1" thickBot="1">
      <c r="A9" s="595"/>
      <c r="B9" s="841"/>
      <c r="C9" s="1843" t="s">
        <v>672</v>
      </c>
      <c r="D9" s="1843"/>
      <c r="E9" s="1843"/>
      <c r="F9" s="1843"/>
      <c r="G9" s="3433" t="str">
        <f>IF('DS Log Pg 1'!D9="","",'DS Log Pg 1'!D9)</f>
        <v/>
      </c>
      <c r="H9" s="3433"/>
      <c r="I9" s="3433"/>
      <c r="J9" s="3433"/>
      <c r="K9" s="3433"/>
      <c r="L9" s="3433"/>
      <c r="M9" s="3433"/>
      <c r="N9" s="3433"/>
      <c r="O9" s="3433"/>
      <c r="P9" s="3433"/>
      <c r="Q9" s="3433"/>
      <c r="R9" s="3433"/>
      <c r="S9" s="3433"/>
      <c r="T9" s="840"/>
      <c r="U9" s="1841" t="s">
        <v>673</v>
      </c>
      <c r="V9" s="1841"/>
      <c r="W9" s="1841"/>
      <c r="X9" s="1841"/>
      <c r="Y9" s="1841"/>
      <c r="Z9" s="1841"/>
      <c r="AA9" s="1841"/>
      <c r="AB9" s="871"/>
      <c r="AC9" s="871"/>
      <c r="AD9" s="3431" t="str">
        <f>IF('DS Log Pg 1'!S9="","",'DS Log Pg 1'!S9)</f>
        <v/>
      </c>
      <c r="AE9" s="3431"/>
      <c r="AF9" s="3431"/>
      <c r="AG9" s="3431"/>
      <c r="AH9" s="3431"/>
      <c r="AI9" s="3431"/>
      <c r="AJ9" s="827"/>
      <c r="AK9" s="595"/>
    </row>
    <row r="10" spans="1:37" ht="18" customHeight="1" thickBot="1">
      <c r="A10" s="595"/>
      <c r="B10" s="841"/>
      <c r="C10" s="1843" t="s">
        <v>930</v>
      </c>
      <c r="D10" s="1843"/>
      <c r="E10" s="1843"/>
      <c r="F10" s="1843"/>
      <c r="G10" s="3428"/>
      <c r="H10" s="3428"/>
      <c r="I10" s="3428"/>
      <c r="J10" s="3428"/>
      <c r="K10" s="3428"/>
      <c r="L10" s="3428"/>
      <c r="M10" s="3428"/>
      <c r="N10" s="873" t="s">
        <v>674</v>
      </c>
      <c r="O10" s="3429"/>
      <c r="P10" s="3429"/>
      <c r="Q10" s="839" t="s">
        <v>675</v>
      </c>
      <c r="R10" s="3430"/>
      <c r="S10" s="3430"/>
      <c r="T10" s="840"/>
      <c r="U10" s="1841" t="s">
        <v>676</v>
      </c>
      <c r="V10" s="1841"/>
      <c r="W10" s="1841"/>
      <c r="X10" s="1841"/>
      <c r="Y10" s="1841"/>
      <c r="Z10" s="1841"/>
      <c r="AA10" s="1841"/>
      <c r="AB10" s="871"/>
      <c r="AC10" s="871"/>
      <c r="AD10" s="3431" t="str">
        <f>IF('DS Log Pg 1'!S10="","",'DS Log Pg 1'!S10)</f>
        <v/>
      </c>
      <c r="AE10" s="3431"/>
      <c r="AF10" s="3431"/>
      <c r="AG10" s="3431"/>
      <c r="AH10" s="3431"/>
      <c r="AI10" s="3431"/>
      <c r="AJ10" s="827"/>
      <c r="AK10" s="595"/>
    </row>
    <row r="11" spans="1:37" ht="18" customHeight="1" thickBot="1">
      <c r="A11" s="595"/>
      <c r="B11" s="841"/>
      <c r="C11" s="1843" t="s">
        <v>929</v>
      </c>
      <c r="D11" s="1843"/>
      <c r="E11" s="1843"/>
      <c r="F11" s="1843"/>
      <c r="G11" s="1847"/>
      <c r="H11" s="1847"/>
      <c r="I11" s="1847"/>
      <c r="J11" s="1847"/>
      <c r="K11" s="1847"/>
      <c r="L11" s="1847"/>
      <c r="M11" s="1847"/>
      <c r="N11" s="1847"/>
      <c r="O11" s="1847"/>
      <c r="P11" s="1847"/>
      <c r="Q11" s="839" t="s">
        <v>675</v>
      </c>
      <c r="R11" s="1848"/>
      <c r="S11" s="1848"/>
      <c r="T11" s="840"/>
      <c r="U11" s="1841" t="s">
        <v>928</v>
      </c>
      <c r="V11" s="1841"/>
      <c r="W11" s="1841"/>
      <c r="X11" s="1841"/>
      <c r="Y11" s="1841"/>
      <c r="Z11" s="1841"/>
      <c r="AA11" s="1841"/>
      <c r="AB11" s="871"/>
      <c r="AC11" s="871"/>
      <c r="AD11" s="3432" t="str">
        <f>IF('DS Log Pg 1'!S11="","",'DS Log Pg 1'!S11)</f>
        <v/>
      </c>
      <c r="AE11" s="3432"/>
      <c r="AF11" s="3432"/>
      <c r="AG11" s="3432"/>
      <c r="AH11" s="3432"/>
      <c r="AI11" s="3432"/>
      <c r="AJ11" s="827"/>
      <c r="AK11" s="595"/>
    </row>
    <row r="12" spans="1:37" ht="15.75" customHeight="1">
      <c r="A12" s="595"/>
      <c r="B12" s="841"/>
      <c r="C12" s="840"/>
      <c r="D12" s="840"/>
      <c r="E12" s="840"/>
      <c r="F12" s="839"/>
      <c r="G12" s="3427" t="s">
        <v>927</v>
      </c>
      <c r="H12" s="3427"/>
      <c r="I12" s="3427"/>
      <c r="J12" s="3427"/>
      <c r="K12" s="3427"/>
      <c r="L12" s="3427"/>
      <c r="M12" s="3427"/>
      <c r="N12" s="3427"/>
      <c r="O12" s="3427"/>
      <c r="P12" s="3427"/>
      <c r="Q12" s="873"/>
      <c r="R12" s="873"/>
      <c r="S12" s="873"/>
      <c r="T12" s="840"/>
      <c r="U12" s="840"/>
      <c r="V12" s="840"/>
      <c r="W12" s="840"/>
      <c r="X12" s="840"/>
      <c r="Y12" s="840"/>
      <c r="Z12" s="840"/>
      <c r="AA12" s="840"/>
      <c r="AB12" s="840"/>
      <c r="AC12" s="840"/>
      <c r="AD12" s="840"/>
      <c r="AE12" s="839"/>
      <c r="AF12" s="1850"/>
      <c r="AG12" s="1850"/>
      <c r="AH12" s="1850"/>
      <c r="AI12" s="1850"/>
      <c r="AJ12" s="827"/>
      <c r="AK12" s="595"/>
    </row>
    <row r="13" spans="1:37" ht="9.75" customHeight="1" thickBot="1">
      <c r="A13" s="595"/>
      <c r="B13" s="838"/>
      <c r="C13" s="837"/>
      <c r="D13" s="837"/>
      <c r="E13" s="837"/>
      <c r="F13" s="836"/>
      <c r="G13" s="835"/>
      <c r="H13" s="835"/>
      <c r="I13" s="835"/>
      <c r="J13" s="835"/>
      <c r="K13" s="835"/>
      <c r="L13" s="835"/>
      <c r="M13" s="835"/>
      <c r="N13" s="835"/>
      <c r="O13" s="835"/>
      <c r="P13" s="835"/>
      <c r="Q13" s="835"/>
      <c r="R13" s="835"/>
      <c r="S13" s="835"/>
      <c r="T13" s="837"/>
      <c r="U13" s="837"/>
      <c r="V13" s="837"/>
      <c r="W13" s="837"/>
      <c r="X13" s="837"/>
      <c r="Y13" s="837"/>
      <c r="Z13" s="837"/>
      <c r="AA13" s="837"/>
      <c r="AB13" s="837"/>
      <c r="AC13" s="837"/>
      <c r="AD13" s="837"/>
      <c r="AE13" s="836"/>
      <c r="AF13" s="835"/>
      <c r="AG13" s="835"/>
      <c r="AH13" s="835"/>
      <c r="AI13" s="835"/>
      <c r="AJ13" s="834"/>
      <c r="AK13" s="595"/>
    </row>
    <row r="14" spans="1:37" ht="18" customHeight="1">
      <c r="B14" s="3423" t="s">
        <v>962</v>
      </c>
      <c r="C14" s="3424"/>
      <c r="D14" s="3424"/>
      <c r="E14" s="3424"/>
      <c r="F14" s="3424"/>
      <c r="G14" s="3424"/>
      <c r="H14" s="3424"/>
      <c r="I14" s="3424"/>
      <c r="J14" s="3424"/>
      <c r="K14" s="3424"/>
      <c r="L14" s="3424"/>
      <c r="M14" s="3424"/>
      <c r="N14" s="3424"/>
      <c r="O14" s="3424"/>
      <c r="P14" s="3424"/>
      <c r="Q14" s="3424"/>
      <c r="R14" s="3424"/>
      <c r="S14" s="3424"/>
      <c r="T14" s="3424"/>
      <c r="U14" s="3424"/>
      <c r="V14" s="3424"/>
      <c r="W14" s="3424"/>
      <c r="X14" s="3424"/>
      <c r="Y14" s="3424"/>
      <c r="Z14" s="3424"/>
      <c r="AA14" s="3424"/>
      <c r="AB14" s="3424"/>
      <c r="AC14" s="3424"/>
      <c r="AD14" s="3424"/>
      <c r="AE14" s="3424"/>
      <c r="AF14" s="3424"/>
      <c r="AG14" s="3424"/>
      <c r="AH14" s="3424"/>
      <c r="AI14" s="3424"/>
      <c r="AJ14" s="3425"/>
    </row>
    <row r="15" spans="1:37" ht="15.9" customHeight="1">
      <c r="A15" s="595"/>
      <c r="B15" s="819"/>
      <c r="C15" s="595"/>
      <c r="D15" s="595"/>
      <c r="E15" s="3426"/>
      <c r="F15" s="3426"/>
      <c r="G15" s="3426"/>
      <c r="H15" s="3426"/>
      <c r="I15" s="3426"/>
      <c r="J15" s="3426"/>
      <c r="K15" s="3426"/>
      <c r="L15" s="3426"/>
      <c r="M15" s="3426"/>
      <c r="N15" s="3426"/>
      <c r="O15" s="3426"/>
      <c r="P15" s="3426"/>
      <c r="Q15" s="3426"/>
      <c r="R15" s="3426"/>
      <c r="S15" s="3426"/>
      <c r="T15" s="3426"/>
      <c r="U15" s="3426"/>
      <c r="V15" s="3426"/>
      <c r="W15" s="3426"/>
      <c r="X15" s="3426"/>
      <c r="Y15" s="3426"/>
      <c r="Z15" s="3426"/>
      <c r="AA15" s="3426"/>
      <c r="AB15" s="3426"/>
      <c r="AC15" s="3426"/>
      <c r="AD15" s="3426"/>
      <c r="AE15" s="3426"/>
      <c r="AF15" s="3426"/>
      <c r="AG15" s="3426"/>
      <c r="AH15" s="3426"/>
      <c r="AI15" s="3426"/>
      <c r="AJ15" s="816"/>
      <c r="AK15" s="595"/>
    </row>
    <row r="16" spans="1:37" ht="15.9" customHeight="1">
      <c r="A16" s="595"/>
      <c r="B16" s="819"/>
      <c r="C16" s="595"/>
      <c r="D16" s="595"/>
      <c r="E16" s="1899"/>
      <c r="F16" s="1899"/>
      <c r="G16" s="1899"/>
      <c r="H16" s="1899"/>
      <c r="I16" s="1899"/>
      <c r="J16" s="1899"/>
      <c r="K16" s="1899"/>
      <c r="L16" s="1899"/>
      <c r="M16" s="1899"/>
      <c r="N16" s="1899"/>
      <c r="O16" s="1899"/>
      <c r="P16" s="1899"/>
      <c r="Q16" s="1899"/>
      <c r="R16" s="1899"/>
      <c r="S16" s="1899"/>
      <c r="T16" s="1899"/>
      <c r="U16" s="1899"/>
      <c r="V16" s="1899"/>
      <c r="W16" s="1899"/>
      <c r="X16" s="1899"/>
      <c r="Y16" s="1899"/>
      <c r="Z16" s="1899"/>
      <c r="AA16" s="1899"/>
      <c r="AB16" s="1899"/>
      <c r="AC16" s="1899"/>
      <c r="AD16" s="1899"/>
      <c r="AE16" s="1899"/>
      <c r="AF16" s="1899"/>
      <c r="AG16" s="1899"/>
      <c r="AH16" s="1899"/>
      <c r="AI16" s="1899"/>
      <c r="AJ16" s="816"/>
      <c r="AK16" s="595"/>
    </row>
    <row r="17" spans="1:40" ht="15.9" customHeight="1">
      <c r="A17" s="595"/>
      <c r="B17" s="819"/>
      <c r="C17" s="595"/>
      <c r="D17" s="595"/>
      <c r="E17" s="1899"/>
      <c r="F17" s="1899"/>
      <c r="G17" s="1899"/>
      <c r="H17" s="1899"/>
      <c r="I17" s="1899"/>
      <c r="J17" s="1899"/>
      <c r="K17" s="1899"/>
      <c r="L17" s="1899"/>
      <c r="M17" s="1899"/>
      <c r="N17" s="1899"/>
      <c r="O17" s="1899"/>
      <c r="P17" s="1899"/>
      <c r="Q17" s="1899"/>
      <c r="R17" s="1899"/>
      <c r="S17" s="1899"/>
      <c r="T17" s="1899"/>
      <c r="U17" s="1899"/>
      <c r="V17" s="1899"/>
      <c r="W17" s="1899"/>
      <c r="X17" s="1899"/>
      <c r="Y17" s="1899"/>
      <c r="Z17" s="1899"/>
      <c r="AA17" s="1899"/>
      <c r="AB17" s="1899"/>
      <c r="AC17" s="1899"/>
      <c r="AD17" s="1899"/>
      <c r="AE17" s="1899"/>
      <c r="AF17" s="1899"/>
      <c r="AG17" s="1899"/>
      <c r="AH17" s="1899"/>
      <c r="AI17" s="1899"/>
      <c r="AJ17" s="816"/>
      <c r="AK17" s="595"/>
    </row>
    <row r="18" spans="1:40" ht="15.9" customHeight="1">
      <c r="A18" s="595"/>
      <c r="B18" s="819"/>
      <c r="C18" s="595"/>
      <c r="D18" s="595"/>
      <c r="E18" s="1899"/>
      <c r="F18" s="1899"/>
      <c r="G18" s="1899"/>
      <c r="H18" s="1899"/>
      <c r="I18" s="1899"/>
      <c r="J18" s="1899"/>
      <c r="K18" s="1899"/>
      <c r="L18" s="1899"/>
      <c r="M18" s="1899"/>
      <c r="N18" s="1899"/>
      <c r="O18" s="1899"/>
      <c r="P18" s="1899"/>
      <c r="Q18" s="1899"/>
      <c r="R18" s="1899"/>
      <c r="S18" s="1899"/>
      <c r="T18" s="1899"/>
      <c r="U18" s="1899"/>
      <c r="V18" s="1899"/>
      <c r="W18" s="1899"/>
      <c r="X18" s="1899"/>
      <c r="Y18" s="1899"/>
      <c r="Z18" s="1899"/>
      <c r="AA18" s="1899"/>
      <c r="AB18" s="1899"/>
      <c r="AC18" s="1899"/>
      <c r="AD18" s="1899"/>
      <c r="AE18" s="1899"/>
      <c r="AF18" s="1899"/>
      <c r="AG18" s="1899"/>
      <c r="AH18" s="1899"/>
      <c r="AI18" s="1899"/>
      <c r="AJ18" s="816"/>
      <c r="AK18" s="595"/>
    </row>
    <row r="19" spans="1:40" ht="15.9" customHeight="1">
      <c r="A19" s="595"/>
      <c r="B19" s="819"/>
      <c r="C19" s="595"/>
      <c r="D19" s="595"/>
      <c r="E19" s="1899"/>
      <c r="F19" s="1899"/>
      <c r="G19" s="1899"/>
      <c r="H19" s="1899"/>
      <c r="I19" s="1899"/>
      <c r="J19" s="1899"/>
      <c r="K19" s="1899"/>
      <c r="L19" s="1899"/>
      <c r="M19" s="1899"/>
      <c r="N19" s="1899"/>
      <c r="O19" s="1899"/>
      <c r="P19" s="1899"/>
      <c r="Q19" s="1899"/>
      <c r="R19" s="1899"/>
      <c r="S19" s="1899"/>
      <c r="T19" s="1899"/>
      <c r="U19" s="1899"/>
      <c r="V19" s="1899"/>
      <c r="W19" s="1899"/>
      <c r="X19" s="1899"/>
      <c r="Y19" s="1899"/>
      <c r="Z19" s="1899"/>
      <c r="AA19" s="1899"/>
      <c r="AB19" s="1899"/>
      <c r="AC19" s="1899"/>
      <c r="AD19" s="1899"/>
      <c r="AE19" s="1899"/>
      <c r="AF19" s="1899"/>
      <c r="AG19" s="1899"/>
      <c r="AH19" s="1899"/>
      <c r="AI19" s="1899"/>
      <c r="AJ19" s="816"/>
      <c r="AK19" s="595"/>
    </row>
    <row r="20" spans="1:40" ht="15.9" customHeight="1">
      <c r="A20" s="595"/>
      <c r="B20" s="819"/>
      <c r="C20" s="595"/>
      <c r="D20" s="595"/>
      <c r="E20" s="1899"/>
      <c r="F20" s="1899"/>
      <c r="G20" s="1899"/>
      <c r="H20" s="1899"/>
      <c r="I20" s="1899"/>
      <c r="J20" s="1899"/>
      <c r="K20" s="1899"/>
      <c r="L20" s="1899"/>
      <c r="M20" s="1899"/>
      <c r="N20" s="1899"/>
      <c r="O20" s="1899"/>
      <c r="P20" s="1899"/>
      <c r="Q20" s="1899"/>
      <c r="R20" s="1899"/>
      <c r="S20" s="1899"/>
      <c r="T20" s="1899"/>
      <c r="U20" s="1899"/>
      <c r="V20" s="1899"/>
      <c r="W20" s="1899"/>
      <c r="X20" s="1899"/>
      <c r="Y20" s="1899"/>
      <c r="Z20" s="1899"/>
      <c r="AA20" s="1899"/>
      <c r="AB20" s="1899"/>
      <c r="AC20" s="1899"/>
      <c r="AD20" s="1899"/>
      <c r="AE20" s="1899"/>
      <c r="AF20" s="1899"/>
      <c r="AG20" s="1899"/>
      <c r="AH20" s="1899"/>
      <c r="AI20" s="1899"/>
      <c r="AJ20" s="816"/>
      <c r="AK20" s="595"/>
    </row>
    <row r="21" spans="1:40" ht="15.9" customHeight="1">
      <c r="A21" s="595"/>
      <c r="B21" s="819"/>
      <c r="C21" s="595"/>
      <c r="D21" s="595"/>
      <c r="E21" s="1899"/>
      <c r="F21" s="1899"/>
      <c r="G21" s="1899"/>
      <c r="H21" s="1899"/>
      <c r="I21" s="1899"/>
      <c r="J21" s="1899"/>
      <c r="K21" s="1899"/>
      <c r="L21" s="1899"/>
      <c r="M21" s="1899"/>
      <c r="N21" s="1899"/>
      <c r="O21" s="1899"/>
      <c r="P21" s="1899"/>
      <c r="Q21" s="1899"/>
      <c r="R21" s="1899"/>
      <c r="S21" s="1899"/>
      <c r="T21" s="1899"/>
      <c r="U21" s="1899"/>
      <c r="V21" s="1899"/>
      <c r="W21" s="1899"/>
      <c r="X21" s="1899"/>
      <c r="Y21" s="1899"/>
      <c r="Z21" s="1899"/>
      <c r="AA21" s="1899"/>
      <c r="AB21" s="1899"/>
      <c r="AC21" s="1899"/>
      <c r="AD21" s="1899"/>
      <c r="AE21" s="1899"/>
      <c r="AF21" s="1899"/>
      <c r="AG21" s="1899"/>
      <c r="AH21" s="1899"/>
      <c r="AI21" s="1899"/>
      <c r="AJ21" s="816"/>
      <c r="AK21" s="595"/>
    </row>
    <row r="22" spans="1:40" ht="15.9" customHeight="1">
      <c r="A22" s="595"/>
      <c r="B22" s="819"/>
      <c r="C22" s="595"/>
      <c r="D22" s="595"/>
      <c r="E22" s="1899"/>
      <c r="F22" s="1899"/>
      <c r="G22" s="1899"/>
      <c r="H22" s="1899"/>
      <c r="I22" s="1899"/>
      <c r="J22" s="1899"/>
      <c r="K22" s="1899"/>
      <c r="L22" s="1899"/>
      <c r="M22" s="1899"/>
      <c r="N22" s="1899"/>
      <c r="O22" s="1899"/>
      <c r="P22" s="1899"/>
      <c r="Q22" s="1899"/>
      <c r="R22" s="1899"/>
      <c r="S22" s="1899"/>
      <c r="T22" s="1899"/>
      <c r="U22" s="1899"/>
      <c r="V22" s="1899"/>
      <c r="W22" s="1899"/>
      <c r="X22" s="1899"/>
      <c r="Y22" s="1899"/>
      <c r="Z22" s="1899"/>
      <c r="AA22" s="1899"/>
      <c r="AB22" s="1899"/>
      <c r="AC22" s="1899"/>
      <c r="AD22" s="1899"/>
      <c r="AE22" s="1899"/>
      <c r="AF22" s="1899"/>
      <c r="AG22" s="1899"/>
      <c r="AH22" s="1899"/>
      <c r="AI22" s="1899"/>
      <c r="AJ22" s="816"/>
      <c r="AK22" s="595"/>
      <c r="AM22" s="874"/>
      <c r="AN22" s="874"/>
    </row>
    <row r="23" spans="1:40" ht="15.9" customHeight="1">
      <c r="A23" s="595"/>
      <c r="B23" s="819"/>
      <c r="C23" s="595"/>
      <c r="D23" s="595"/>
      <c r="E23" s="1899"/>
      <c r="F23" s="1899"/>
      <c r="G23" s="1899"/>
      <c r="H23" s="1899"/>
      <c r="I23" s="1899"/>
      <c r="J23" s="1899"/>
      <c r="K23" s="1899"/>
      <c r="L23" s="1899"/>
      <c r="M23" s="1899"/>
      <c r="N23" s="1899"/>
      <c r="O23" s="1899"/>
      <c r="P23" s="1899"/>
      <c r="Q23" s="1899"/>
      <c r="R23" s="1899"/>
      <c r="S23" s="1899"/>
      <c r="T23" s="1899"/>
      <c r="U23" s="1899"/>
      <c r="V23" s="1899"/>
      <c r="W23" s="1899"/>
      <c r="X23" s="1899"/>
      <c r="Y23" s="1899"/>
      <c r="Z23" s="1899"/>
      <c r="AA23" s="1899"/>
      <c r="AB23" s="1899"/>
      <c r="AC23" s="1899"/>
      <c r="AD23" s="1899"/>
      <c r="AE23" s="1899"/>
      <c r="AF23" s="1899"/>
      <c r="AG23" s="1899"/>
      <c r="AH23" s="1899"/>
      <c r="AI23" s="1899"/>
      <c r="AJ23" s="816"/>
      <c r="AK23" s="595"/>
      <c r="AM23" s="874"/>
      <c r="AN23" s="874"/>
    </row>
    <row r="24" spans="1:40" ht="15.9" customHeight="1">
      <c r="A24" s="595"/>
      <c r="B24" s="819"/>
      <c r="C24" s="595"/>
      <c r="D24" s="595"/>
      <c r="E24" s="1899"/>
      <c r="F24" s="1899"/>
      <c r="G24" s="1899"/>
      <c r="H24" s="1899"/>
      <c r="I24" s="1899"/>
      <c r="J24" s="1899"/>
      <c r="K24" s="1899"/>
      <c r="L24" s="1899"/>
      <c r="M24" s="1899"/>
      <c r="N24" s="1899"/>
      <c r="O24" s="1899"/>
      <c r="P24" s="1899"/>
      <c r="Q24" s="1899"/>
      <c r="R24" s="1899"/>
      <c r="S24" s="1899"/>
      <c r="T24" s="1899"/>
      <c r="U24" s="1899"/>
      <c r="V24" s="1899"/>
      <c r="W24" s="1899"/>
      <c r="X24" s="1899"/>
      <c r="Y24" s="1899"/>
      <c r="Z24" s="1899"/>
      <c r="AA24" s="1899"/>
      <c r="AB24" s="1899"/>
      <c r="AC24" s="1899"/>
      <c r="AD24" s="1899"/>
      <c r="AE24" s="1899"/>
      <c r="AF24" s="1899"/>
      <c r="AG24" s="1899"/>
      <c r="AH24" s="1899"/>
      <c r="AI24" s="1899"/>
      <c r="AJ24" s="816"/>
      <c r="AK24" s="595"/>
      <c r="AM24" s="874"/>
      <c r="AN24" s="874"/>
    </row>
    <row r="25" spans="1:40" ht="15.9" customHeight="1">
      <c r="A25" s="595"/>
      <c r="B25" s="819"/>
      <c r="C25" s="595"/>
      <c r="D25" s="595"/>
      <c r="E25" s="1899"/>
      <c r="F25" s="1899"/>
      <c r="G25" s="1899"/>
      <c r="H25" s="1899"/>
      <c r="I25" s="1899"/>
      <c r="J25" s="1899"/>
      <c r="K25" s="1899"/>
      <c r="L25" s="1899"/>
      <c r="M25" s="1899"/>
      <c r="N25" s="1899"/>
      <c r="O25" s="1899"/>
      <c r="P25" s="1899"/>
      <c r="Q25" s="1899"/>
      <c r="R25" s="1899"/>
      <c r="S25" s="1899"/>
      <c r="T25" s="1899"/>
      <c r="U25" s="1899"/>
      <c r="V25" s="1899"/>
      <c r="W25" s="1899"/>
      <c r="X25" s="1899"/>
      <c r="Y25" s="1899"/>
      <c r="Z25" s="1899"/>
      <c r="AA25" s="1899"/>
      <c r="AB25" s="1899"/>
      <c r="AC25" s="1899"/>
      <c r="AD25" s="1899"/>
      <c r="AE25" s="1899"/>
      <c r="AF25" s="1899"/>
      <c r="AG25" s="1899"/>
      <c r="AH25" s="1899"/>
      <c r="AI25" s="1899"/>
      <c r="AJ25" s="816"/>
      <c r="AK25" s="595"/>
      <c r="AM25" s="874"/>
      <c r="AN25" s="874"/>
    </row>
    <row r="26" spans="1:40" ht="15.9" customHeight="1">
      <c r="A26" s="595"/>
      <c r="B26" s="819"/>
      <c r="C26" s="595"/>
      <c r="D26" s="595"/>
      <c r="E26" s="1899"/>
      <c r="F26" s="1899"/>
      <c r="G26" s="1899"/>
      <c r="H26" s="1899"/>
      <c r="I26" s="1899"/>
      <c r="J26" s="1899"/>
      <c r="K26" s="1899"/>
      <c r="L26" s="1899"/>
      <c r="M26" s="1899"/>
      <c r="N26" s="1899"/>
      <c r="O26" s="1899"/>
      <c r="P26" s="1899"/>
      <c r="Q26" s="1899"/>
      <c r="R26" s="1899"/>
      <c r="S26" s="1899"/>
      <c r="T26" s="1899"/>
      <c r="U26" s="1899"/>
      <c r="V26" s="1899"/>
      <c r="W26" s="1899"/>
      <c r="X26" s="1899"/>
      <c r="Y26" s="1899"/>
      <c r="Z26" s="1899"/>
      <c r="AA26" s="1899"/>
      <c r="AB26" s="1899"/>
      <c r="AC26" s="1899"/>
      <c r="AD26" s="1899"/>
      <c r="AE26" s="1899"/>
      <c r="AF26" s="1899"/>
      <c r="AG26" s="1899"/>
      <c r="AH26" s="1899"/>
      <c r="AI26" s="1899"/>
      <c r="AJ26" s="816"/>
      <c r="AK26" s="595"/>
      <c r="AM26" s="874"/>
      <c r="AN26" s="874"/>
    </row>
    <row r="27" spans="1:40" ht="15.9" customHeight="1">
      <c r="A27" s="595"/>
      <c r="B27" s="819"/>
      <c r="C27" s="595"/>
      <c r="D27" s="595"/>
      <c r="E27" s="1899"/>
      <c r="F27" s="1899"/>
      <c r="G27" s="1899"/>
      <c r="H27" s="1899"/>
      <c r="I27" s="1899"/>
      <c r="J27" s="1899"/>
      <c r="K27" s="1899"/>
      <c r="L27" s="1899"/>
      <c r="M27" s="1899"/>
      <c r="N27" s="1899"/>
      <c r="O27" s="1899"/>
      <c r="P27" s="1899"/>
      <c r="Q27" s="1899"/>
      <c r="R27" s="1899"/>
      <c r="S27" s="1899"/>
      <c r="T27" s="1899"/>
      <c r="U27" s="1899"/>
      <c r="V27" s="1899"/>
      <c r="W27" s="1899"/>
      <c r="X27" s="1899"/>
      <c r="Y27" s="1899"/>
      <c r="Z27" s="1899"/>
      <c r="AA27" s="1899"/>
      <c r="AB27" s="1899"/>
      <c r="AC27" s="1899"/>
      <c r="AD27" s="1899"/>
      <c r="AE27" s="1899"/>
      <c r="AF27" s="1899"/>
      <c r="AG27" s="1899"/>
      <c r="AH27" s="1899"/>
      <c r="AI27" s="1899"/>
      <c r="AJ27" s="816"/>
      <c r="AK27" s="595"/>
    </row>
    <row r="28" spans="1:40" ht="15.9" customHeight="1">
      <c r="A28" s="595"/>
      <c r="B28" s="819"/>
      <c r="C28" s="595"/>
      <c r="D28" s="595"/>
      <c r="E28" s="1899"/>
      <c r="F28" s="1899"/>
      <c r="G28" s="1899"/>
      <c r="H28" s="1899"/>
      <c r="I28" s="1899"/>
      <c r="J28" s="1899"/>
      <c r="K28" s="1899"/>
      <c r="L28" s="1899"/>
      <c r="M28" s="1899"/>
      <c r="N28" s="1899"/>
      <c r="O28" s="1899"/>
      <c r="P28" s="1899"/>
      <c r="Q28" s="1899"/>
      <c r="R28" s="1899"/>
      <c r="S28" s="1899"/>
      <c r="T28" s="1899"/>
      <c r="U28" s="1899"/>
      <c r="V28" s="1899"/>
      <c r="W28" s="1899"/>
      <c r="X28" s="1899"/>
      <c r="Y28" s="1899"/>
      <c r="Z28" s="1899"/>
      <c r="AA28" s="1899"/>
      <c r="AB28" s="1899"/>
      <c r="AC28" s="1899"/>
      <c r="AD28" s="1899"/>
      <c r="AE28" s="1899"/>
      <c r="AF28" s="1899"/>
      <c r="AG28" s="1899"/>
      <c r="AH28" s="1899"/>
      <c r="AI28" s="1899"/>
      <c r="AJ28" s="816"/>
      <c r="AK28" s="595"/>
    </row>
    <row r="29" spans="1:40" ht="15.9" customHeight="1">
      <c r="A29" s="595"/>
      <c r="B29" s="819"/>
      <c r="C29" s="595"/>
      <c r="D29" s="595"/>
      <c r="E29" s="1899"/>
      <c r="F29" s="1899"/>
      <c r="G29" s="1899"/>
      <c r="H29" s="1899"/>
      <c r="I29" s="1899"/>
      <c r="J29" s="1899"/>
      <c r="K29" s="1899"/>
      <c r="L29" s="1899"/>
      <c r="M29" s="1899"/>
      <c r="N29" s="1899"/>
      <c r="O29" s="1899"/>
      <c r="P29" s="1899"/>
      <c r="Q29" s="1899"/>
      <c r="R29" s="1899"/>
      <c r="S29" s="1899"/>
      <c r="T29" s="1899"/>
      <c r="U29" s="1899"/>
      <c r="V29" s="1899"/>
      <c r="W29" s="1899"/>
      <c r="X29" s="1899"/>
      <c r="Y29" s="1899"/>
      <c r="Z29" s="1899"/>
      <c r="AA29" s="1899"/>
      <c r="AB29" s="1899"/>
      <c r="AC29" s="1899"/>
      <c r="AD29" s="1899"/>
      <c r="AE29" s="1899"/>
      <c r="AF29" s="1899"/>
      <c r="AG29" s="1899"/>
      <c r="AH29" s="1899"/>
      <c r="AI29" s="1899"/>
      <c r="AJ29" s="816"/>
      <c r="AK29" s="595"/>
    </row>
    <row r="30" spans="1:40" ht="15.9" customHeight="1">
      <c r="A30" s="595"/>
      <c r="B30" s="819"/>
      <c r="C30" s="595"/>
      <c r="D30" s="595"/>
      <c r="E30" s="1899"/>
      <c r="F30" s="1899"/>
      <c r="G30" s="1899"/>
      <c r="H30" s="1899"/>
      <c r="I30" s="1899"/>
      <c r="J30" s="1899"/>
      <c r="K30" s="1899"/>
      <c r="L30" s="1899"/>
      <c r="M30" s="1899"/>
      <c r="N30" s="1899"/>
      <c r="O30" s="1899"/>
      <c r="P30" s="1899"/>
      <c r="Q30" s="1899"/>
      <c r="R30" s="1899"/>
      <c r="S30" s="1899"/>
      <c r="T30" s="1899"/>
      <c r="U30" s="1899"/>
      <c r="V30" s="1899"/>
      <c r="W30" s="1899"/>
      <c r="X30" s="1899"/>
      <c r="Y30" s="1899"/>
      <c r="Z30" s="1899"/>
      <c r="AA30" s="1899"/>
      <c r="AB30" s="1899"/>
      <c r="AC30" s="1899"/>
      <c r="AD30" s="1899"/>
      <c r="AE30" s="1899"/>
      <c r="AF30" s="1899"/>
      <c r="AG30" s="1899"/>
      <c r="AH30" s="1899"/>
      <c r="AI30" s="1899"/>
      <c r="AJ30" s="827"/>
      <c r="AK30" s="595"/>
    </row>
    <row r="31" spans="1:40" ht="15.9" customHeight="1">
      <c r="A31" s="595"/>
      <c r="B31" s="819"/>
      <c r="C31" s="595"/>
      <c r="D31" s="595"/>
      <c r="E31" s="1899"/>
      <c r="F31" s="1899"/>
      <c r="G31" s="1899"/>
      <c r="H31" s="1899"/>
      <c r="I31" s="1899"/>
      <c r="J31" s="1899"/>
      <c r="K31" s="1899"/>
      <c r="L31" s="1899"/>
      <c r="M31" s="1899"/>
      <c r="N31" s="1899"/>
      <c r="O31" s="1899"/>
      <c r="P31" s="1899"/>
      <c r="Q31" s="1899"/>
      <c r="R31" s="1899"/>
      <c r="S31" s="1899"/>
      <c r="T31" s="1899"/>
      <c r="U31" s="1899"/>
      <c r="V31" s="1899"/>
      <c r="W31" s="1899"/>
      <c r="X31" s="1899"/>
      <c r="Y31" s="1899"/>
      <c r="Z31" s="1899"/>
      <c r="AA31" s="1899"/>
      <c r="AB31" s="1899"/>
      <c r="AC31" s="1899"/>
      <c r="AD31" s="1899"/>
      <c r="AE31" s="1899"/>
      <c r="AF31" s="1899"/>
      <c r="AG31" s="1899"/>
      <c r="AH31" s="1899"/>
      <c r="AI31" s="1899"/>
      <c r="AJ31" s="816"/>
      <c r="AK31" s="595"/>
    </row>
    <row r="32" spans="1:40" ht="15.9" customHeight="1">
      <c r="A32" s="595"/>
      <c r="B32" s="819"/>
      <c r="C32" s="595"/>
      <c r="D32" s="595"/>
      <c r="E32" s="1899"/>
      <c r="F32" s="1899"/>
      <c r="G32" s="1899"/>
      <c r="H32" s="1899"/>
      <c r="I32" s="1899"/>
      <c r="J32" s="1899"/>
      <c r="K32" s="1899"/>
      <c r="L32" s="1899"/>
      <c r="M32" s="1899"/>
      <c r="N32" s="1899"/>
      <c r="O32" s="1899"/>
      <c r="P32" s="1899"/>
      <c r="Q32" s="1899"/>
      <c r="R32" s="1899"/>
      <c r="S32" s="1899"/>
      <c r="T32" s="1899"/>
      <c r="U32" s="1899"/>
      <c r="V32" s="1899"/>
      <c r="W32" s="1899"/>
      <c r="X32" s="1899"/>
      <c r="Y32" s="1899"/>
      <c r="Z32" s="1899"/>
      <c r="AA32" s="1899"/>
      <c r="AB32" s="1899"/>
      <c r="AC32" s="1899"/>
      <c r="AD32" s="1899"/>
      <c r="AE32" s="1899"/>
      <c r="AF32" s="1899"/>
      <c r="AG32" s="1899"/>
      <c r="AH32" s="1899"/>
      <c r="AI32" s="1899"/>
      <c r="AJ32" s="816"/>
      <c r="AK32" s="595"/>
    </row>
    <row r="33" spans="1:40" ht="15.9" customHeight="1">
      <c r="A33" s="595"/>
      <c r="B33" s="819"/>
      <c r="C33" s="595"/>
      <c r="D33" s="595"/>
      <c r="E33" s="1899"/>
      <c r="F33" s="1899"/>
      <c r="G33" s="1899"/>
      <c r="H33" s="1899"/>
      <c r="I33" s="1899"/>
      <c r="J33" s="1899"/>
      <c r="K33" s="1899"/>
      <c r="L33" s="1899"/>
      <c r="M33" s="1899"/>
      <c r="N33" s="1899"/>
      <c r="O33" s="1899"/>
      <c r="P33" s="1899"/>
      <c r="Q33" s="1899"/>
      <c r="R33" s="1899"/>
      <c r="S33" s="1899"/>
      <c r="T33" s="1899"/>
      <c r="U33" s="1899"/>
      <c r="V33" s="1899"/>
      <c r="W33" s="1899"/>
      <c r="X33" s="1899"/>
      <c r="Y33" s="1899"/>
      <c r="Z33" s="1899"/>
      <c r="AA33" s="1899"/>
      <c r="AB33" s="1899"/>
      <c r="AC33" s="1899"/>
      <c r="AD33" s="1899"/>
      <c r="AE33" s="1899"/>
      <c r="AF33" s="1899"/>
      <c r="AG33" s="1899"/>
      <c r="AH33" s="1899"/>
      <c r="AI33" s="1899"/>
      <c r="AJ33" s="816"/>
      <c r="AK33" s="595"/>
    </row>
    <row r="34" spans="1:40" ht="15.9" customHeight="1">
      <c r="A34" s="595"/>
      <c r="B34" s="819"/>
      <c r="C34" s="595"/>
      <c r="D34" s="595"/>
      <c r="E34" s="1899"/>
      <c r="F34" s="1899"/>
      <c r="G34" s="1899"/>
      <c r="H34" s="1899"/>
      <c r="I34" s="1899"/>
      <c r="J34" s="1899"/>
      <c r="K34" s="1899"/>
      <c r="L34" s="1899"/>
      <c r="M34" s="1899"/>
      <c r="N34" s="1899"/>
      <c r="O34" s="1899"/>
      <c r="P34" s="1899"/>
      <c r="Q34" s="1899"/>
      <c r="R34" s="1899"/>
      <c r="S34" s="1899"/>
      <c r="T34" s="1899"/>
      <c r="U34" s="1899"/>
      <c r="V34" s="1899"/>
      <c r="W34" s="1899"/>
      <c r="X34" s="1899"/>
      <c r="Y34" s="1899"/>
      <c r="Z34" s="1899"/>
      <c r="AA34" s="1899"/>
      <c r="AB34" s="1899"/>
      <c r="AC34" s="1899"/>
      <c r="AD34" s="1899"/>
      <c r="AE34" s="1899"/>
      <c r="AF34" s="1899"/>
      <c r="AG34" s="1899"/>
      <c r="AH34" s="1899"/>
      <c r="AI34" s="1899"/>
      <c r="AJ34" s="816"/>
      <c r="AK34" s="595"/>
    </row>
    <row r="35" spans="1:40" ht="15.9" customHeight="1">
      <c r="A35" s="595"/>
      <c r="B35" s="819"/>
      <c r="C35" s="595"/>
      <c r="D35" s="595"/>
      <c r="E35" s="1899"/>
      <c r="F35" s="1899"/>
      <c r="G35" s="1899"/>
      <c r="H35" s="1899"/>
      <c r="I35" s="1899"/>
      <c r="J35" s="1899"/>
      <c r="K35" s="1899"/>
      <c r="L35" s="1899"/>
      <c r="M35" s="1899"/>
      <c r="N35" s="1899"/>
      <c r="O35" s="1899"/>
      <c r="P35" s="1899"/>
      <c r="Q35" s="1899"/>
      <c r="R35" s="1899"/>
      <c r="S35" s="1899"/>
      <c r="T35" s="1899"/>
      <c r="U35" s="1899"/>
      <c r="V35" s="1899"/>
      <c r="W35" s="1899"/>
      <c r="X35" s="1899"/>
      <c r="Y35" s="1899"/>
      <c r="Z35" s="1899"/>
      <c r="AA35" s="1899"/>
      <c r="AB35" s="1899"/>
      <c r="AC35" s="1899"/>
      <c r="AD35" s="1899"/>
      <c r="AE35" s="1899"/>
      <c r="AF35" s="1899"/>
      <c r="AG35" s="1899"/>
      <c r="AH35" s="1899"/>
      <c r="AI35" s="1899"/>
      <c r="AJ35" s="816"/>
      <c r="AK35" s="595"/>
    </row>
    <row r="36" spans="1:40" ht="15.9" customHeight="1">
      <c r="A36" s="595"/>
      <c r="B36" s="819"/>
      <c r="C36" s="595"/>
      <c r="D36" s="595"/>
      <c r="E36" s="1899"/>
      <c r="F36" s="1899"/>
      <c r="G36" s="1899"/>
      <c r="H36" s="1899"/>
      <c r="I36" s="1899"/>
      <c r="J36" s="1899"/>
      <c r="K36" s="1899"/>
      <c r="L36" s="1899"/>
      <c r="M36" s="1899"/>
      <c r="N36" s="1899"/>
      <c r="O36" s="1899"/>
      <c r="P36" s="1899"/>
      <c r="Q36" s="1899"/>
      <c r="R36" s="1899"/>
      <c r="S36" s="1899"/>
      <c r="T36" s="1899"/>
      <c r="U36" s="1899"/>
      <c r="V36" s="1899"/>
      <c r="W36" s="1899"/>
      <c r="X36" s="1899"/>
      <c r="Y36" s="1899"/>
      <c r="Z36" s="1899"/>
      <c r="AA36" s="1899"/>
      <c r="AB36" s="1899"/>
      <c r="AC36" s="1899"/>
      <c r="AD36" s="1899"/>
      <c r="AE36" s="1899"/>
      <c r="AF36" s="1899"/>
      <c r="AG36" s="1899"/>
      <c r="AH36" s="1899"/>
      <c r="AI36" s="1899"/>
      <c r="AJ36" s="816"/>
      <c r="AK36" s="595"/>
    </row>
    <row r="37" spans="1:40" ht="15.9" customHeight="1">
      <c r="A37" s="595"/>
      <c r="B37" s="819"/>
      <c r="C37" s="595"/>
      <c r="D37" s="595"/>
      <c r="E37" s="1899"/>
      <c r="F37" s="1899"/>
      <c r="G37" s="1899"/>
      <c r="H37" s="1899"/>
      <c r="I37" s="1899"/>
      <c r="J37" s="1899"/>
      <c r="K37" s="1899"/>
      <c r="L37" s="1899"/>
      <c r="M37" s="1899"/>
      <c r="N37" s="1899"/>
      <c r="O37" s="1899"/>
      <c r="P37" s="1899"/>
      <c r="Q37" s="1899"/>
      <c r="R37" s="1899"/>
      <c r="S37" s="1899"/>
      <c r="T37" s="1899"/>
      <c r="U37" s="1899"/>
      <c r="V37" s="1899"/>
      <c r="W37" s="1899"/>
      <c r="X37" s="1899"/>
      <c r="Y37" s="1899"/>
      <c r="Z37" s="1899"/>
      <c r="AA37" s="1899"/>
      <c r="AB37" s="1899"/>
      <c r="AC37" s="1899"/>
      <c r="AD37" s="1899"/>
      <c r="AE37" s="1899"/>
      <c r="AF37" s="1899"/>
      <c r="AG37" s="1899"/>
      <c r="AH37" s="1899"/>
      <c r="AI37" s="1899"/>
      <c r="AJ37" s="816"/>
      <c r="AK37" s="595"/>
      <c r="AM37" s="874"/>
      <c r="AN37" s="874"/>
    </row>
    <row r="38" spans="1:40" ht="15.9" customHeight="1">
      <c r="A38" s="595"/>
      <c r="B38" s="819"/>
      <c r="C38" s="595"/>
      <c r="D38" s="595"/>
      <c r="E38" s="1899"/>
      <c r="F38" s="1899"/>
      <c r="G38" s="1899"/>
      <c r="H38" s="1899"/>
      <c r="I38" s="1899"/>
      <c r="J38" s="1899"/>
      <c r="K38" s="1899"/>
      <c r="L38" s="1899"/>
      <c r="M38" s="1899"/>
      <c r="N38" s="1899"/>
      <c r="O38" s="1899"/>
      <c r="P38" s="1899"/>
      <c r="Q38" s="1899"/>
      <c r="R38" s="1899"/>
      <c r="S38" s="1899"/>
      <c r="T38" s="1899"/>
      <c r="U38" s="1899"/>
      <c r="V38" s="1899"/>
      <c r="W38" s="1899"/>
      <c r="X38" s="1899"/>
      <c r="Y38" s="1899"/>
      <c r="Z38" s="1899"/>
      <c r="AA38" s="1899"/>
      <c r="AB38" s="1899"/>
      <c r="AC38" s="1899"/>
      <c r="AD38" s="1899"/>
      <c r="AE38" s="1899"/>
      <c r="AF38" s="1899"/>
      <c r="AG38" s="1899"/>
      <c r="AH38" s="1899"/>
      <c r="AI38" s="1899"/>
      <c r="AJ38" s="816"/>
      <c r="AK38" s="595"/>
      <c r="AM38" s="874"/>
      <c r="AN38" s="874"/>
    </row>
    <row r="39" spans="1:40" ht="15.9" customHeight="1">
      <c r="A39" s="595"/>
      <c r="B39" s="819"/>
      <c r="C39" s="595"/>
      <c r="D39" s="595"/>
      <c r="E39" s="1899"/>
      <c r="F39" s="1899"/>
      <c r="G39" s="1899"/>
      <c r="H39" s="1899"/>
      <c r="I39" s="1899"/>
      <c r="J39" s="1899"/>
      <c r="K39" s="1899"/>
      <c r="L39" s="1899"/>
      <c r="M39" s="1899"/>
      <c r="N39" s="1899"/>
      <c r="O39" s="1899"/>
      <c r="P39" s="1899"/>
      <c r="Q39" s="1899"/>
      <c r="R39" s="1899"/>
      <c r="S39" s="1899"/>
      <c r="T39" s="1899"/>
      <c r="U39" s="1899"/>
      <c r="V39" s="1899"/>
      <c r="W39" s="1899"/>
      <c r="X39" s="1899"/>
      <c r="Y39" s="1899"/>
      <c r="Z39" s="1899"/>
      <c r="AA39" s="1899"/>
      <c r="AB39" s="1899"/>
      <c r="AC39" s="1899"/>
      <c r="AD39" s="1899"/>
      <c r="AE39" s="1899"/>
      <c r="AF39" s="1899"/>
      <c r="AG39" s="1899"/>
      <c r="AH39" s="1899"/>
      <c r="AI39" s="1899"/>
      <c r="AJ39" s="816"/>
      <c r="AK39" s="595"/>
    </row>
    <row r="40" spans="1:40" ht="15.9" customHeight="1">
      <c r="A40" s="595"/>
      <c r="B40" s="819"/>
      <c r="C40" s="595"/>
      <c r="D40" s="595"/>
      <c r="E40" s="1899"/>
      <c r="F40" s="1899"/>
      <c r="G40" s="1899"/>
      <c r="H40" s="1899"/>
      <c r="I40" s="1899"/>
      <c r="J40" s="1899"/>
      <c r="K40" s="1899"/>
      <c r="L40" s="1899"/>
      <c r="M40" s="1899"/>
      <c r="N40" s="1899"/>
      <c r="O40" s="1899"/>
      <c r="P40" s="1899"/>
      <c r="Q40" s="1899"/>
      <c r="R40" s="1899"/>
      <c r="S40" s="1899"/>
      <c r="T40" s="1899"/>
      <c r="U40" s="1899"/>
      <c r="V40" s="1899"/>
      <c r="W40" s="1899"/>
      <c r="X40" s="1899"/>
      <c r="Y40" s="1899"/>
      <c r="Z40" s="1899"/>
      <c r="AA40" s="1899"/>
      <c r="AB40" s="1899"/>
      <c r="AC40" s="1899"/>
      <c r="AD40" s="1899"/>
      <c r="AE40" s="1899"/>
      <c r="AF40" s="1899"/>
      <c r="AG40" s="1899"/>
      <c r="AH40" s="1899"/>
      <c r="AI40" s="1899"/>
      <c r="AJ40" s="816"/>
      <c r="AK40" s="595"/>
    </row>
    <row r="41" spans="1:40" ht="15.9" customHeight="1">
      <c r="A41" s="595"/>
      <c r="B41" s="819"/>
      <c r="C41" s="595"/>
      <c r="D41" s="595"/>
      <c r="E41" s="1899"/>
      <c r="F41" s="1899"/>
      <c r="G41" s="1899"/>
      <c r="H41" s="1899"/>
      <c r="I41" s="1899"/>
      <c r="J41" s="1899"/>
      <c r="K41" s="1899"/>
      <c r="L41" s="1899"/>
      <c r="M41" s="1899"/>
      <c r="N41" s="1899"/>
      <c r="O41" s="1899"/>
      <c r="P41" s="1899"/>
      <c r="Q41" s="1899"/>
      <c r="R41" s="1899"/>
      <c r="S41" s="1899"/>
      <c r="T41" s="1899"/>
      <c r="U41" s="1899"/>
      <c r="V41" s="1899"/>
      <c r="W41" s="1899"/>
      <c r="X41" s="1899"/>
      <c r="Y41" s="1899"/>
      <c r="Z41" s="1899"/>
      <c r="AA41" s="1899"/>
      <c r="AB41" s="1899"/>
      <c r="AC41" s="1899"/>
      <c r="AD41" s="1899"/>
      <c r="AE41" s="1899"/>
      <c r="AF41" s="1899"/>
      <c r="AG41" s="1899"/>
      <c r="AH41" s="1899"/>
      <c r="AI41" s="1899"/>
      <c r="AJ41" s="816"/>
      <c r="AK41" s="595"/>
    </row>
    <row r="42" spans="1:40" ht="15.9" customHeight="1">
      <c r="A42" s="595"/>
      <c r="B42" s="819"/>
      <c r="C42" s="595"/>
      <c r="D42" s="595"/>
      <c r="E42" s="1899"/>
      <c r="F42" s="1899"/>
      <c r="G42" s="1899"/>
      <c r="H42" s="1899"/>
      <c r="I42" s="1899"/>
      <c r="J42" s="1899"/>
      <c r="K42" s="1899"/>
      <c r="L42" s="1899"/>
      <c r="M42" s="1899"/>
      <c r="N42" s="1899"/>
      <c r="O42" s="1899"/>
      <c r="P42" s="1899"/>
      <c r="Q42" s="1899"/>
      <c r="R42" s="1899"/>
      <c r="S42" s="1899"/>
      <c r="T42" s="1899"/>
      <c r="U42" s="1899"/>
      <c r="V42" s="1899"/>
      <c r="W42" s="1899"/>
      <c r="X42" s="1899"/>
      <c r="Y42" s="1899"/>
      <c r="Z42" s="1899"/>
      <c r="AA42" s="1899"/>
      <c r="AB42" s="1899"/>
      <c r="AC42" s="1899"/>
      <c r="AD42" s="1899"/>
      <c r="AE42" s="1899"/>
      <c r="AF42" s="1899"/>
      <c r="AG42" s="1899"/>
      <c r="AH42" s="1899"/>
      <c r="AI42" s="1899"/>
      <c r="AJ42" s="827"/>
      <c r="AK42" s="595"/>
    </row>
    <row r="43" spans="1:40" ht="15.9" customHeight="1">
      <c r="A43" s="595"/>
      <c r="B43" s="819"/>
      <c r="C43" s="595"/>
      <c r="D43" s="595"/>
      <c r="E43" s="1899"/>
      <c r="F43" s="1899"/>
      <c r="G43" s="1899"/>
      <c r="H43" s="1899"/>
      <c r="I43" s="1899"/>
      <c r="J43" s="1899"/>
      <c r="K43" s="1899"/>
      <c r="L43" s="1899"/>
      <c r="M43" s="1899"/>
      <c r="N43" s="1899"/>
      <c r="O43" s="1899"/>
      <c r="P43" s="1899"/>
      <c r="Q43" s="1899"/>
      <c r="R43" s="1899"/>
      <c r="S43" s="1899"/>
      <c r="T43" s="1899"/>
      <c r="U43" s="1899"/>
      <c r="V43" s="1899"/>
      <c r="W43" s="1899"/>
      <c r="X43" s="1899"/>
      <c r="Y43" s="1899"/>
      <c r="Z43" s="1899"/>
      <c r="AA43" s="1899"/>
      <c r="AB43" s="1899"/>
      <c r="AC43" s="1899"/>
      <c r="AD43" s="1899"/>
      <c r="AE43" s="1899"/>
      <c r="AF43" s="1899"/>
      <c r="AG43" s="1899"/>
      <c r="AH43" s="1899"/>
      <c r="AI43" s="1899"/>
      <c r="AJ43" s="827"/>
      <c r="AK43" s="595"/>
    </row>
    <row r="44" spans="1:40" ht="15.9" customHeight="1">
      <c r="A44" s="595"/>
      <c r="B44" s="819"/>
      <c r="C44" s="595"/>
      <c r="D44" s="595"/>
      <c r="E44" s="1899"/>
      <c r="F44" s="1899"/>
      <c r="G44" s="1899"/>
      <c r="H44" s="1899"/>
      <c r="I44" s="1899"/>
      <c r="J44" s="1899"/>
      <c r="K44" s="1899"/>
      <c r="L44" s="1899"/>
      <c r="M44" s="1899"/>
      <c r="N44" s="1899"/>
      <c r="O44" s="1899"/>
      <c r="P44" s="1899"/>
      <c r="Q44" s="1899"/>
      <c r="R44" s="1899"/>
      <c r="S44" s="1899"/>
      <c r="T44" s="1899"/>
      <c r="U44" s="1899"/>
      <c r="V44" s="1899"/>
      <c r="W44" s="1899"/>
      <c r="X44" s="1899"/>
      <c r="Y44" s="1899"/>
      <c r="Z44" s="1899"/>
      <c r="AA44" s="1899"/>
      <c r="AB44" s="1899"/>
      <c r="AC44" s="1899"/>
      <c r="AD44" s="1899"/>
      <c r="AE44" s="1899"/>
      <c r="AF44" s="1899"/>
      <c r="AG44" s="1899"/>
      <c r="AH44" s="1899"/>
      <c r="AI44" s="1899"/>
      <c r="AJ44" s="816"/>
      <c r="AK44" s="595"/>
    </row>
    <row r="45" spans="1:40" ht="15.9" customHeight="1">
      <c r="A45" s="595"/>
      <c r="B45" s="819"/>
      <c r="C45" s="595"/>
      <c r="D45" s="595"/>
      <c r="E45" s="1899"/>
      <c r="F45" s="1899"/>
      <c r="G45" s="1899"/>
      <c r="H45" s="1899"/>
      <c r="I45" s="1899"/>
      <c r="J45" s="1899"/>
      <c r="K45" s="1899"/>
      <c r="L45" s="1899"/>
      <c r="M45" s="1899"/>
      <c r="N45" s="1899"/>
      <c r="O45" s="1899"/>
      <c r="P45" s="1899"/>
      <c r="Q45" s="1899"/>
      <c r="R45" s="1899"/>
      <c r="S45" s="1899"/>
      <c r="T45" s="1899"/>
      <c r="U45" s="1899"/>
      <c r="V45" s="1899"/>
      <c r="W45" s="1899"/>
      <c r="X45" s="1899"/>
      <c r="Y45" s="1899"/>
      <c r="Z45" s="1899"/>
      <c r="AA45" s="1899"/>
      <c r="AB45" s="1899"/>
      <c r="AC45" s="1899"/>
      <c r="AD45" s="1899"/>
      <c r="AE45" s="1899"/>
      <c r="AF45" s="1899"/>
      <c r="AG45" s="1899"/>
      <c r="AH45" s="1899"/>
      <c r="AI45" s="1899"/>
      <c r="AJ45" s="816"/>
      <c r="AK45" s="595"/>
      <c r="AM45" s="874"/>
      <c r="AN45" s="874"/>
    </row>
    <row r="46" spans="1:40" ht="15.9" customHeight="1">
      <c r="A46" s="595"/>
      <c r="B46" s="819"/>
      <c r="C46" s="595"/>
      <c r="D46" s="595"/>
      <c r="E46" s="1899"/>
      <c r="F46" s="1899"/>
      <c r="G46" s="1899"/>
      <c r="H46" s="1899"/>
      <c r="I46" s="1899"/>
      <c r="J46" s="1899"/>
      <c r="K46" s="1899"/>
      <c r="L46" s="1899"/>
      <c r="M46" s="1899"/>
      <c r="N46" s="1899"/>
      <c r="O46" s="1899"/>
      <c r="P46" s="1899"/>
      <c r="Q46" s="1899"/>
      <c r="R46" s="1899"/>
      <c r="S46" s="1899"/>
      <c r="T46" s="1899"/>
      <c r="U46" s="1899"/>
      <c r="V46" s="1899"/>
      <c r="W46" s="1899"/>
      <c r="X46" s="1899"/>
      <c r="Y46" s="1899"/>
      <c r="Z46" s="1899"/>
      <c r="AA46" s="1899"/>
      <c r="AB46" s="1899"/>
      <c r="AC46" s="1899"/>
      <c r="AD46" s="1899"/>
      <c r="AE46" s="1899"/>
      <c r="AF46" s="1899"/>
      <c r="AG46" s="1899"/>
      <c r="AH46" s="1899"/>
      <c r="AI46" s="1899"/>
      <c r="AJ46" s="816"/>
      <c r="AK46" s="595"/>
      <c r="AM46" s="874"/>
      <c r="AN46" s="874"/>
    </row>
    <row r="47" spans="1:40" ht="15.9" customHeight="1">
      <c r="A47" s="595"/>
      <c r="B47" s="819"/>
      <c r="C47" s="595"/>
      <c r="D47" s="595"/>
      <c r="E47" s="1899"/>
      <c r="F47" s="1899"/>
      <c r="G47" s="1899"/>
      <c r="H47" s="1899"/>
      <c r="I47" s="1899"/>
      <c r="J47" s="1899"/>
      <c r="K47" s="1899"/>
      <c r="L47" s="1899"/>
      <c r="M47" s="1899"/>
      <c r="N47" s="1899"/>
      <c r="O47" s="1899"/>
      <c r="P47" s="1899"/>
      <c r="Q47" s="1899"/>
      <c r="R47" s="1899"/>
      <c r="S47" s="1899"/>
      <c r="T47" s="1899"/>
      <c r="U47" s="1899"/>
      <c r="V47" s="1899"/>
      <c r="W47" s="1899"/>
      <c r="X47" s="1899"/>
      <c r="Y47" s="1899"/>
      <c r="Z47" s="1899"/>
      <c r="AA47" s="1899"/>
      <c r="AB47" s="1899"/>
      <c r="AC47" s="1899"/>
      <c r="AD47" s="1899"/>
      <c r="AE47" s="1899"/>
      <c r="AF47" s="1899"/>
      <c r="AG47" s="1899"/>
      <c r="AH47" s="1899"/>
      <c r="AI47" s="1899"/>
      <c r="AJ47" s="816"/>
      <c r="AK47" s="595"/>
    </row>
    <row r="48" spans="1:40" ht="15.9" customHeight="1">
      <c r="A48" s="595"/>
      <c r="B48" s="819"/>
      <c r="C48" s="595"/>
      <c r="D48" s="595"/>
      <c r="E48" s="1899"/>
      <c r="F48" s="1899"/>
      <c r="G48" s="1899"/>
      <c r="H48" s="1899"/>
      <c r="I48" s="1899"/>
      <c r="J48" s="1899"/>
      <c r="K48" s="1899"/>
      <c r="L48" s="1899"/>
      <c r="M48" s="1899"/>
      <c r="N48" s="1899"/>
      <c r="O48" s="1899"/>
      <c r="P48" s="1899"/>
      <c r="Q48" s="1899"/>
      <c r="R48" s="1899"/>
      <c r="S48" s="1899"/>
      <c r="T48" s="1899"/>
      <c r="U48" s="1899"/>
      <c r="V48" s="1899"/>
      <c r="W48" s="1899"/>
      <c r="X48" s="1899"/>
      <c r="Y48" s="1899"/>
      <c r="Z48" s="1899"/>
      <c r="AA48" s="1899"/>
      <c r="AB48" s="1899"/>
      <c r="AC48" s="1899"/>
      <c r="AD48" s="1899"/>
      <c r="AE48" s="1899"/>
      <c r="AF48" s="1899"/>
      <c r="AG48" s="1899"/>
      <c r="AH48" s="1899"/>
      <c r="AI48" s="1899"/>
      <c r="AJ48" s="816"/>
      <c r="AK48" s="595"/>
    </row>
    <row r="49" spans="1:37" ht="15.9" customHeight="1">
      <c r="A49" s="595"/>
      <c r="B49" s="819"/>
      <c r="C49" s="595"/>
      <c r="D49" s="595"/>
      <c r="E49" s="1899"/>
      <c r="F49" s="1899"/>
      <c r="G49" s="1899"/>
      <c r="H49" s="1899"/>
      <c r="I49" s="1899"/>
      <c r="J49" s="1899"/>
      <c r="K49" s="1899"/>
      <c r="L49" s="1899"/>
      <c r="M49" s="1899"/>
      <c r="N49" s="1899"/>
      <c r="O49" s="1899"/>
      <c r="P49" s="1899"/>
      <c r="Q49" s="1899"/>
      <c r="R49" s="1899"/>
      <c r="S49" s="1899"/>
      <c r="T49" s="1899"/>
      <c r="U49" s="1899"/>
      <c r="V49" s="1899"/>
      <c r="W49" s="1899"/>
      <c r="X49" s="1899"/>
      <c r="Y49" s="1899"/>
      <c r="Z49" s="1899"/>
      <c r="AA49" s="1899"/>
      <c r="AB49" s="1899"/>
      <c r="AC49" s="1899"/>
      <c r="AD49" s="1899"/>
      <c r="AE49" s="1899"/>
      <c r="AF49" s="1899"/>
      <c r="AG49" s="1899"/>
      <c r="AH49" s="1899"/>
      <c r="AI49" s="1899"/>
      <c r="AJ49" s="816"/>
      <c r="AK49" s="595"/>
    </row>
    <row r="50" spans="1:37" ht="15.9" customHeight="1">
      <c r="A50" s="595"/>
      <c r="B50" s="819"/>
      <c r="C50" s="595"/>
      <c r="D50" s="595"/>
      <c r="E50" s="1899"/>
      <c r="F50" s="1899"/>
      <c r="G50" s="1899"/>
      <c r="H50" s="1899"/>
      <c r="I50" s="1899"/>
      <c r="J50" s="1899"/>
      <c r="K50" s="1899"/>
      <c r="L50" s="1899"/>
      <c r="M50" s="1899"/>
      <c r="N50" s="1899"/>
      <c r="O50" s="1899"/>
      <c r="P50" s="1899"/>
      <c r="Q50" s="1899"/>
      <c r="R50" s="1899"/>
      <c r="S50" s="1899"/>
      <c r="T50" s="1899"/>
      <c r="U50" s="1899"/>
      <c r="V50" s="1899"/>
      <c r="W50" s="1899"/>
      <c r="X50" s="1899"/>
      <c r="Y50" s="1899"/>
      <c r="Z50" s="1899"/>
      <c r="AA50" s="1899"/>
      <c r="AB50" s="1899"/>
      <c r="AC50" s="1899"/>
      <c r="AD50" s="1899"/>
      <c r="AE50" s="1899"/>
      <c r="AF50" s="1899"/>
      <c r="AG50" s="1899"/>
      <c r="AH50" s="1899"/>
      <c r="AI50" s="1899"/>
      <c r="AJ50" s="827"/>
      <c r="AK50" s="595"/>
    </row>
    <row r="51" spans="1:37" ht="15.9" customHeight="1">
      <c r="A51" s="595"/>
      <c r="B51" s="819"/>
      <c r="C51" s="595"/>
      <c r="D51" s="595"/>
      <c r="E51" s="1899"/>
      <c r="F51" s="1899"/>
      <c r="G51" s="1899"/>
      <c r="H51" s="1899"/>
      <c r="I51" s="1899"/>
      <c r="J51" s="1899"/>
      <c r="K51" s="1899"/>
      <c r="L51" s="1899"/>
      <c r="M51" s="1899"/>
      <c r="N51" s="1899"/>
      <c r="O51" s="1899"/>
      <c r="P51" s="1899"/>
      <c r="Q51" s="1899"/>
      <c r="R51" s="1899"/>
      <c r="S51" s="1899"/>
      <c r="T51" s="1899"/>
      <c r="U51" s="1899"/>
      <c r="V51" s="1899"/>
      <c r="W51" s="1899"/>
      <c r="X51" s="1899"/>
      <c r="Y51" s="1899"/>
      <c r="Z51" s="1899"/>
      <c r="AA51" s="1899"/>
      <c r="AB51" s="1899"/>
      <c r="AC51" s="1899"/>
      <c r="AD51" s="1899"/>
      <c r="AE51" s="1899"/>
      <c r="AF51" s="1899"/>
      <c r="AG51" s="1899"/>
      <c r="AH51" s="1899"/>
      <c r="AI51" s="1899"/>
      <c r="AJ51" s="827"/>
      <c r="AK51" s="595"/>
    </row>
    <row r="52" spans="1:37" ht="15.9" customHeight="1">
      <c r="A52" s="595"/>
      <c r="B52" s="819"/>
      <c r="C52" s="595"/>
      <c r="D52" s="595"/>
      <c r="E52" s="1899"/>
      <c r="F52" s="1899"/>
      <c r="G52" s="1899"/>
      <c r="H52" s="1899"/>
      <c r="I52" s="1899"/>
      <c r="J52" s="1899"/>
      <c r="K52" s="1899"/>
      <c r="L52" s="1899"/>
      <c r="M52" s="1899"/>
      <c r="N52" s="1899"/>
      <c r="O52" s="1899"/>
      <c r="P52" s="1899"/>
      <c r="Q52" s="1899"/>
      <c r="R52" s="1899"/>
      <c r="S52" s="1899"/>
      <c r="T52" s="1899"/>
      <c r="U52" s="1899"/>
      <c r="V52" s="1899"/>
      <c r="W52" s="1899"/>
      <c r="X52" s="1899"/>
      <c r="Y52" s="1899"/>
      <c r="Z52" s="1899"/>
      <c r="AA52" s="1899"/>
      <c r="AB52" s="1899"/>
      <c r="AC52" s="1899"/>
      <c r="AD52" s="1899"/>
      <c r="AE52" s="1899"/>
      <c r="AF52" s="1899"/>
      <c r="AG52" s="1899"/>
      <c r="AH52" s="1899"/>
      <c r="AI52" s="1899"/>
      <c r="AJ52" s="816"/>
      <c r="AK52" s="595"/>
    </row>
    <row r="53" spans="1:37" ht="15.9" customHeight="1">
      <c r="A53" s="595"/>
      <c r="B53" s="819"/>
      <c r="C53" s="595"/>
      <c r="D53" s="595"/>
      <c r="E53" s="1899"/>
      <c r="F53" s="1899"/>
      <c r="G53" s="1899"/>
      <c r="H53" s="1899"/>
      <c r="I53" s="1899"/>
      <c r="J53" s="1899"/>
      <c r="K53" s="1899"/>
      <c r="L53" s="1899"/>
      <c r="M53" s="1899"/>
      <c r="N53" s="1899"/>
      <c r="O53" s="1899"/>
      <c r="P53" s="1899"/>
      <c r="Q53" s="1899"/>
      <c r="R53" s="1899"/>
      <c r="S53" s="1899"/>
      <c r="T53" s="1899"/>
      <c r="U53" s="1899"/>
      <c r="V53" s="1899"/>
      <c r="W53" s="1899"/>
      <c r="X53" s="1899"/>
      <c r="Y53" s="1899"/>
      <c r="Z53" s="1899"/>
      <c r="AA53" s="1899"/>
      <c r="AB53" s="1899"/>
      <c r="AC53" s="1899"/>
      <c r="AD53" s="1899"/>
      <c r="AE53" s="1899"/>
      <c r="AF53" s="1899"/>
      <c r="AG53" s="1899"/>
      <c r="AH53" s="1899"/>
      <c r="AI53" s="1899"/>
      <c r="AJ53" s="816"/>
      <c r="AK53" s="595"/>
    </row>
    <row r="54" spans="1:37" ht="15.9" customHeight="1">
      <c r="A54" s="595"/>
      <c r="B54" s="819"/>
      <c r="C54" s="595"/>
      <c r="D54" s="595"/>
      <c r="E54" s="1899"/>
      <c r="F54" s="1899"/>
      <c r="G54" s="1899"/>
      <c r="H54" s="1899"/>
      <c r="I54" s="1899"/>
      <c r="J54" s="1899"/>
      <c r="K54" s="1899"/>
      <c r="L54" s="1899"/>
      <c r="M54" s="1899"/>
      <c r="N54" s="1899"/>
      <c r="O54" s="1899"/>
      <c r="P54" s="1899"/>
      <c r="Q54" s="1899"/>
      <c r="R54" s="1899"/>
      <c r="S54" s="1899"/>
      <c r="T54" s="1899"/>
      <c r="U54" s="1899"/>
      <c r="V54" s="1899"/>
      <c r="W54" s="1899"/>
      <c r="X54" s="1899"/>
      <c r="Y54" s="1899"/>
      <c r="Z54" s="1899"/>
      <c r="AA54" s="1899"/>
      <c r="AB54" s="1899"/>
      <c r="AC54" s="1899"/>
      <c r="AD54" s="1899"/>
      <c r="AE54" s="1899"/>
      <c r="AF54" s="1899"/>
      <c r="AG54" s="1899"/>
      <c r="AH54" s="1899"/>
      <c r="AI54" s="1899"/>
      <c r="AJ54" s="816"/>
      <c r="AK54" s="595"/>
    </row>
    <row r="55" spans="1:37" ht="15.9" customHeight="1">
      <c r="A55" s="595"/>
      <c r="B55" s="819"/>
      <c r="C55" s="595"/>
      <c r="D55" s="595"/>
      <c r="E55" s="1899"/>
      <c r="F55" s="1899"/>
      <c r="G55" s="1899"/>
      <c r="H55" s="1899"/>
      <c r="I55" s="1899"/>
      <c r="J55" s="1899"/>
      <c r="K55" s="1899"/>
      <c r="L55" s="1899"/>
      <c r="M55" s="1899"/>
      <c r="N55" s="1899"/>
      <c r="O55" s="1899"/>
      <c r="P55" s="1899"/>
      <c r="Q55" s="1899"/>
      <c r="R55" s="1899"/>
      <c r="S55" s="1899"/>
      <c r="T55" s="1899"/>
      <c r="U55" s="1899"/>
      <c r="V55" s="1899"/>
      <c r="W55" s="1899"/>
      <c r="X55" s="1899"/>
      <c r="Y55" s="1899"/>
      <c r="Z55" s="1899"/>
      <c r="AA55" s="1899"/>
      <c r="AB55" s="1899"/>
      <c r="AC55" s="1899"/>
      <c r="AD55" s="1899"/>
      <c r="AE55" s="1899"/>
      <c r="AF55" s="1899"/>
      <c r="AG55" s="1899"/>
      <c r="AH55" s="1899"/>
      <c r="AI55" s="1899"/>
      <c r="AJ55" s="816"/>
      <c r="AK55" s="595"/>
    </row>
    <row r="56" spans="1:37" ht="15.9" customHeight="1">
      <c r="A56" s="595"/>
      <c r="B56" s="819"/>
      <c r="C56" s="595"/>
      <c r="D56" s="595"/>
      <c r="E56" s="3422" t="s">
        <v>973</v>
      </c>
      <c r="F56" s="3422"/>
      <c r="G56" s="3422"/>
      <c r="H56" s="3422"/>
      <c r="I56" s="3422"/>
      <c r="J56" s="3422"/>
      <c r="K56" s="3422"/>
      <c r="L56" s="3422"/>
      <c r="M56" s="3422"/>
      <c r="N56" s="3422"/>
      <c r="O56" s="3422"/>
      <c r="P56" s="3422"/>
      <c r="Q56" s="3422"/>
      <c r="R56" s="3422"/>
      <c r="S56" s="3422"/>
      <c r="T56" s="3422"/>
      <c r="U56" s="3422"/>
      <c r="V56" s="3422"/>
      <c r="W56" s="3422"/>
      <c r="X56" s="3422"/>
      <c r="Y56" s="3422"/>
      <c r="Z56" s="3422"/>
      <c r="AA56" s="3422"/>
      <c r="AB56" s="3422"/>
      <c r="AC56" s="3422"/>
      <c r="AD56" s="3422"/>
      <c r="AE56" s="3422"/>
      <c r="AF56" s="3422"/>
      <c r="AG56" s="3422"/>
      <c r="AH56" s="3422"/>
      <c r="AI56" s="3422"/>
      <c r="AJ56" s="827"/>
      <c r="AK56" s="595"/>
    </row>
    <row r="57" spans="1:37" ht="3" customHeight="1">
      <c r="A57" s="595"/>
      <c r="B57" s="819"/>
      <c r="C57" s="595"/>
      <c r="D57" s="595"/>
      <c r="E57" s="884"/>
      <c r="F57" s="884"/>
      <c r="G57" s="884"/>
      <c r="H57" s="884"/>
      <c r="I57" s="884"/>
      <c r="J57" s="884"/>
      <c r="K57" s="884"/>
      <c r="L57" s="884"/>
      <c r="M57" s="884"/>
      <c r="N57" s="884"/>
      <c r="O57" s="884"/>
      <c r="P57" s="884"/>
      <c r="Q57" s="884"/>
      <c r="R57" s="884"/>
      <c r="S57" s="884"/>
      <c r="T57" s="884"/>
      <c r="U57" s="884"/>
      <c r="V57" s="884"/>
      <c r="W57" s="884"/>
      <c r="X57" s="884"/>
      <c r="Y57" s="884"/>
      <c r="Z57" s="884"/>
      <c r="AA57" s="884"/>
      <c r="AB57" s="884"/>
      <c r="AC57" s="884"/>
      <c r="AD57" s="884"/>
      <c r="AE57" s="884"/>
      <c r="AF57" s="884"/>
      <c r="AG57" s="884"/>
      <c r="AH57" s="884"/>
      <c r="AI57" s="884"/>
      <c r="AJ57" s="827"/>
      <c r="AK57" s="595"/>
    </row>
    <row r="58" spans="1:37" ht="15.9" customHeight="1">
      <c r="A58" s="595"/>
      <c r="B58" s="819"/>
      <c r="C58" s="595"/>
      <c r="D58" s="595"/>
      <c r="E58" s="3441" t="s">
        <v>968</v>
      </c>
      <c r="F58" s="3441"/>
      <c r="G58" s="3441"/>
      <c r="H58" s="3440"/>
      <c r="I58" s="3440"/>
      <c r="J58" s="3440"/>
      <c r="K58" s="3440"/>
      <c r="L58" s="3440"/>
      <c r="M58" s="3440"/>
      <c r="N58" s="3440"/>
      <c r="O58" s="3440"/>
      <c r="P58" s="3440"/>
      <c r="Q58" s="3440"/>
      <c r="R58" s="3440"/>
      <c r="S58" s="885"/>
      <c r="T58" s="885"/>
      <c r="U58" s="885"/>
      <c r="V58" s="885"/>
      <c r="W58" s="885"/>
      <c r="X58" s="885"/>
      <c r="Y58" s="885"/>
      <c r="Z58" s="885"/>
      <c r="AA58" s="885"/>
      <c r="AB58" s="885"/>
      <c r="AC58" s="885"/>
      <c r="AD58" s="885"/>
      <c r="AE58" s="885"/>
      <c r="AF58" s="885"/>
      <c r="AG58" s="885"/>
      <c r="AH58" s="885"/>
      <c r="AI58" s="885"/>
      <c r="AJ58" s="827"/>
      <c r="AK58" s="595"/>
    </row>
    <row r="59" spans="1:37" ht="6" customHeight="1">
      <c r="A59" s="595"/>
      <c r="B59" s="819"/>
      <c r="C59" s="595"/>
      <c r="D59" s="595"/>
      <c r="E59" s="3445"/>
      <c r="F59" s="3445"/>
      <c r="G59" s="3445"/>
      <c r="H59" s="3445"/>
      <c r="I59" s="3445"/>
      <c r="J59" s="3445"/>
      <c r="K59" s="3445"/>
      <c r="L59" s="3445"/>
      <c r="M59" s="3445"/>
      <c r="N59" s="3445"/>
      <c r="O59" s="3445"/>
      <c r="P59" s="3445"/>
      <c r="Q59" s="3445"/>
      <c r="R59" s="3445"/>
      <c r="S59" s="3445"/>
      <c r="T59" s="3445"/>
      <c r="U59" s="3445"/>
      <c r="V59" s="3445"/>
      <c r="W59" s="3445"/>
      <c r="X59" s="3445"/>
      <c r="Y59" s="3445"/>
      <c r="Z59" s="3445"/>
      <c r="AA59" s="3445"/>
      <c r="AB59" s="3445"/>
      <c r="AC59" s="3445"/>
      <c r="AD59" s="3445"/>
      <c r="AE59" s="3445"/>
      <c r="AF59" s="3445"/>
      <c r="AG59" s="3445"/>
      <c r="AH59" s="3445"/>
      <c r="AI59" s="3445"/>
      <c r="AJ59" s="816"/>
      <c r="AK59" s="595"/>
    </row>
    <row r="60" spans="1:37" ht="15.9" customHeight="1">
      <c r="A60" s="595"/>
      <c r="B60" s="819"/>
      <c r="C60" s="595"/>
      <c r="D60" s="595"/>
      <c r="E60" s="3422" t="s">
        <v>972</v>
      </c>
      <c r="F60" s="3422"/>
      <c r="G60" s="3422"/>
      <c r="H60" s="3422"/>
      <c r="I60" s="3422"/>
      <c r="J60" s="3422"/>
      <c r="K60" s="3422"/>
      <c r="L60" s="3422"/>
      <c r="M60" s="3422"/>
      <c r="N60" s="3422"/>
      <c r="O60" s="3422"/>
      <c r="P60" s="3422"/>
      <c r="Q60" s="3422"/>
      <c r="R60" s="3422"/>
      <c r="S60" s="3422"/>
      <c r="T60" s="3422"/>
      <c r="U60" s="3422"/>
      <c r="V60" s="3422"/>
      <c r="W60" s="3422"/>
      <c r="X60" s="3422"/>
      <c r="Y60" s="3422"/>
      <c r="Z60" s="3422"/>
      <c r="AA60" s="3422"/>
      <c r="AB60" s="3422"/>
      <c r="AC60" s="3422"/>
      <c r="AD60" s="3422"/>
      <c r="AE60" s="3422"/>
      <c r="AF60" s="3422"/>
      <c r="AG60" s="3422"/>
      <c r="AH60" s="3422"/>
      <c r="AI60" s="3422"/>
      <c r="AJ60" s="816"/>
      <c r="AK60" s="595"/>
    </row>
    <row r="61" spans="1:37" ht="15.9" customHeight="1">
      <c r="A61" s="595"/>
      <c r="B61" s="819"/>
      <c r="C61" s="595"/>
      <c r="D61" s="595"/>
      <c r="E61" s="3422" t="s">
        <v>971</v>
      </c>
      <c r="F61" s="3422"/>
      <c r="G61" s="3422"/>
      <c r="H61" s="3422"/>
      <c r="I61" s="3422"/>
      <c r="J61" s="3422"/>
      <c r="K61" s="3446"/>
      <c r="L61" s="3446"/>
      <c r="M61" s="3446"/>
      <c r="N61" s="3446"/>
      <c r="O61" s="3446"/>
      <c r="P61" s="3446"/>
      <c r="Q61" s="3446"/>
      <c r="R61" s="3446"/>
      <c r="S61" s="3446"/>
      <c r="T61" s="3446"/>
      <c r="U61" s="3446"/>
      <c r="V61" s="3446"/>
      <c r="W61" s="3446"/>
      <c r="X61" s="3446"/>
      <c r="Y61" s="3446"/>
      <c r="Z61" s="3446"/>
      <c r="AA61" s="3446"/>
      <c r="AB61" s="3446"/>
      <c r="AC61" s="3446"/>
      <c r="AD61" s="3446"/>
      <c r="AE61" s="3446"/>
      <c r="AF61" s="3446"/>
      <c r="AG61" s="3446"/>
      <c r="AH61" s="3446"/>
      <c r="AI61" s="3446"/>
      <c r="AJ61" s="816"/>
      <c r="AK61" s="595"/>
    </row>
    <row r="62" spans="1:37" ht="7.2" customHeight="1">
      <c r="A62" s="595"/>
      <c r="B62" s="819"/>
      <c r="C62" s="595"/>
      <c r="D62" s="595"/>
      <c r="E62" s="3444"/>
      <c r="F62" s="2237"/>
      <c r="G62" s="2237"/>
      <c r="H62" s="2237"/>
      <c r="I62" s="2237"/>
      <c r="J62" s="2237"/>
      <c r="K62" s="2237"/>
      <c r="L62" s="2237"/>
      <c r="M62" s="2237"/>
      <c r="N62" s="2237"/>
      <c r="O62" s="2237"/>
      <c r="P62" s="2237"/>
      <c r="Q62" s="2237"/>
      <c r="R62" s="2237"/>
      <c r="S62" s="2237"/>
      <c r="T62" s="2237"/>
      <c r="U62" s="2237"/>
      <c r="V62" s="2237"/>
      <c r="W62" s="2237"/>
      <c r="X62" s="2237"/>
      <c r="Y62" s="2237"/>
      <c r="Z62" s="2237"/>
      <c r="AA62" s="2237"/>
      <c r="AB62" s="2237"/>
      <c r="AC62" s="2237"/>
      <c r="AD62" s="2237"/>
      <c r="AE62" s="2237"/>
      <c r="AF62" s="2237"/>
      <c r="AG62" s="2237"/>
      <c r="AH62" s="2237"/>
      <c r="AI62" s="2237"/>
      <c r="AJ62" s="816"/>
      <c r="AK62" s="595"/>
    </row>
    <row r="63" spans="1:37" ht="15.9" customHeight="1">
      <c r="A63" s="595"/>
      <c r="B63" s="819"/>
      <c r="C63" s="595"/>
      <c r="D63" s="595"/>
      <c r="E63" s="3447" t="s">
        <v>969</v>
      </c>
      <c r="F63" s="3447"/>
      <c r="G63" s="3447"/>
      <c r="H63" s="3440"/>
      <c r="I63" s="3440"/>
      <c r="J63" s="3440"/>
      <c r="K63" s="3440"/>
      <c r="L63" s="3440"/>
      <c r="M63" s="3440"/>
      <c r="N63" s="3440"/>
      <c r="O63" s="3440"/>
      <c r="P63" s="3440"/>
      <c r="Q63" s="3440"/>
      <c r="R63" s="3440"/>
      <c r="S63" s="3441" t="s">
        <v>970</v>
      </c>
      <c r="T63" s="3441"/>
      <c r="U63" s="3441"/>
      <c r="V63" s="3441"/>
      <c r="W63" s="3442"/>
      <c r="X63" s="3443"/>
      <c r="Y63" s="3443"/>
      <c r="Z63" s="3443"/>
      <c r="AA63" s="3443"/>
      <c r="AB63" s="3443"/>
      <c r="AC63" s="3443"/>
      <c r="AD63" s="3443"/>
      <c r="AE63" s="3443"/>
      <c r="AF63" s="3443"/>
      <c r="AG63" s="3443"/>
      <c r="AH63" s="3443"/>
      <c r="AI63" s="3443"/>
      <c r="AJ63" s="816"/>
      <c r="AK63" s="595"/>
    </row>
    <row r="64" spans="1:37">
      <c r="A64" s="595"/>
      <c r="B64" s="819"/>
      <c r="C64" s="595"/>
      <c r="D64" s="595"/>
      <c r="E64" s="595"/>
      <c r="F64" s="595"/>
      <c r="G64" s="595"/>
      <c r="H64" s="886"/>
      <c r="I64" s="886"/>
      <c r="J64" s="886"/>
      <c r="K64" s="886"/>
      <c r="L64" s="886"/>
      <c r="M64" s="886"/>
      <c r="N64" s="886"/>
      <c r="O64" s="886"/>
      <c r="P64" s="886"/>
      <c r="Q64" s="887"/>
      <c r="R64" s="887"/>
      <c r="S64" s="812"/>
      <c r="T64" s="595"/>
      <c r="U64" s="595"/>
      <c r="V64" s="595"/>
      <c r="W64" s="886"/>
      <c r="X64" s="886"/>
      <c r="Y64" s="886"/>
      <c r="Z64" s="886"/>
      <c r="AA64" s="886"/>
      <c r="AB64" s="886"/>
      <c r="AC64" s="886"/>
      <c r="AD64" s="886"/>
      <c r="AE64" s="886"/>
      <c r="AF64" s="886"/>
      <c r="AG64" s="886"/>
      <c r="AH64" s="886"/>
      <c r="AI64" s="886"/>
      <c r="AJ64" s="816"/>
      <c r="AK64" s="595"/>
    </row>
    <row r="65" spans="1:37" ht="15" customHeight="1" thickBot="1">
      <c r="A65" s="595"/>
      <c r="B65" s="815"/>
      <c r="C65" s="881"/>
      <c r="D65" s="881"/>
      <c r="E65" s="881"/>
      <c r="F65" s="881"/>
      <c r="G65" s="881"/>
      <c r="H65" s="881"/>
      <c r="I65" s="881"/>
      <c r="J65" s="881"/>
      <c r="K65" s="881"/>
      <c r="L65" s="881"/>
      <c r="M65" s="881"/>
      <c r="N65" s="881"/>
      <c r="O65" s="881"/>
      <c r="P65" s="881"/>
      <c r="Q65" s="882"/>
      <c r="R65" s="882"/>
      <c r="S65" s="882"/>
      <c r="T65" s="881"/>
      <c r="U65" s="881"/>
      <c r="V65" s="881"/>
      <c r="W65" s="881"/>
      <c r="X65" s="881"/>
      <c r="Y65" s="881"/>
      <c r="Z65" s="881"/>
      <c r="AA65" s="881"/>
      <c r="AB65" s="881"/>
      <c r="AC65" s="881"/>
      <c r="AD65" s="881"/>
      <c r="AE65" s="881"/>
      <c r="AF65" s="881"/>
      <c r="AG65" s="881"/>
      <c r="AH65" s="881"/>
      <c r="AI65" s="881"/>
      <c r="AJ65" s="883"/>
      <c r="AK65" s="595"/>
    </row>
    <row r="66" spans="1:37" ht="6.75" customHeight="1" thickTop="1">
      <c r="A66" s="595"/>
      <c r="B66" s="595"/>
      <c r="C66" s="595"/>
      <c r="D66" s="595"/>
      <c r="E66" s="595"/>
      <c r="F66" s="595"/>
      <c r="G66" s="595"/>
      <c r="H66" s="595"/>
      <c r="I66" s="595"/>
      <c r="J66" s="595"/>
      <c r="K66" s="595"/>
      <c r="L66" s="595"/>
      <c r="M66" s="595"/>
      <c r="N66" s="595"/>
      <c r="O66" s="595"/>
      <c r="P66" s="595"/>
      <c r="Q66" s="812"/>
      <c r="R66" s="812"/>
      <c r="S66" s="812"/>
      <c r="T66" s="595"/>
      <c r="U66" s="595"/>
      <c r="V66" s="595"/>
      <c r="W66" s="595"/>
      <c r="X66" s="595"/>
      <c r="Y66" s="595"/>
      <c r="Z66" s="595"/>
      <c r="AA66" s="595"/>
      <c r="AB66" s="595"/>
      <c r="AC66" s="595"/>
      <c r="AD66" s="595"/>
      <c r="AE66" s="595"/>
      <c r="AF66" s="595"/>
      <c r="AG66" s="595"/>
      <c r="AH66" s="595"/>
      <c r="AI66" s="595"/>
      <c r="AJ66" s="595"/>
      <c r="AK66" s="595"/>
    </row>
  </sheetData>
  <sheetProtection algorithmName="SHA-512" hashValue="NMXD9r+3HIQGR1g396ZyEpB/TFCzSj0WSnn27BBscqFdGjW+9M0rYxYv/g6bEt9WAXVM2lYcBsYwXvXV8xVNng==" saltValue="2tCNIyXaUpab9c8Y9Yu3Mg==" spinCount="100000" sheet="1" objects="1" scenarios="1" selectLockedCells="1"/>
  <mergeCells count="87">
    <mergeCell ref="H63:R63"/>
    <mergeCell ref="S63:V63"/>
    <mergeCell ref="W63:AI63"/>
    <mergeCell ref="E58:G58"/>
    <mergeCell ref="H58:R58"/>
    <mergeCell ref="E62:AI62"/>
    <mergeCell ref="E59:AI59"/>
    <mergeCell ref="E60:AI60"/>
    <mergeCell ref="E61:AI61"/>
    <mergeCell ref="E63:G63"/>
    <mergeCell ref="E4:AF4"/>
    <mergeCell ref="AH1:AJ1"/>
    <mergeCell ref="D2:AF2"/>
    <mergeCell ref="AH2:AJ2"/>
    <mergeCell ref="D3:AF3"/>
    <mergeCell ref="AI3:AJ3"/>
    <mergeCell ref="U6:AA6"/>
    <mergeCell ref="AD6:AE6"/>
    <mergeCell ref="C7:F7"/>
    <mergeCell ref="G7:S7"/>
    <mergeCell ref="U7:AA7"/>
    <mergeCell ref="AD7:AI7"/>
    <mergeCell ref="AH6:AI6"/>
    <mergeCell ref="C8:F8"/>
    <mergeCell ref="G8:S8"/>
    <mergeCell ref="U8:AA8"/>
    <mergeCell ref="AD8:AI8"/>
    <mergeCell ref="C9:F9"/>
    <mergeCell ref="G9:S9"/>
    <mergeCell ref="U9:AA9"/>
    <mergeCell ref="AD9:AI9"/>
    <mergeCell ref="G12:P12"/>
    <mergeCell ref="AF12:AI12"/>
    <mergeCell ref="C10:F10"/>
    <mergeCell ref="G10:M10"/>
    <mergeCell ref="O10:P10"/>
    <mergeCell ref="R10:S10"/>
    <mergeCell ref="U10:AA10"/>
    <mergeCell ref="AD10:AI10"/>
    <mergeCell ref="C11:F11"/>
    <mergeCell ref="G11:P11"/>
    <mergeCell ref="R11:S11"/>
    <mergeCell ref="U11:AA11"/>
    <mergeCell ref="AD11:AI11"/>
    <mergeCell ref="E25:AI25"/>
    <mergeCell ref="B14:AJ14"/>
    <mergeCell ref="E15:AI15"/>
    <mergeCell ref="E16:AI16"/>
    <mergeCell ref="E17:AI17"/>
    <mergeCell ref="E18:AI18"/>
    <mergeCell ref="E19:AI19"/>
    <mergeCell ref="E20:AI20"/>
    <mergeCell ref="E21:AI21"/>
    <mergeCell ref="E22:AI22"/>
    <mergeCell ref="E23:AI23"/>
    <mergeCell ref="E24:AI24"/>
    <mergeCell ref="E37:AI37"/>
    <mergeCell ref="E26:AI26"/>
    <mergeCell ref="E27:AI27"/>
    <mergeCell ref="E28:AI28"/>
    <mergeCell ref="E29:AI29"/>
    <mergeCell ref="E30:AI30"/>
    <mergeCell ref="E31:AI31"/>
    <mergeCell ref="E32:AI32"/>
    <mergeCell ref="E33:AI33"/>
    <mergeCell ref="E34:AI34"/>
    <mergeCell ref="E35:AI35"/>
    <mergeCell ref="E36:AI36"/>
    <mergeCell ref="E49:AI49"/>
    <mergeCell ref="E38:AI38"/>
    <mergeCell ref="E39:AI39"/>
    <mergeCell ref="E40:AI40"/>
    <mergeCell ref="E41:AI41"/>
    <mergeCell ref="E42:AI42"/>
    <mergeCell ref="E43:AI43"/>
    <mergeCell ref="E44:AI44"/>
    <mergeCell ref="E45:AI45"/>
    <mergeCell ref="E46:AI46"/>
    <mergeCell ref="E47:AI47"/>
    <mergeCell ref="E48:AI48"/>
    <mergeCell ref="E50:AI50"/>
    <mergeCell ref="E51:AI51"/>
    <mergeCell ref="E52:AI52"/>
    <mergeCell ref="E56:AI56"/>
    <mergeCell ref="E54:AI54"/>
    <mergeCell ref="E55:AI55"/>
    <mergeCell ref="E53:AI53"/>
  </mergeCells>
  <printOptions horizontalCentered="1"/>
  <pageMargins left="0.25" right="0.25" top="0.5" bottom="0.5" header="0" footer="0"/>
  <pageSetup scale="73" orientation="portrait" r:id="rId1"/>
  <extLst>
    <ext xmlns:x14="http://schemas.microsoft.com/office/spreadsheetml/2009/9/main" uri="{CCE6A557-97BC-4b89-ADB6-D9C93CAAB3DF}">
      <x14:dataValidations xmlns:xm="http://schemas.microsoft.com/office/excel/2006/main" count="5">
        <x14:dataValidation type="list" allowBlank="1" showInputMessage="1" xr:uid="{00000000-0002-0000-1000-000000000000}">
          <x14:formula1>
            <xm:f>List!$F$35:$F$43</xm:f>
          </x14:formula1>
          <xm:sqref>AD6:AE6</xm:sqref>
        </x14:dataValidation>
        <x14:dataValidation type="list" allowBlank="1" showInputMessage="1" showErrorMessage="1" xr:uid="{00000000-0002-0000-1000-000001000000}">
          <x14:formula1>
            <xm:f>List!$B$17</xm:f>
          </x14:formula1>
          <xm:sqref>G11:P11</xm:sqref>
        </x14:dataValidation>
        <x14:dataValidation type="list" allowBlank="1" showInputMessage="1" showErrorMessage="1" xr:uid="{00000000-0002-0000-1000-000002000000}">
          <x14:formula1>
            <xm:f>List!$I$2:$I$4</xm:f>
          </x14:formula1>
          <xm:sqref>O10:P10</xm:sqref>
        </x14:dataValidation>
        <x14:dataValidation type="list" allowBlank="1" showInputMessage="1" showErrorMessage="1" xr:uid="{00000000-0002-0000-1000-000003000000}">
          <x14:formula1>
            <xm:f>List!$H$2:$H$4</xm:f>
          </x14:formula1>
          <xm:sqref>G10:M10</xm:sqref>
        </x14:dataValidation>
        <x14:dataValidation type="list" showInputMessage="1" xr:uid="{00000000-0002-0000-1000-000004000000}">
          <x14:formula1>
            <xm:f>List!$F$37:$F$43</xm:f>
          </x14:formula1>
          <xm:sqref>AH6:AI6</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3">
    <tabColor rgb="FFFF3399"/>
    <pageSetUpPr fitToPage="1"/>
  </sheetPr>
  <dimension ref="A1:AN64"/>
  <sheetViews>
    <sheetView zoomScale="86" zoomScaleNormal="86" workbookViewId="0">
      <selection activeCell="G10" sqref="G10:M10"/>
    </sheetView>
  </sheetViews>
  <sheetFormatPr defaultRowHeight="14.4"/>
  <cols>
    <col min="1" max="1" width="0.6640625" customWidth="1"/>
    <col min="2" max="2" width="3.88671875" customWidth="1"/>
    <col min="3" max="3" width="4" customWidth="1"/>
    <col min="4" max="4" width="2.44140625" customWidth="1"/>
    <col min="5" max="5" width="1.6640625" customWidth="1"/>
    <col min="6" max="6" width="11" customWidth="1"/>
    <col min="7" max="7" width="2.5546875" customWidth="1"/>
    <col min="8" max="8" width="3" customWidth="1"/>
    <col min="9" max="10" width="3.109375" customWidth="1"/>
    <col min="11" max="11" width="2.44140625" customWidth="1"/>
    <col min="12" max="12" width="2.88671875" customWidth="1"/>
    <col min="13" max="13" width="0.6640625" customWidth="1"/>
    <col min="14" max="14" width="5.33203125" customWidth="1"/>
    <col min="15" max="15" width="10.5546875" customWidth="1"/>
    <col min="16" max="16" width="5.109375" customWidth="1"/>
    <col min="17" max="17" width="7.44140625" style="112" customWidth="1"/>
    <col min="18" max="18" width="6.6640625" style="112" customWidth="1"/>
    <col min="19" max="19" width="4.33203125" style="112" customWidth="1"/>
    <col min="20" max="20" width="2" customWidth="1"/>
    <col min="21" max="22" width="2.6640625" customWidth="1"/>
    <col min="23" max="24" width="2.109375" customWidth="1"/>
    <col min="25" max="25" width="4.6640625" customWidth="1"/>
    <col min="26" max="26" width="1.6640625" customWidth="1"/>
    <col min="27" max="27" width="6.6640625" customWidth="1"/>
    <col min="28" max="29" width="1.88671875" customWidth="1"/>
    <col min="30" max="30" width="3" customWidth="1"/>
    <col min="31" max="31" width="4" customWidth="1"/>
    <col min="32" max="32" width="4.33203125" customWidth="1"/>
    <col min="33" max="33" width="1.109375" customWidth="1"/>
    <col min="34" max="35" width="4.33203125" customWidth="1"/>
    <col min="36" max="36" width="5" customWidth="1"/>
    <col min="37" max="37" width="1.33203125" customWidth="1"/>
    <col min="257" max="257" width="0.6640625" customWidth="1"/>
    <col min="258" max="258" width="3.88671875" customWidth="1"/>
    <col min="259" max="259" width="4" customWidth="1"/>
    <col min="260" max="260" width="2.44140625" customWidth="1"/>
    <col min="261" max="261" width="1.6640625" customWidth="1"/>
    <col min="262" max="262" width="11" customWidth="1"/>
    <col min="263" max="263" width="2.5546875" customWidth="1"/>
    <col min="264" max="264" width="3" customWidth="1"/>
    <col min="265" max="266" width="3.109375" customWidth="1"/>
    <col min="267" max="267" width="2.44140625" customWidth="1"/>
    <col min="268" max="268" width="2.88671875" customWidth="1"/>
    <col min="269" max="269" width="0.6640625" customWidth="1"/>
    <col min="270" max="270" width="5.33203125" customWidth="1"/>
    <col min="271" max="271" width="10.5546875" customWidth="1"/>
    <col min="272" max="272" width="5.109375" customWidth="1"/>
    <col min="273" max="273" width="7.44140625" customWidth="1"/>
    <col min="274" max="274" width="6.6640625" customWidth="1"/>
    <col min="275" max="275" width="4.33203125" customWidth="1"/>
    <col min="276" max="276" width="2" customWidth="1"/>
    <col min="277" max="278" width="2.6640625" customWidth="1"/>
    <col min="279" max="280" width="2.109375" customWidth="1"/>
    <col min="281" max="281" width="4.6640625" customWidth="1"/>
    <col min="282" max="282" width="1.6640625" customWidth="1"/>
    <col min="283" max="283" width="6.6640625" customWidth="1"/>
    <col min="284" max="285" width="1.88671875" customWidth="1"/>
    <col min="286" max="286" width="3" customWidth="1"/>
    <col min="287" max="287" width="4" customWidth="1"/>
    <col min="288" max="288" width="4.33203125" customWidth="1"/>
    <col min="289" max="289" width="1.109375" customWidth="1"/>
    <col min="290" max="291" width="4.33203125" customWidth="1"/>
    <col min="292" max="292" width="5" customWidth="1"/>
    <col min="293" max="293" width="1.33203125" customWidth="1"/>
    <col min="513" max="513" width="0.6640625" customWidth="1"/>
    <col min="514" max="514" width="3.88671875" customWidth="1"/>
    <col min="515" max="515" width="4" customWidth="1"/>
    <col min="516" max="516" width="2.44140625" customWidth="1"/>
    <col min="517" max="517" width="1.6640625" customWidth="1"/>
    <col min="518" max="518" width="11" customWidth="1"/>
    <col min="519" max="519" width="2.5546875" customWidth="1"/>
    <col min="520" max="520" width="3" customWidth="1"/>
    <col min="521" max="522" width="3.109375" customWidth="1"/>
    <col min="523" max="523" width="2.44140625" customWidth="1"/>
    <col min="524" max="524" width="2.88671875" customWidth="1"/>
    <col min="525" max="525" width="0.6640625" customWidth="1"/>
    <col min="526" max="526" width="5.33203125" customWidth="1"/>
    <col min="527" max="527" width="10.5546875" customWidth="1"/>
    <col min="528" max="528" width="5.109375" customWidth="1"/>
    <col min="529" max="529" width="7.44140625" customWidth="1"/>
    <col min="530" max="530" width="6.6640625" customWidth="1"/>
    <col min="531" max="531" width="4.33203125" customWidth="1"/>
    <col min="532" max="532" width="2" customWidth="1"/>
    <col min="533" max="534" width="2.6640625" customWidth="1"/>
    <col min="535" max="536" width="2.109375" customWidth="1"/>
    <col min="537" max="537" width="4.6640625" customWidth="1"/>
    <col min="538" max="538" width="1.6640625" customWidth="1"/>
    <col min="539" max="539" width="6.6640625" customWidth="1"/>
    <col min="540" max="541" width="1.88671875" customWidth="1"/>
    <col min="542" max="542" width="3" customWidth="1"/>
    <col min="543" max="543" width="4" customWidth="1"/>
    <col min="544" max="544" width="4.33203125" customWidth="1"/>
    <col min="545" max="545" width="1.109375" customWidth="1"/>
    <col min="546" max="547" width="4.33203125" customWidth="1"/>
    <col min="548" max="548" width="5" customWidth="1"/>
    <col min="549" max="549" width="1.33203125" customWidth="1"/>
    <col min="769" max="769" width="0.6640625" customWidth="1"/>
    <col min="770" max="770" width="3.88671875" customWidth="1"/>
    <col min="771" max="771" width="4" customWidth="1"/>
    <col min="772" max="772" width="2.44140625" customWidth="1"/>
    <col min="773" max="773" width="1.6640625" customWidth="1"/>
    <col min="774" max="774" width="11" customWidth="1"/>
    <col min="775" max="775" width="2.5546875" customWidth="1"/>
    <col min="776" max="776" width="3" customWidth="1"/>
    <col min="777" max="778" width="3.109375" customWidth="1"/>
    <col min="779" max="779" width="2.44140625" customWidth="1"/>
    <col min="780" max="780" width="2.88671875" customWidth="1"/>
    <col min="781" max="781" width="0.6640625" customWidth="1"/>
    <col min="782" max="782" width="5.33203125" customWidth="1"/>
    <col min="783" max="783" width="10.5546875" customWidth="1"/>
    <col min="784" max="784" width="5.109375" customWidth="1"/>
    <col min="785" max="785" width="7.44140625" customWidth="1"/>
    <col min="786" max="786" width="6.6640625" customWidth="1"/>
    <col min="787" max="787" width="4.33203125" customWidth="1"/>
    <col min="788" max="788" width="2" customWidth="1"/>
    <col min="789" max="790" width="2.6640625" customWidth="1"/>
    <col min="791" max="792" width="2.109375" customWidth="1"/>
    <col min="793" max="793" width="4.6640625" customWidth="1"/>
    <col min="794" max="794" width="1.6640625" customWidth="1"/>
    <col min="795" max="795" width="6.6640625" customWidth="1"/>
    <col min="796" max="797" width="1.88671875" customWidth="1"/>
    <col min="798" max="798" width="3" customWidth="1"/>
    <col min="799" max="799" width="4" customWidth="1"/>
    <col min="800" max="800" width="4.33203125" customWidth="1"/>
    <col min="801" max="801" width="1.109375" customWidth="1"/>
    <col min="802" max="803" width="4.33203125" customWidth="1"/>
    <col min="804" max="804" width="5" customWidth="1"/>
    <col min="805" max="805" width="1.33203125" customWidth="1"/>
    <col min="1025" max="1025" width="0.6640625" customWidth="1"/>
    <col min="1026" max="1026" width="3.88671875" customWidth="1"/>
    <col min="1027" max="1027" width="4" customWidth="1"/>
    <col min="1028" max="1028" width="2.44140625" customWidth="1"/>
    <col min="1029" max="1029" width="1.6640625" customWidth="1"/>
    <col min="1030" max="1030" width="11" customWidth="1"/>
    <col min="1031" max="1031" width="2.5546875" customWidth="1"/>
    <col min="1032" max="1032" width="3" customWidth="1"/>
    <col min="1033" max="1034" width="3.109375" customWidth="1"/>
    <col min="1035" max="1035" width="2.44140625" customWidth="1"/>
    <col min="1036" max="1036" width="2.88671875" customWidth="1"/>
    <col min="1037" max="1037" width="0.6640625" customWidth="1"/>
    <col min="1038" max="1038" width="5.33203125" customWidth="1"/>
    <col min="1039" max="1039" width="10.5546875" customWidth="1"/>
    <col min="1040" max="1040" width="5.109375" customWidth="1"/>
    <col min="1041" max="1041" width="7.44140625" customWidth="1"/>
    <col min="1042" max="1042" width="6.6640625" customWidth="1"/>
    <col min="1043" max="1043" width="4.33203125" customWidth="1"/>
    <col min="1044" max="1044" width="2" customWidth="1"/>
    <col min="1045" max="1046" width="2.6640625" customWidth="1"/>
    <col min="1047" max="1048" width="2.109375" customWidth="1"/>
    <col min="1049" max="1049" width="4.6640625" customWidth="1"/>
    <col min="1050" max="1050" width="1.6640625" customWidth="1"/>
    <col min="1051" max="1051" width="6.6640625" customWidth="1"/>
    <col min="1052" max="1053" width="1.88671875" customWidth="1"/>
    <col min="1054" max="1054" width="3" customWidth="1"/>
    <col min="1055" max="1055" width="4" customWidth="1"/>
    <col min="1056" max="1056" width="4.33203125" customWidth="1"/>
    <col min="1057" max="1057" width="1.109375" customWidth="1"/>
    <col min="1058" max="1059" width="4.33203125" customWidth="1"/>
    <col min="1060" max="1060" width="5" customWidth="1"/>
    <col min="1061" max="1061" width="1.33203125" customWidth="1"/>
    <col min="1281" max="1281" width="0.6640625" customWidth="1"/>
    <col min="1282" max="1282" width="3.88671875" customWidth="1"/>
    <col min="1283" max="1283" width="4" customWidth="1"/>
    <col min="1284" max="1284" width="2.44140625" customWidth="1"/>
    <col min="1285" max="1285" width="1.6640625" customWidth="1"/>
    <col min="1286" max="1286" width="11" customWidth="1"/>
    <col min="1287" max="1287" width="2.5546875" customWidth="1"/>
    <col min="1288" max="1288" width="3" customWidth="1"/>
    <col min="1289" max="1290" width="3.109375" customWidth="1"/>
    <col min="1291" max="1291" width="2.44140625" customWidth="1"/>
    <col min="1292" max="1292" width="2.88671875" customWidth="1"/>
    <col min="1293" max="1293" width="0.6640625" customWidth="1"/>
    <col min="1294" max="1294" width="5.33203125" customWidth="1"/>
    <col min="1295" max="1295" width="10.5546875" customWidth="1"/>
    <col min="1296" max="1296" width="5.109375" customWidth="1"/>
    <col min="1297" max="1297" width="7.44140625" customWidth="1"/>
    <col min="1298" max="1298" width="6.6640625" customWidth="1"/>
    <col min="1299" max="1299" width="4.33203125" customWidth="1"/>
    <col min="1300" max="1300" width="2" customWidth="1"/>
    <col min="1301" max="1302" width="2.6640625" customWidth="1"/>
    <col min="1303" max="1304" width="2.109375" customWidth="1"/>
    <col min="1305" max="1305" width="4.6640625" customWidth="1"/>
    <col min="1306" max="1306" width="1.6640625" customWidth="1"/>
    <col min="1307" max="1307" width="6.6640625" customWidth="1"/>
    <col min="1308" max="1309" width="1.88671875" customWidth="1"/>
    <col min="1310" max="1310" width="3" customWidth="1"/>
    <col min="1311" max="1311" width="4" customWidth="1"/>
    <col min="1312" max="1312" width="4.33203125" customWidth="1"/>
    <col min="1313" max="1313" width="1.109375" customWidth="1"/>
    <col min="1314" max="1315" width="4.33203125" customWidth="1"/>
    <col min="1316" max="1316" width="5" customWidth="1"/>
    <col min="1317" max="1317" width="1.33203125" customWidth="1"/>
    <col min="1537" max="1537" width="0.6640625" customWidth="1"/>
    <col min="1538" max="1538" width="3.88671875" customWidth="1"/>
    <col min="1539" max="1539" width="4" customWidth="1"/>
    <col min="1540" max="1540" width="2.44140625" customWidth="1"/>
    <col min="1541" max="1541" width="1.6640625" customWidth="1"/>
    <col min="1542" max="1542" width="11" customWidth="1"/>
    <col min="1543" max="1543" width="2.5546875" customWidth="1"/>
    <col min="1544" max="1544" width="3" customWidth="1"/>
    <col min="1545" max="1546" width="3.109375" customWidth="1"/>
    <col min="1547" max="1547" width="2.44140625" customWidth="1"/>
    <col min="1548" max="1548" width="2.88671875" customWidth="1"/>
    <col min="1549" max="1549" width="0.6640625" customWidth="1"/>
    <col min="1550" max="1550" width="5.33203125" customWidth="1"/>
    <col min="1551" max="1551" width="10.5546875" customWidth="1"/>
    <col min="1552" max="1552" width="5.109375" customWidth="1"/>
    <col min="1553" max="1553" width="7.44140625" customWidth="1"/>
    <col min="1554" max="1554" width="6.6640625" customWidth="1"/>
    <col min="1555" max="1555" width="4.33203125" customWidth="1"/>
    <col min="1556" max="1556" width="2" customWidth="1"/>
    <col min="1557" max="1558" width="2.6640625" customWidth="1"/>
    <col min="1559" max="1560" width="2.109375" customWidth="1"/>
    <col min="1561" max="1561" width="4.6640625" customWidth="1"/>
    <col min="1562" max="1562" width="1.6640625" customWidth="1"/>
    <col min="1563" max="1563" width="6.6640625" customWidth="1"/>
    <col min="1564" max="1565" width="1.88671875" customWidth="1"/>
    <col min="1566" max="1566" width="3" customWidth="1"/>
    <col min="1567" max="1567" width="4" customWidth="1"/>
    <col min="1568" max="1568" width="4.33203125" customWidth="1"/>
    <col min="1569" max="1569" width="1.109375" customWidth="1"/>
    <col min="1570" max="1571" width="4.33203125" customWidth="1"/>
    <col min="1572" max="1572" width="5" customWidth="1"/>
    <col min="1573" max="1573" width="1.33203125" customWidth="1"/>
    <col min="1793" max="1793" width="0.6640625" customWidth="1"/>
    <col min="1794" max="1794" width="3.88671875" customWidth="1"/>
    <col min="1795" max="1795" width="4" customWidth="1"/>
    <col min="1796" max="1796" width="2.44140625" customWidth="1"/>
    <col min="1797" max="1797" width="1.6640625" customWidth="1"/>
    <col min="1798" max="1798" width="11" customWidth="1"/>
    <col min="1799" max="1799" width="2.5546875" customWidth="1"/>
    <col min="1800" max="1800" width="3" customWidth="1"/>
    <col min="1801" max="1802" width="3.109375" customWidth="1"/>
    <col min="1803" max="1803" width="2.44140625" customWidth="1"/>
    <col min="1804" max="1804" width="2.88671875" customWidth="1"/>
    <col min="1805" max="1805" width="0.6640625" customWidth="1"/>
    <col min="1806" max="1806" width="5.33203125" customWidth="1"/>
    <col min="1807" max="1807" width="10.5546875" customWidth="1"/>
    <col min="1808" max="1808" width="5.109375" customWidth="1"/>
    <col min="1809" max="1809" width="7.44140625" customWidth="1"/>
    <col min="1810" max="1810" width="6.6640625" customWidth="1"/>
    <col min="1811" max="1811" width="4.33203125" customWidth="1"/>
    <col min="1812" max="1812" width="2" customWidth="1"/>
    <col min="1813" max="1814" width="2.6640625" customWidth="1"/>
    <col min="1815" max="1816" width="2.109375" customWidth="1"/>
    <col min="1817" max="1817" width="4.6640625" customWidth="1"/>
    <col min="1818" max="1818" width="1.6640625" customWidth="1"/>
    <col min="1819" max="1819" width="6.6640625" customWidth="1"/>
    <col min="1820" max="1821" width="1.88671875" customWidth="1"/>
    <col min="1822" max="1822" width="3" customWidth="1"/>
    <col min="1823" max="1823" width="4" customWidth="1"/>
    <col min="1824" max="1824" width="4.33203125" customWidth="1"/>
    <col min="1825" max="1825" width="1.109375" customWidth="1"/>
    <col min="1826" max="1827" width="4.33203125" customWidth="1"/>
    <col min="1828" max="1828" width="5" customWidth="1"/>
    <col min="1829" max="1829" width="1.33203125" customWidth="1"/>
    <col min="2049" max="2049" width="0.6640625" customWidth="1"/>
    <col min="2050" max="2050" width="3.88671875" customWidth="1"/>
    <col min="2051" max="2051" width="4" customWidth="1"/>
    <col min="2052" max="2052" width="2.44140625" customWidth="1"/>
    <col min="2053" max="2053" width="1.6640625" customWidth="1"/>
    <col min="2054" max="2054" width="11" customWidth="1"/>
    <col min="2055" max="2055" width="2.5546875" customWidth="1"/>
    <col min="2056" max="2056" width="3" customWidth="1"/>
    <col min="2057" max="2058" width="3.109375" customWidth="1"/>
    <col min="2059" max="2059" width="2.44140625" customWidth="1"/>
    <col min="2060" max="2060" width="2.88671875" customWidth="1"/>
    <col min="2061" max="2061" width="0.6640625" customWidth="1"/>
    <col min="2062" max="2062" width="5.33203125" customWidth="1"/>
    <col min="2063" max="2063" width="10.5546875" customWidth="1"/>
    <col min="2064" max="2064" width="5.109375" customWidth="1"/>
    <col min="2065" max="2065" width="7.44140625" customWidth="1"/>
    <col min="2066" max="2066" width="6.6640625" customWidth="1"/>
    <col min="2067" max="2067" width="4.33203125" customWidth="1"/>
    <col min="2068" max="2068" width="2" customWidth="1"/>
    <col min="2069" max="2070" width="2.6640625" customWidth="1"/>
    <col min="2071" max="2072" width="2.109375" customWidth="1"/>
    <col min="2073" max="2073" width="4.6640625" customWidth="1"/>
    <col min="2074" max="2074" width="1.6640625" customWidth="1"/>
    <col min="2075" max="2075" width="6.6640625" customWidth="1"/>
    <col min="2076" max="2077" width="1.88671875" customWidth="1"/>
    <col min="2078" max="2078" width="3" customWidth="1"/>
    <col min="2079" max="2079" width="4" customWidth="1"/>
    <col min="2080" max="2080" width="4.33203125" customWidth="1"/>
    <col min="2081" max="2081" width="1.109375" customWidth="1"/>
    <col min="2082" max="2083" width="4.33203125" customWidth="1"/>
    <col min="2084" max="2084" width="5" customWidth="1"/>
    <col min="2085" max="2085" width="1.33203125" customWidth="1"/>
    <col min="2305" max="2305" width="0.6640625" customWidth="1"/>
    <col min="2306" max="2306" width="3.88671875" customWidth="1"/>
    <col min="2307" max="2307" width="4" customWidth="1"/>
    <col min="2308" max="2308" width="2.44140625" customWidth="1"/>
    <col min="2309" max="2309" width="1.6640625" customWidth="1"/>
    <col min="2310" max="2310" width="11" customWidth="1"/>
    <col min="2311" max="2311" width="2.5546875" customWidth="1"/>
    <col min="2312" max="2312" width="3" customWidth="1"/>
    <col min="2313" max="2314" width="3.109375" customWidth="1"/>
    <col min="2315" max="2315" width="2.44140625" customWidth="1"/>
    <col min="2316" max="2316" width="2.88671875" customWidth="1"/>
    <col min="2317" max="2317" width="0.6640625" customWidth="1"/>
    <col min="2318" max="2318" width="5.33203125" customWidth="1"/>
    <col min="2319" max="2319" width="10.5546875" customWidth="1"/>
    <col min="2320" max="2320" width="5.109375" customWidth="1"/>
    <col min="2321" max="2321" width="7.44140625" customWidth="1"/>
    <col min="2322" max="2322" width="6.6640625" customWidth="1"/>
    <col min="2323" max="2323" width="4.33203125" customWidth="1"/>
    <col min="2324" max="2324" width="2" customWidth="1"/>
    <col min="2325" max="2326" width="2.6640625" customWidth="1"/>
    <col min="2327" max="2328" width="2.109375" customWidth="1"/>
    <col min="2329" max="2329" width="4.6640625" customWidth="1"/>
    <col min="2330" max="2330" width="1.6640625" customWidth="1"/>
    <col min="2331" max="2331" width="6.6640625" customWidth="1"/>
    <col min="2332" max="2333" width="1.88671875" customWidth="1"/>
    <col min="2334" max="2334" width="3" customWidth="1"/>
    <col min="2335" max="2335" width="4" customWidth="1"/>
    <col min="2336" max="2336" width="4.33203125" customWidth="1"/>
    <col min="2337" max="2337" width="1.109375" customWidth="1"/>
    <col min="2338" max="2339" width="4.33203125" customWidth="1"/>
    <col min="2340" max="2340" width="5" customWidth="1"/>
    <col min="2341" max="2341" width="1.33203125" customWidth="1"/>
    <col min="2561" max="2561" width="0.6640625" customWidth="1"/>
    <col min="2562" max="2562" width="3.88671875" customWidth="1"/>
    <col min="2563" max="2563" width="4" customWidth="1"/>
    <col min="2564" max="2564" width="2.44140625" customWidth="1"/>
    <col min="2565" max="2565" width="1.6640625" customWidth="1"/>
    <col min="2566" max="2566" width="11" customWidth="1"/>
    <col min="2567" max="2567" width="2.5546875" customWidth="1"/>
    <col min="2568" max="2568" width="3" customWidth="1"/>
    <col min="2569" max="2570" width="3.109375" customWidth="1"/>
    <col min="2571" max="2571" width="2.44140625" customWidth="1"/>
    <col min="2572" max="2572" width="2.88671875" customWidth="1"/>
    <col min="2573" max="2573" width="0.6640625" customWidth="1"/>
    <col min="2574" max="2574" width="5.33203125" customWidth="1"/>
    <col min="2575" max="2575" width="10.5546875" customWidth="1"/>
    <col min="2576" max="2576" width="5.109375" customWidth="1"/>
    <col min="2577" max="2577" width="7.44140625" customWidth="1"/>
    <col min="2578" max="2578" width="6.6640625" customWidth="1"/>
    <col min="2579" max="2579" width="4.33203125" customWidth="1"/>
    <col min="2580" max="2580" width="2" customWidth="1"/>
    <col min="2581" max="2582" width="2.6640625" customWidth="1"/>
    <col min="2583" max="2584" width="2.109375" customWidth="1"/>
    <col min="2585" max="2585" width="4.6640625" customWidth="1"/>
    <col min="2586" max="2586" width="1.6640625" customWidth="1"/>
    <col min="2587" max="2587" width="6.6640625" customWidth="1"/>
    <col min="2588" max="2589" width="1.88671875" customWidth="1"/>
    <col min="2590" max="2590" width="3" customWidth="1"/>
    <col min="2591" max="2591" width="4" customWidth="1"/>
    <col min="2592" max="2592" width="4.33203125" customWidth="1"/>
    <col min="2593" max="2593" width="1.109375" customWidth="1"/>
    <col min="2594" max="2595" width="4.33203125" customWidth="1"/>
    <col min="2596" max="2596" width="5" customWidth="1"/>
    <col min="2597" max="2597" width="1.33203125" customWidth="1"/>
    <col min="2817" max="2817" width="0.6640625" customWidth="1"/>
    <col min="2818" max="2818" width="3.88671875" customWidth="1"/>
    <col min="2819" max="2819" width="4" customWidth="1"/>
    <col min="2820" max="2820" width="2.44140625" customWidth="1"/>
    <col min="2821" max="2821" width="1.6640625" customWidth="1"/>
    <col min="2822" max="2822" width="11" customWidth="1"/>
    <col min="2823" max="2823" width="2.5546875" customWidth="1"/>
    <col min="2824" max="2824" width="3" customWidth="1"/>
    <col min="2825" max="2826" width="3.109375" customWidth="1"/>
    <col min="2827" max="2827" width="2.44140625" customWidth="1"/>
    <col min="2828" max="2828" width="2.88671875" customWidth="1"/>
    <col min="2829" max="2829" width="0.6640625" customWidth="1"/>
    <col min="2830" max="2830" width="5.33203125" customWidth="1"/>
    <col min="2831" max="2831" width="10.5546875" customWidth="1"/>
    <col min="2832" max="2832" width="5.109375" customWidth="1"/>
    <col min="2833" max="2833" width="7.44140625" customWidth="1"/>
    <col min="2834" max="2834" width="6.6640625" customWidth="1"/>
    <col min="2835" max="2835" width="4.33203125" customWidth="1"/>
    <col min="2836" max="2836" width="2" customWidth="1"/>
    <col min="2837" max="2838" width="2.6640625" customWidth="1"/>
    <col min="2839" max="2840" width="2.109375" customWidth="1"/>
    <col min="2841" max="2841" width="4.6640625" customWidth="1"/>
    <col min="2842" max="2842" width="1.6640625" customWidth="1"/>
    <col min="2843" max="2843" width="6.6640625" customWidth="1"/>
    <col min="2844" max="2845" width="1.88671875" customWidth="1"/>
    <col min="2846" max="2846" width="3" customWidth="1"/>
    <col min="2847" max="2847" width="4" customWidth="1"/>
    <col min="2848" max="2848" width="4.33203125" customWidth="1"/>
    <col min="2849" max="2849" width="1.109375" customWidth="1"/>
    <col min="2850" max="2851" width="4.33203125" customWidth="1"/>
    <col min="2852" max="2852" width="5" customWidth="1"/>
    <col min="2853" max="2853" width="1.33203125" customWidth="1"/>
    <col min="3073" max="3073" width="0.6640625" customWidth="1"/>
    <col min="3074" max="3074" width="3.88671875" customWidth="1"/>
    <col min="3075" max="3075" width="4" customWidth="1"/>
    <col min="3076" max="3076" width="2.44140625" customWidth="1"/>
    <col min="3077" max="3077" width="1.6640625" customWidth="1"/>
    <col min="3078" max="3078" width="11" customWidth="1"/>
    <col min="3079" max="3079" width="2.5546875" customWidth="1"/>
    <col min="3080" max="3080" width="3" customWidth="1"/>
    <col min="3081" max="3082" width="3.109375" customWidth="1"/>
    <col min="3083" max="3083" width="2.44140625" customWidth="1"/>
    <col min="3084" max="3084" width="2.88671875" customWidth="1"/>
    <col min="3085" max="3085" width="0.6640625" customWidth="1"/>
    <col min="3086" max="3086" width="5.33203125" customWidth="1"/>
    <col min="3087" max="3087" width="10.5546875" customWidth="1"/>
    <col min="3088" max="3088" width="5.109375" customWidth="1"/>
    <col min="3089" max="3089" width="7.44140625" customWidth="1"/>
    <col min="3090" max="3090" width="6.6640625" customWidth="1"/>
    <col min="3091" max="3091" width="4.33203125" customWidth="1"/>
    <col min="3092" max="3092" width="2" customWidth="1"/>
    <col min="3093" max="3094" width="2.6640625" customWidth="1"/>
    <col min="3095" max="3096" width="2.109375" customWidth="1"/>
    <col min="3097" max="3097" width="4.6640625" customWidth="1"/>
    <col min="3098" max="3098" width="1.6640625" customWidth="1"/>
    <col min="3099" max="3099" width="6.6640625" customWidth="1"/>
    <col min="3100" max="3101" width="1.88671875" customWidth="1"/>
    <col min="3102" max="3102" width="3" customWidth="1"/>
    <col min="3103" max="3103" width="4" customWidth="1"/>
    <col min="3104" max="3104" width="4.33203125" customWidth="1"/>
    <col min="3105" max="3105" width="1.109375" customWidth="1"/>
    <col min="3106" max="3107" width="4.33203125" customWidth="1"/>
    <col min="3108" max="3108" width="5" customWidth="1"/>
    <col min="3109" max="3109" width="1.33203125" customWidth="1"/>
    <col min="3329" max="3329" width="0.6640625" customWidth="1"/>
    <col min="3330" max="3330" width="3.88671875" customWidth="1"/>
    <col min="3331" max="3331" width="4" customWidth="1"/>
    <col min="3332" max="3332" width="2.44140625" customWidth="1"/>
    <col min="3333" max="3333" width="1.6640625" customWidth="1"/>
    <col min="3334" max="3334" width="11" customWidth="1"/>
    <col min="3335" max="3335" width="2.5546875" customWidth="1"/>
    <col min="3336" max="3336" width="3" customWidth="1"/>
    <col min="3337" max="3338" width="3.109375" customWidth="1"/>
    <col min="3339" max="3339" width="2.44140625" customWidth="1"/>
    <col min="3340" max="3340" width="2.88671875" customWidth="1"/>
    <col min="3341" max="3341" width="0.6640625" customWidth="1"/>
    <col min="3342" max="3342" width="5.33203125" customWidth="1"/>
    <col min="3343" max="3343" width="10.5546875" customWidth="1"/>
    <col min="3344" max="3344" width="5.109375" customWidth="1"/>
    <col min="3345" max="3345" width="7.44140625" customWidth="1"/>
    <col min="3346" max="3346" width="6.6640625" customWidth="1"/>
    <col min="3347" max="3347" width="4.33203125" customWidth="1"/>
    <col min="3348" max="3348" width="2" customWidth="1"/>
    <col min="3349" max="3350" width="2.6640625" customWidth="1"/>
    <col min="3351" max="3352" width="2.109375" customWidth="1"/>
    <col min="3353" max="3353" width="4.6640625" customWidth="1"/>
    <col min="3354" max="3354" width="1.6640625" customWidth="1"/>
    <col min="3355" max="3355" width="6.6640625" customWidth="1"/>
    <col min="3356" max="3357" width="1.88671875" customWidth="1"/>
    <col min="3358" max="3358" width="3" customWidth="1"/>
    <col min="3359" max="3359" width="4" customWidth="1"/>
    <col min="3360" max="3360" width="4.33203125" customWidth="1"/>
    <col min="3361" max="3361" width="1.109375" customWidth="1"/>
    <col min="3362" max="3363" width="4.33203125" customWidth="1"/>
    <col min="3364" max="3364" width="5" customWidth="1"/>
    <col min="3365" max="3365" width="1.33203125" customWidth="1"/>
    <col min="3585" max="3585" width="0.6640625" customWidth="1"/>
    <col min="3586" max="3586" width="3.88671875" customWidth="1"/>
    <col min="3587" max="3587" width="4" customWidth="1"/>
    <col min="3588" max="3588" width="2.44140625" customWidth="1"/>
    <col min="3589" max="3589" width="1.6640625" customWidth="1"/>
    <col min="3590" max="3590" width="11" customWidth="1"/>
    <col min="3591" max="3591" width="2.5546875" customWidth="1"/>
    <col min="3592" max="3592" width="3" customWidth="1"/>
    <col min="3593" max="3594" width="3.109375" customWidth="1"/>
    <col min="3595" max="3595" width="2.44140625" customWidth="1"/>
    <col min="3596" max="3596" width="2.88671875" customWidth="1"/>
    <col min="3597" max="3597" width="0.6640625" customWidth="1"/>
    <col min="3598" max="3598" width="5.33203125" customWidth="1"/>
    <col min="3599" max="3599" width="10.5546875" customWidth="1"/>
    <col min="3600" max="3600" width="5.109375" customWidth="1"/>
    <col min="3601" max="3601" width="7.44140625" customWidth="1"/>
    <col min="3602" max="3602" width="6.6640625" customWidth="1"/>
    <col min="3603" max="3603" width="4.33203125" customWidth="1"/>
    <col min="3604" max="3604" width="2" customWidth="1"/>
    <col min="3605" max="3606" width="2.6640625" customWidth="1"/>
    <col min="3607" max="3608" width="2.109375" customWidth="1"/>
    <col min="3609" max="3609" width="4.6640625" customWidth="1"/>
    <col min="3610" max="3610" width="1.6640625" customWidth="1"/>
    <col min="3611" max="3611" width="6.6640625" customWidth="1"/>
    <col min="3612" max="3613" width="1.88671875" customWidth="1"/>
    <col min="3614" max="3614" width="3" customWidth="1"/>
    <col min="3615" max="3615" width="4" customWidth="1"/>
    <col min="3616" max="3616" width="4.33203125" customWidth="1"/>
    <col min="3617" max="3617" width="1.109375" customWidth="1"/>
    <col min="3618" max="3619" width="4.33203125" customWidth="1"/>
    <col min="3620" max="3620" width="5" customWidth="1"/>
    <col min="3621" max="3621" width="1.33203125" customWidth="1"/>
    <col min="3841" max="3841" width="0.6640625" customWidth="1"/>
    <col min="3842" max="3842" width="3.88671875" customWidth="1"/>
    <col min="3843" max="3843" width="4" customWidth="1"/>
    <col min="3844" max="3844" width="2.44140625" customWidth="1"/>
    <col min="3845" max="3845" width="1.6640625" customWidth="1"/>
    <col min="3846" max="3846" width="11" customWidth="1"/>
    <col min="3847" max="3847" width="2.5546875" customWidth="1"/>
    <col min="3848" max="3848" width="3" customWidth="1"/>
    <col min="3849" max="3850" width="3.109375" customWidth="1"/>
    <col min="3851" max="3851" width="2.44140625" customWidth="1"/>
    <col min="3852" max="3852" width="2.88671875" customWidth="1"/>
    <col min="3853" max="3853" width="0.6640625" customWidth="1"/>
    <col min="3854" max="3854" width="5.33203125" customWidth="1"/>
    <col min="3855" max="3855" width="10.5546875" customWidth="1"/>
    <col min="3856" max="3856" width="5.109375" customWidth="1"/>
    <col min="3857" max="3857" width="7.44140625" customWidth="1"/>
    <col min="3858" max="3858" width="6.6640625" customWidth="1"/>
    <col min="3859" max="3859" width="4.33203125" customWidth="1"/>
    <col min="3860" max="3860" width="2" customWidth="1"/>
    <col min="3861" max="3862" width="2.6640625" customWidth="1"/>
    <col min="3863" max="3864" width="2.109375" customWidth="1"/>
    <col min="3865" max="3865" width="4.6640625" customWidth="1"/>
    <col min="3866" max="3866" width="1.6640625" customWidth="1"/>
    <col min="3867" max="3867" width="6.6640625" customWidth="1"/>
    <col min="3868" max="3869" width="1.88671875" customWidth="1"/>
    <col min="3870" max="3870" width="3" customWidth="1"/>
    <col min="3871" max="3871" width="4" customWidth="1"/>
    <col min="3872" max="3872" width="4.33203125" customWidth="1"/>
    <col min="3873" max="3873" width="1.109375" customWidth="1"/>
    <col min="3874" max="3875" width="4.33203125" customWidth="1"/>
    <col min="3876" max="3876" width="5" customWidth="1"/>
    <col min="3877" max="3877" width="1.33203125" customWidth="1"/>
    <col min="4097" max="4097" width="0.6640625" customWidth="1"/>
    <col min="4098" max="4098" width="3.88671875" customWidth="1"/>
    <col min="4099" max="4099" width="4" customWidth="1"/>
    <col min="4100" max="4100" width="2.44140625" customWidth="1"/>
    <col min="4101" max="4101" width="1.6640625" customWidth="1"/>
    <col min="4102" max="4102" width="11" customWidth="1"/>
    <col min="4103" max="4103" width="2.5546875" customWidth="1"/>
    <col min="4104" max="4104" width="3" customWidth="1"/>
    <col min="4105" max="4106" width="3.109375" customWidth="1"/>
    <col min="4107" max="4107" width="2.44140625" customWidth="1"/>
    <col min="4108" max="4108" width="2.88671875" customWidth="1"/>
    <col min="4109" max="4109" width="0.6640625" customWidth="1"/>
    <col min="4110" max="4110" width="5.33203125" customWidth="1"/>
    <col min="4111" max="4111" width="10.5546875" customWidth="1"/>
    <col min="4112" max="4112" width="5.109375" customWidth="1"/>
    <col min="4113" max="4113" width="7.44140625" customWidth="1"/>
    <col min="4114" max="4114" width="6.6640625" customWidth="1"/>
    <col min="4115" max="4115" width="4.33203125" customWidth="1"/>
    <col min="4116" max="4116" width="2" customWidth="1"/>
    <col min="4117" max="4118" width="2.6640625" customWidth="1"/>
    <col min="4119" max="4120" width="2.109375" customWidth="1"/>
    <col min="4121" max="4121" width="4.6640625" customWidth="1"/>
    <col min="4122" max="4122" width="1.6640625" customWidth="1"/>
    <col min="4123" max="4123" width="6.6640625" customWidth="1"/>
    <col min="4124" max="4125" width="1.88671875" customWidth="1"/>
    <col min="4126" max="4126" width="3" customWidth="1"/>
    <col min="4127" max="4127" width="4" customWidth="1"/>
    <col min="4128" max="4128" width="4.33203125" customWidth="1"/>
    <col min="4129" max="4129" width="1.109375" customWidth="1"/>
    <col min="4130" max="4131" width="4.33203125" customWidth="1"/>
    <col min="4132" max="4132" width="5" customWidth="1"/>
    <col min="4133" max="4133" width="1.33203125" customWidth="1"/>
    <col min="4353" max="4353" width="0.6640625" customWidth="1"/>
    <col min="4354" max="4354" width="3.88671875" customWidth="1"/>
    <col min="4355" max="4355" width="4" customWidth="1"/>
    <col min="4356" max="4356" width="2.44140625" customWidth="1"/>
    <col min="4357" max="4357" width="1.6640625" customWidth="1"/>
    <col min="4358" max="4358" width="11" customWidth="1"/>
    <col min="4359" max="4359" width="2.5546875" customWidth="1"/>
    <col min="4360" max="4360" width="3" customWidth="1"/>
    <col min="4361" max="4362" width="3.109375" customWidth="1"/>
    <col min="4363" max="4363" width="2.44140625" customWidth="1"/>
    <col min="4364" max="4364" width="2.88671875" customWidth="1"/>
    <col min="4365" max="4365" width="0.6640625" customWidth="1"/>
    <col min="4366" max="4366" width="5.33203125" customWidth="1"/>
    <col min="4367" max="4367" width="10.5546875" customWidth="1"/>
    <col min="4368" max="4368" width="5.109375" customWidth="1"/>
    <col min="4369" max="4369" width="7.44140625" customWidth="1"/>
    <col min="4370" max="4370" width="6.6640625" customWidth="1"/>
    <col min="4371" max="4371" width="4.33203125" customWidth="1"/>
    <col min="4372" max="4372" width="2" customWidth="1"/>
    <col min="4373" max="4374" width="2.6640625" customWidth="1"/>
    <col min="4375" max="4376" width="2.109375" customWidth="1"/>
    <col min="4377" max="4377" width="4.6640625" customWidth="1"/>
    <col min="4378" max="4378" width="1.6640625" customWidth="1"/>
    <col min="4379" max="4379" width="6.6640625" customWidth="1"/>
    <col min="4380" max="4381" width="1.88671875" customWidth="1"/>
    <col min="4382" max="4382" width="3" customWidth="1"/>
    <col min="4383" max="4383" width="4" customWidth="1"/>
    <col min="4384" max="4384" width="4.33203125" customWidth="1"/>
    <col min="4385" max="4385" width="1.109375" customWidth="1"/>
    <col min="4386" max="4387" width="4.33203125" customWidth="1"/>
    <col min="4388" max="4388" width="5" customWidth="1"/>
    <col min="4389" max="4389" width="1.33203125" customWidth="1"/>
    <col min="4609" max="4609" width="0.6640625" customWidth="1"/>
    <col min="4610" max="4610" width="3.88671875" customWidth="1"/>
    <col min="4611" max="4611" width="4" customWidth="1"/>
    <col min="4612" max="4612" width="2.44140625" customWidth="1"/>
    <col min="4613" max="4613" width="1.6640625" customWidth="1"/>
    <col min="4614" max="4614" width="11" customWidth="1"/>
    <col min="4615" max="4615" width="2.5546875" customWidth="1"/>
    <col min="4616" max="4616" width="3" customWidth="1"/>
    <col min="4617" max="4618" width="3.109375" customWidth="1"/>
    <col min="4619" max="4619" width="2.44140625" customWidth="1"/>
    <col min="4620" max="4620" width="2.88671875" customWidth="1"/>
    <col min="4621" max="4621" width="0.6640625" customWidth="1"/>
    <col min="4622" max="4622" width="5.33203125" customWidth="1"/>
    <col min="4623" max="4623" width="10.5546875" customWidth="1"/>
    <col min="4624" max="4624" width="5.109375" customWidth="1"/>
    <col min="4625" max="4625" width="7.44140625" customWidth="1"/>
    <col min="4626" max="4626" width="6.6640625" customWidth="1"/>
    <col min="4627" max="4627" width="4.33203125" customWidth="1"/>
    <col min="4628" max="4628" width="2" customWidth="1"/>
    <col min="4629" max="4630" width="2.6640625" customWidth="1"/>
    <col min="4631" max="4632" width="2.109375" customWidth="1"/>
    <col min="4633" max="4633" width="4.6640625" customWidth="1"/>
    <col min="4634" max="4634" width="1.6640625" customWidth="1"/>
    <col min="4635" max="4635" width="6.6640625" customWidth="1"/>
    <col min="4636" max="4637" width="1.88671875" customWidth="1"/>
    <col min="4638" max="4638" width="3" customWidth="1"/>
    <col min="4639" max="4639" width="4" customWidth="1"/>
    <col min="4640" max="4640" width="4.33203125" customWidth="1"/>
    <col min="4641" max="4641" width="1.109375" customWidth="1"/>
    <col min="4642" max="4643" width="4.33203125" customWidth="1"/>
    <col min="4644" max="4644" width="5" customWidth="1"/>
    <col min="4645" max="4645" width="1.33203125" customWidth="1"/>
    <col min="4865" max="4865" width="0.6640625" customWidth="1"/>
    <col min="4866" max="4866" width="3.88671875" customWidth="1"/>
    <col min="4867" max="4867" width="4" customWidth="1"/>
    <col min="4868" max="4868" width="2.44140625" customWidth="1"/>
    <col min="4869" max="4869" width="1.6640625" customWidth="1"/>
    <col min="4870" max="4870" width="11" customWidth="1"/>
    <col min="4871" max="4871" width="2.5546875" customWidth="1"/>
    <col min="4872" max="4872" width="3" customWidth="1"/>
    <col min="4873" max="4874" width="3.109375" customWidth="1"/>
    <col min="4875" max="4875" width="2.44140625" customWidth="1"/>
    <col min="4876" max="4876" width="2.88671875" customWidth="1"/>
    <col min="4877" max="4877" width="0.6640625" customWidth="1"/>
    <col min="4878" max="4878" width="5.33203125" customWidth="1"/>
    <col min="4879" max="4879" width="10.5546875" customWidth="1"/>
    <col min="4880" max="4880" width="5.109375" customWidth="1"/>
    <col min="4881" max="4881" width="7.44140625" customWidth="1"/>
    <col min="4882" max="4882" width="6.6640625" customWidth="1"/>
    <col min="4883" max="4883" width="4.33203125" customWidth="1"/>
    <col min="4884" max="4884" width="2" customWidth="1"/>
    <col min="4885" max="4886" width="2.6640625" customWidth="1"/>
    <col min="4887" max="4888" width="2.109375" customWidth="1"/>
    <col min="4889" max="4889" width="4.6640625" customWidth="1"/>
    <col min="4890" max="4890" width="1.6640625" customWidth="1"/>
    <col min="4891" max="4891" width="6.6640625" customWidth="1"/>
    <col min="4892" max="4893" width="1.88671875" customWidth="1"/>
    <col min="4894" max="4894" width="3" customWidth="1"/>
    <col min="4895" max="4895" width="4" customWidth="1"/>
    <col min="4896" max="4896" width="4.33203125" customWidth="1"/>
    <col min="4897" max="4897" width="1.109375" customWidth="1"/>
    <col min="4898" max="4899" width="4.33203125" customWidth="1"/>
    <col min="4900" max="4900" width="5" customWidth="1"/>
    <col min="4901" max="4901" width="1.33203125" customWidth="1"/>
    <col min="5121" max="5121" width="0.6640625" customWidth="1"/>
    <col min="5122" max="5122" width="3.88671875" customWidth="1"/>
    <col min="5123" max="5123" width="4" customWidth="1"/>
    <col min="5124" max="5124" width="2.44140625" customWidth="1"/>
    <col min="5125" max="5125" width="1.6640625" customWidth="1"/>
    <col min="5126" max="5126" width="11" customWidth="1"/>
    <col min="5127" max="5127" width="2.5546875" customWidth="1"/>
    <col min="5128" max="5128" width="3" customWidth="1"/>
    <col min="5129" max="5130" width="3.109375" customWidth="1"/>
    <col min="5131" max="5131" width="2.44140625" customWidth="1"/>
    <col min="5132" max="5132" width="2.88671875" customWidth="1"/>
    <col min="5133" max="5133" width="0.6640625" customWidth="1"/>
    <col min="5134" max="5134" width="5.33203125" customWidth="1"/>
    <col min="5135" max="5135" width="10.5546875" customWidth="1"/>
    <col min="5136" max="5136" width="5.109375" customWidth="1"/>
    <col min="5137" max="5137" width="7.44140625" customWidth="1"/>
    <col min="5138" max="5138" width="6.6640625" customWidth="1"/>
    <col min="5139" max="5139" width="4.33203125" customWidth="1"/>
    <col min="5140" max="5140" width="2" customWidth="1"/>
    <col min="5141" max="5142" width="2.6640625" customWidth="1"/>
    <col min="5143" max="5144" width="2.109375" customWidth="1"/>
    <col min="5145" max="5145" width="4.6640625" customWidth="1"/>
    <col min="5146" max="5146" width="1.6640625" customWidth="1"/>
    <col min="5147" max="5147" width="6.6640625" customWidth="1"/>
    <col min="5148" max="5149" width="1.88671875" customWidth="1"/>
    <col min="5150" max="5150" width="3" customWidth="1"/>
    <col min="5151" max="5151" width="4" customWidth="1"/>
    <col min="5152" max="5152" width="4.33203125" customWidth="1"/>
    <col min="5153" max="5153" width="1.109375" customWidth="1"/>
    <col min="5154" max="5155" width="4.33203125" customWidth="1"/>
    <col min="5156" max="5156" width="5" customWidth="1"/>
    <col min="5157" max="5157" width="1.33203125" customWidth="1"/>
    <col min="5377" max="5377" width="0.6640625" customWidth="1"/>
    <col min="5378" max="5378" width="3.88671875" customWidth="1"/>
    <col min="5379" max="5379" width="4" customWidth="1"/>
    <col min="5380" max="5380" width="2.44140625" customWidth="1"/>
    <col min="5381" max="5381" width="1.6640625" customWidth="1"/>
    <col min="5382" max="5382" width="11" customWidth="1"/>
    <col min="5383" max="5383" width="2.5546875" customWidth="1"/>
    <col min="5384" max="5384" width="3" customWidth="1"/>
    <col min="5385" max="5386" width="3.109375" customWidth="1"/>
    <col min="5387" max="5387" width="2.44140625" customWidth="1"/>
    <col min="5388" max="5388" width="2.88671875" customWidth="1"/>
    <col min="5389" max="5389" width="0.6640625" customWidth="1"/>
    <col min="5390" max="5390" width="5.33203125" customWidth="1"/>
    <col min="5391" max="5391" width="10.5546875" customWidth="1"/>
    <col min="5392" max="5392" width="5.109375" customWidth="1"/>
    <col min="5393" max="5393" width="7.44140625" customWidth="1"/>
    <col min="5394" max="5394" width="6.6640625" customWidth="1"/>
    <col min="5395" max="5395" width="4.33203125" customWidth="1"/>
    <col min="5396" max="5396" width="2" customWidth="1"/>
    <col min="5397" max="5398" width="2.6640625" customWidth="1"/>
    <col min="5399" max="5400" width="2.109375" customWidth="1"/>
    <col min="5401" max="5401" width="4.6640625" customWidth="1"/>
    <col min="5402" max="5402" width="1.6640625" customWidth="1"/>
    <col min="5403" max="5403" width="6.6640625" customWidth="1"/>
    <col min="5404" max="5405" width="1.88671875" customWidth="1"/>
    <col min="5406" max="5406" width="3" customWidth="1"/>
    <col min="5407" max="5407" width="4" customWidth="1"/>
    <col min="5408" max="5408" width="4.33203125" customWidth="1"/>
    <col min="5409" max="5409" width="1.109375" customWidth="1"/>
    <col min="5410" max="5411" width="4.33203125" customWidth="1"/>
    <col min="5412" max="5412" width="5" customWidth="1"/>
    <col min="5413" max="5413" width="1.33203125" customWidth="1"/>
    <col min="5633" max="5633" width="0.6640625" customWidth="1"/>
    <col min="5634" max="5634" width="3.88671875" customWidth="1"/>
    <col min="5635" max="5635" width="4" customWidth="1"/>
    <col min="5636" max="5636" width="2.44140625" customWidth="1"/>
    <col min="5637" max="5637" width="1.6640625" customWidth="1"/>
    <col min="5638" max="5638" width="11" customWidth="1"/>
    <col min="5639" max="5639" width="2.5546875" customWidth="1"/>
    <col min="5640" max="5640" width="3" customWidth="1"/>
    <col min="5641" max="5642" width="3.109375" customWidth="1"/>
    <col min="5643" max="5643" width="2.44140625" customWidth="1"/>
    <col min="5644" max="5644" width="2.88671875" customWidth="1"/>
    <col min="5645" max="5645" width="0.6640625" customWidth="1"/>
    <col min="5646" max="5646" width="5.33203125" customWidth="1"/>
    <col min="5647" max="5647" width="10.5546875" customWidth="1"/>
    <col min="5648" max="5648" width="5.109375" customWidth="1"/>
    <col min="5649" max="5649" width="7.44140625" customWidth="1"/>
    <col min="5650" max="5650" width="6.6640625" customWidth="1"/>
    <col min="5651" max="5651" width="4.33203125" customWidth="1"/>
    <col min="5652" max="5652" width="2" customWidth="1"/>
    <col min="5653" max="5654" width="2.6640625" customWidth="1"/>
    <col min="5655" max="5656" width="2.109375" customWidth="1"/>
    <col min="5657" max="5657" width="4.6640625" customWidth="1"/>
    <col min="5658" max="5658" width="1.6640625" customWidth="1"/>
    <col min="5659" max="5659" width="6.6640625" customWidth="1"/>
    <col min="5660" max="5661" width="1.88671875" customWidth="1"/>
    <col min="5662" max="5662" width="3" customWidth="1"/>
    <col min="5663" max="5663" width="4" customWidth="1"/>
    <col min="5664" max="5664" width="4.33203125" customWidth="1"/>
    <col min="5665" max="5665" width="1.109375" customWidth="1"/>
    <col min="5666" max="5667" width="4.33203125" customWidth="1"/>
    <col min="5668" max="5668" width="5" customWidth="1"/>
    <col min="5669" max="5669" width="1.33203125" customWidth="1"/>
    <col min="5889" max="5889" width="0.6640625" customWidth="1"/>
    <col min="5890" max="5890" width="3.88671875" customWidth="1"/>
    <col min="5891" max="5891" width="4" customWidth="1"/>
    <col min="5892" max="5892" width="2.44140625" customWidth="1"/>
    <col min="5893" max="5893" width="1.6640625" customWidth="1"/>
    <col min="5894" max="5894" width="11" customWidth="1"/>
    <col min="5895" max="5895" width="2.5546875" customWidth="1"/>
    <col min="5896" max="5896" width="3" customWidth="1"/>
    <col min="5897" max="5898" width="3.109375" customWidth="1"/>
    <col min="5899" max="5899" width="2.44140625" customWidth="1"/>
    <col min="5900" max="5900" width="2.88671875" customWidth="1"/>
    <col min="5901" max="5901" width="0.6640625" customWidth="1"/>
    <col min="5902" max="5902" width="5.33203125" customWidth="1"/>
    <col min="5903" max="5903" width="10.5546875" customWidth="1"/>
    <col min="5904" max="5904" width="5.109375" customWidth="1"/>
    <col min="5905" max="5905" width="7.44140625" customWidth="1"/>
    <col min="5906" max="5906" width="6.6640625" customWidth="1"/>
    <col min="5907" max="5907" width="4.33203125" customWidth="1"/>
    <col min="5908" max="5908" width="2" customWidth="1"/>
    <col min="5909" max="5910" width="2.6640625" customWidth="1"/>
    <col min="5911" max="5912" width="2.109375" customWidth="1"/>
    <col min="5913" max="5913" width="4.6640625" customWidth="1"/>
    <col min="5914" max="5914" width="1.6640625" customWidth="1"/>
    <col min="5915" max="5915" width="6.6640625" customWidth="1"/>
    <col min="5916" max="5917" width="1.88671875" customWidth="1"/>
    <col min="5918" max="5918" width="3" customWidth="1"/>
    <col min="5919" max="5919" width="4" customWidth="1"/>
    <col min="5920" max="5920" width="4.33203125" customWidth="1"/>
    <col min="5921" max="5921" width="1.109375" customWidth="1"/>
    <col min="5922" max="5923" width="4.33203125" customWidth="1"/>
    <col min="5924" max="5924" width="5" customWidth="1"/>
    <col min="5925" max="5925" width="1.33203125" customWidth="1"/>
    <col min="6145" max="6145" width="0.6640625" customWidth="1"/>
    <col min="6146" max="6146" width="3.88671875" customWidth="1"/>
    <col min="6147" max="6147" width="4" customWidth="1"/>
    <col min="6148" max="6148" width="2.44140625" customWidth="1"/>
    <col min="6149" max="6149" width="1.6640625" customWidth="1"/>
    <col min="6150" max="6150" width="11" customWidth="1"/>
    <col min="6151" max="6151" width="2.5546875" customWidth="1"/>
    <col min="6152" max="6152" width="3" customWidth="1"/>
    <col min="6153" max="6154" width="3.109375" customWidth="1"/>
    <col min="6155" max="6155" width="2.44140625" customWidth="1"/>
    <col min="6156" max="6156" width="2.88671875" customWidth="1"/>
    <col min="6157" max="6157" width="0.6640625" customWidth="1"/>
    <col min="6158" max="6158" width="5.33203125" customWidth="1"/>
    <col min="6159" max="6159" width="10.5546875" customWidth="1"/>
    <col min="6160" max="6160" width="5.109375" customWidth="1"/>
    <col min="6161" max="6161" width="7.44140625" customWidth="1"/>
    <col min="6162" max="6162" width="6.6640625" customWidth="1"/>
    <col min="6163" max="6163" width="4.33203125" customWidth="1"/>
    <col min="6164" max="6164" width="2" customWidth="1"/>
    <col min="6165" max="6166" width="2.6640625" customWidth="1"/>
    <col min="6167" max="6168" width="2.109375" customWidth="1"/>
    <col min="6169" max="6169" width="4.6640625" customWidth="1"/>
    <col min="6170" max="6170" width="1.6640625" customWidth="1"/>
    <col min="6171" max="6171" width="6.6640625" customWidth="1"/>
    <col min="6172" max="6173" width="1.88671875" customWidth="1"/>
    <col min="6174" max="6174" width="3" customWidth="1"/>
    <col min="6175" max="6175" width="4" customWidth="1"/>
    <col min="6176" max="6176" width="4.33203125" customWidth="1"/>
    <col min="6177" max="6177" width="1.109375" customWidth="1"/>
    <col min="6178" max="6179" width="4.33203125" customWidth="1"/>
    <col min="6180" max="6180" width="5" customWidth="1"/>
    <col min="6181" max="6181" width="1.33203125" customWidth="1"/>
    <col min="6401" max="6401" width="0.6640625" customWidth="1"/>
    <col min="6402" max="6402" width="3.88671875" customWidth="1"/>
    <col min="6403" max="6403" width="4" customWidth="1"/>
    <col min="6404" max="6404" width="2.44140625" customWidth="1"/>
    <col min="6405" max="6405" width="1.6640625" customWidth="1"/>
    <col min="6406" max="6406" width="11" customWidth="1"/>
    <col min="6407" max="6407" width="2.5546875" customWidth="1"/>
    <col min="6408" max="6408" width="3" customWidth="1"/>
    <col min="6409" max="6410" width="3.109375" customWidth="1"/>
    <col min="6411" max="6411" width="2.44140625" customWidth="1"/>
    <col min="6412" max="6412" width="2.88671875" customWidth="1"/>
    <col min="6413" max="6413" width="0.6640625" customWidth="1"/>
    <col min="6414" max="6414" width="5.33203125" customWidth="1"/>
    <col min="6415" max="6415" width="10.5546875" customWidth="1"/>
    <col min="6416" max="6416" width="5.109375" customWidth="1"/>
    <col min="6417" max="6417" width="7.44140625" customWidth="1"/>
    <col min="6418" max="6418" width="6.6640625" customWidth="1"/>
    <col min="6419" max="6419" width="4.33203125" customWidth="1"/>
    <col min="6420" max="6420" width="2" customWidth="1"/>
    <col min="6421" max="6422" width="2.6640625" customWidth="1"/>
    <col min="6423" max="6424" width="2.109375" customWidth="1"/>
    <col min="6425" max="6425" width="4.6640625" customWidth="1"/>
    <col min="6426" max="6426" width="1.6640625" customWidth="1"/>
    <col min="6427" max="6427" width="6.6640625" customWidth="1"/>
    <col min="6428" max="6429" width="1.88671875" customWidth="1"/>
    <col min="6430" max="6430" width="3" customWidth="1"/>
    <col min="6431" max="6431" width="4" customWidth="1"/>
    <col min="6432" max="6432" width="4.33203125" customWidth="1"/>
    <col min="6433" max="6433" width="1.109375" customWidth="1"/>
    <col min="6434" max="6435" width="4.33203125" customWidth="1"/>
    <col min="6436" max="6436" width="5" customWidth="1"/>
    <col min="6437" max="6437" width="1.33203125" customWidth="1"/>
    <col min="6657" max="6657" width="0.6640625" customWidth="1"/>
    <col min="6658" max="6658" width="3.88671875" customWidth="1"/>
    <col min="6659" max="6659" width="4" customWidth="1"/>
    <col min="6660" max="6660" width="2.44140625" customWidth="1"/>
    <col min="6661" max="6661" width="1.6640625" customWidth="1"/>
    <col min="6662" max="6662" width="11" customWidth="1"/>
    <col min="6663" max="6663" width="2.5546875" customWidth="1"/>
    <col min="6664" max="6664" width="3" customWidth="1"/>
    <col min="6665" max="6666" width="3.109375" customWidth="1"/>
    <col min="6667" max="6667" width="2.44140625" customWidth="1"/>
    <col min="6668" max="6668" width="2.88671875" customWidth="1"/>
    <col min="6669" max="6669" width="0.6640625" customWidth="1"/>
    <col min="6670" max="6670" width="5.33203125" customWidth="1"/>
    <col min="6671" max="6671" width="10.5546875" customWidth="1"/>
    <col min="6672" max="6672" width="5.109375" customWidth="1"/>
    <col min="6673" max="6673" width="7.44140625" customWidth="1"/>
    <col min="6674" max="6674" width="6.6640625" customWidth="1"/>
    <col min="6675" max="6675" width="4.33203125" customWidth="1"/>
    <col min="6676" max="6676" width="2" customWidth="1"/>
    <col min="6677" max="6678" width="2.6640625" customWidth="1"/>
    <col min="6679" max="6680" width="2.109375" customWidth="1"/>
    <col min="6681" max="6681" width="4.6640625" customWidth="1"/>
    <col min="6682" max="6682" width="1.6640625" customWidth="1"/>
    <col min="6683" max="6683" width="6.6640625" customWidth="1"/>
    <col min="6684" max="6685" width="1.88671875" customWidth="1"/>
    <col min="6686" max="6686" width="3" customWidth="1"/>
    <col min="6687" max="6687" width="4" customWidth="1"/>
    <col min="6688" max="6688" width="4.33203125" customWidth="1"/>
    <col min="6689" max="6689" width="1.109375" customWidth="1"/>
    <col min="6690" max="6691" width="4.33203125" customWidth="1"/>
    <col min="6692" max="6692" width="5" customWidth="1"/>
    <col min="6693" max="6693" width="1.33203125" customWidth="1"/>
    <col min="6913" max="6913" width="0.6640625" customWidth="1"/>
    <col min="6914" max="6914" width="3.88671875" customWidth="1"/>
    <col min="6915" max="6915" width="4" customWidth="1"/>
    <col min="6916" max="6916" width="2.44140625" customWidth="1"/>
    <col min="6917" max="6917" width="1.6640625" customWidth="1"/>
    <col min="6918" max="6918" width="11" customWidth="1"/>
    <col min="6919" max="6919" width="2.5546875" customWidth="1"/>
    <col min="6920" max="6920" width="3" customWidth="1"/>
    <col min="6921" max="6922" width="3.109375" customWidth="1"/>
    <col min="6923" max="6923" width="2.44140625" customWidth="1"/>
    <col min="6924" max="6924" width="2.88671875" customWidth="1"/>
    <col min="6925" max="6925" width="0.6640625" customWidth="1"/>
    <col min="6926" max="6926" width="5.33203125" customWidth="1"/>
    <col min="6927" max="6927" width="10.5546875" customWidth="1"/>
    <col min="6928" max="6928" width="5.109375" customWidth="1"/>
    <col min="6929" max="6929" width="7.44140625" customWidth="1"/>
    <col min="6930" max="6930" width="6.6640625" customWidth="1"/>
    <col min="6931" max="6931" width="4.33203125" customWidth="1"/>
    <col min="6932" max="6932" width="2" customWidth="1"/>
    <col min="6933" max="6934" width="2.6640625" customWidth="1"/>
    <col min="6935" max="6936" width="2.109375" customWidth="1"/>
    <col min="6937" max="6937" width="4.6640625" customWidth="1"/>
    <col min="6938" max="6938" width="1.6640625" customWidth="1"/>
    <col min="6939" max="6939" width="6.6640625" customWidth="1"/>
    <col min="6940" max="6941" width="1.88671875" customWidth="1"/>
    <col min="6942" max="6942" width="3" customWidth="1"/>
    <col min="6943" max="6943" width="4" customWidth="1"/>
    <col min="6944" max="6944" width="4.33203125" customWidth="1"/>
    <col min="6945" max="6945" width="1.109375" customWidth="1"/>
    <col min="6946" max="6947" width="4.33203125" customWidth="1"/>
    <col min="6948" max="6948" width="5" customWidth="1"/>
    <col min="6949" max="6949" width="1.33203125" customWidth="1"/>
    <col min="7169" max="7169" width="0.6640625" customWidth="1"/>
    <col min="7170" max="7170" width="3.88671875" customWidth="1"/>
    <col min="7171" max="7171" width="4" customWidth="1"/>
    <col min="7172" max="7172" width="2.44140625" customWidth="1"/>
    <col min="7173" max="7173" width="1.6640625" customWidth="1"/>
    <col min="7174" max="7174" width="11" customWidth="1"/>
    <col min="7175" max="7175" width="2.5546875" customWidth="1"/>
    <col min="7176" max="7176" width="3" customWidth="1"/>
    <col min="7177" max="7178" width="3.109375" customWidth="1"/>
    <col min="7179" max="7179" width="2.44140625" customWidth="1"/>
    <col min="7180" max="7180" width="2.88671875" customWidth="1"/>
    <col min="7181" max="7181" width="0.6640625" customWidth="1"/>
    <col min="7182" max="7182" width="5.33203125" customWidth="1"/>
    <col min="7183" max="7183" width="10.5546875" customWidth="1"/>
    <col min="7184" max="7184" width="5.109375" customWidth="1"/>
    <col min="7185" max="7185" width="7.44140625" customWidth="1"/>
    <col min="7186" max="7186" width="6.6640625" customWidth="1"/>
    <col min="7187" max="7187" width="4.33203125" customWidth="1"/>
    <col min="7188" max="7188" width="2" customWidth="1"/>
    <col min="7189" max="7190" width="2.6640625" customWidth="1"/>
    <col min="7191" max="7192" width="2.109375" customWidth="1"/>
    <col min="7193" max="7193" width="4.6640625" customWidth="1"/>
    <col min="7194" max="7194" width="1.6640625" customWidth="1"/>
    <col min="7195" max="7195" width="6.6640625" customWidth="1"/>
    <col min="7196" max="7197" width="1.88671875" customWidth="1"/>
    <col min="7198" max="7198" width="3" customWidth="1"/>
    <col min="7199" max="7199" width="4" customWidth="1"/>
    <col min="7200" max="7200" width="4.33203125" customWidth="1"/>
    <col min="7201" max="7201" width="1.109375" customWidth="1"/>
    <col min="7202" max="7203" width="4.33203125" customWidth="1"/>
    <col min="7204" max="7204" width="5" customWidth="1"/>
    <col min="7205" max="7205" width="1.33203125" customWidth="1"/>
    <col min="7425" max="7425" width="0.6640625" customWidth="1"/>
    <col min="7426" max="7426" width="3.88671875" customWidth="1"/>
    <col min="7427" max="7427" width="4" customWidth="1"/>
    <col min="7428" max="7428" width="2.44140625" customWidth="1"/>
    <col min="7429" max="7429" width="1.6640625" customWidth="1"/>
    <col min="7430" max="7430" width="11" customWidth="1"/>
    <col min="7431" max="7431" width="2.5546875" customWidth="1"/>
    <col min="7432" max="7432" width="3" customWidth="1"/>
    <col min="7433" max="7434" width="3.109375" customWidth="1"/>
    <col min="7435" max="7435" width="2.44140625" customWidth="1"/>
    <col min="7436" max="7436" width="2.88671875" customWidth="1"/>
    <col min="7437" max="7437" width="0.6640625" customWidth="1"/>
    <col min="7438" max="7438" width="5.33203125" customWidth="1"/>
    <col min="7439" max="7439" width="10.5546875" customWidth="1"/>
    <col min="7440" max="7440" width="5.109375" customWidth="1"/>
    <col min="7441" max="7441" width="7.44140625" customWidth="1"/>
    <col min="7442" max="7442" width="6.6640625" customWidth="1"/>
    <col min="7443" max="7443" width="4.33203125" customWidth="1"/>
    <col min="7444" max="7444" width="2" customWidth="1"/>
    <col min="7445" max="7446" width="2.6640625" customWidth="1"/>
    <col min="7447" max="7448" width="2.109375" customWidth="1"/>
    <col min="7449" max="7449" width="4.6640625" customWidth="1"/>
    <col min="7450" max="7450" width="1.6640625" customWidth="1"/>
    <col min="7451" max="7451" width="6.6640625" customWidth="1"/>
    <col min="7452" max="7453" width="1.88671875" customWidth="1"/>
    <col min="7454" max="7454" width="3" customWidth="1"/>
    <col min="7455" max="7455" width="4" customWidth="1"/>
    <col min="7456" max="7456" width="4.33203125" customWidth="1"/>
    <col min="7457" max="7457" width="1.109375" customWidth="1"/>
    <col min="7458" max="7459" width="4.33203125" customWidth="1"/>
    <col min="7460" max="7460" width="5" customWidth="1"/>
    <col min="7461" max="7461" width="1.33203125" customWidth="1"/>
    <col min="7681" max="7681" width="0.6640625" customWidth="1"/>
    <col min="7682" max="7682" width="3.88671875" customWidth="1"/>
    <col min="7683" max="7683" width="4" customWidth="1"/>
    <col min="7684" max="7684" width="2.44140625" customWidth="1"/>
    <col min="7685" max="7685" width="1.6640625" customWidth="1"/>
    <col min="7686" max="7686" width="11" customWidth="1"/>
    <col min="7687" max="7687" width="2.5546875" customWidth="1"/>
    <col min="7688" max="7688" width="3" customWidth="1"/>
    <col min="7689" max="7690" width="3.109375" customWidth="1"/>
    <col min="7691" max="7691" width="2.44140625" customWidth="1"/>
    <col min="7692" max="7692" width="2.88671875" customWidth="1"/>
    <col min="7693" max="7693" width="0.6640625" customWidth="1"/>
    <col min="7694" max="7694" width="5.33203125" customWidth="1"/>
    <col min="7695" max="7695" width="10.5546875" customWidth="1"/>
    <col min="7696" max="7696" width="5.109375" customWidth="1"/>
    <col min="7697" max="7697" width="7.44140625" customWidth="1"/>
    <col min="7698" max="7698" width="6.6640625" customWidth="1"/>
    <col min="7699" max="7699" width="4.33203125" customWidth="1"/>
    <col min="7700" max="7700" width="2" customWidth="1"/>
    <col min="7701" max="7702" width="2.6640625" customWidth="1"/>
    <col min="7703" max="7704" width="2.109375" customWidth="1"/>
    <col min="7705" max="7705" width="4.6640625" customWidth="1"/>
    <col min="7706" max="7706" width="1.6640625" customWidth="1"/>
    <col min="7707" max="7707" width="6.6640625" customWidth="1"/>
    <col min="7708" max="7709" width="1.88671875" customWidth="1"/>
    <col min="7710" max="7710" width="3" customWidth="1"/>
    <col min="7711" max="7711" width="4" customWidth="1"/>
    <col min="7712" max="7712" width="4.33203125" customWidth="1"/>
    <col min="7713" max="7713" width="1.109375" customWidth="1"/>
    <col min="7714" max="7715" width="4.33203125" customWidth="1"/>
    <col min="7716" max="7716" width="5" customWidth="1"/>
    <col min="7717" max="7717" width="1.33203125" customWidth="1"/>
    <col min="7937" max="7937" width="0.6640625" customWidth="1"/>
    <col min="7938" max="7938" width="3.88671875" customWidth="1"/>
    <col min="7939" max="7939" width="4" customWidth="1"/>
    <col min="7940" max="7940" width="2.44140625" customWidth="1"/>
    <col min="7941" max="7941" width="1.6640625" customWidth="1"/>
    <col min="7942" max="7942" width="11" customWidth="1"/>
    <col min="7943" max="7943" width="2.5546875" customWidth="1"/>
    <col min="7944" max="7944" width="3" customWidth="1"/>
    <col min="7945" max="7946" width="3.109375" customWidth="1"/>
    <col min="7947" max="7947" width="2.44140625" customWidth="1"/>
    <col min="7948" max="7948" width="2.88671875" customWidth="1"/>
    <col min="7949" max="7949" width="0.6640625" customWidth="1"/>
    <col min="7950" max="7950" width="5.33203125" customWidth="1"/>
    <col min="7951" max="7951" width="10.5546875" customWidth="1"/>
    <col min="7952" max="7952" width="5.109375" customWidth="1"/>
    <col min="7953" max="7953" width="7.44140625" customWidth="1"/>
    <col min="7954" max="7954" width="6.6640625" customWidth="1"/>
    <col min="7955" max="7955" width="4.33203125" customWidth="1"/>
    <col min="7956" max="7956" width="2" customWidth="1"/>
    <col min="7957" max="7958" width="2.6640625" customWidth="1"/>
    <col min="7959" max="7960" width="2.109375" customWidth="1"/>
    <col min="7961" max="7961" width="4.6640625" customWidth="1"/>
    <col min="7962" max="7962" width="1.6640625" customWidth="1"/>
    <col min="7963" max="7963" width="6.6640625" customWidth="1"/>
    <col min="7964" max="7965" width="1.88671875" customWidth="1"/>
    <col min="7966" max="7966" width="3" customWidth="1"/>
    <col min="7967" max="7967" width="4" customWidth="1"/>
    <col min="7968" max="7968" width="4.33203125" customWidth="1"/>
    <col min="7969" max="7969" width="1.109375" customWidth="1"/>
    <col min="7970" max="7971" width="4.33203125" customWidth="1"/>
    <col min="7972" max="7972" width="5" customWidth="1"/>
    <col min="7973" max="7973" width="1.33203125" customWidth="1"/>
    <col min="8193" max="8193" width="0.6640625" customWidth="1"/>
    <col min="8194" max="8194" width="3.88671875" customWidth="1"/>
    <col min="8195" max="8195" width="4" customWidth="1"/>
    <col min="8196" max="8196" width="2.44140625" customWidth="1"/>
    <col min="8197" max="8197" width="1.6640625" customWidth="1"/>
    <col min="8198" max="8198" width="11" customWidth="1"/>
    <col min="8199" max="8199" width="2.5546875" customWidth="1"/>
    <col min="8200" max="8200" width="3" customWidth="1"/>
    <col min="8201" max="8202" width="3.109375" customWidth="1"/>
    <col min="8203" max="8203" width="2.44140625" customWidth="1"/>
    <col min="8204" max="8204" width="2.88671875" customWidth="1"/>
    <col min="8205" max="8205" width="0.6640625" customWidth="1"/>
    <col min="8206" max="8206" width="5.33203125" customWidth="1"/>
    <col min="8207" max="8207" width="10.5546875" customWidth="1"/>
    <col min="8208" max="8208" width="5.109375" customWidth="1"/>
    <col min="8209" max="8209" width="7.44140625" customWidth="1"/>
    <col min="8210" max="8210" width="6.6640625" customWidth="1"/>
    <col min="8211" max="8211" width="4.33203125" customWidth="1"/>
    <col min="8212" max="8212" width="2" customWidth="1"/>
    <col min="8213" max="8214" width="2.6640625" customWidth="1"/>
    <col min="8215" max="8216" width="2.109375" customWidth="1"/>
    <col min="8217" max="8217" width="4.6640625" customWidth="1"/>
    <col min="8218" max="8218" width="1.6640625" customWidth="1"/>
    <col min="8219" max="8219" width="6.6640625" customWidth="1"/>
    <col min="8220" max="8221" width="1.88671875" customWidth="1"/>
    <col min="8222" max="8222" width="3" customWidth="1"/>
    <col min="8223" max="8223" width="4" customWidth="1"/>
    <col min="8224" max="8224" width="4.33203125" customWidth="1"/>
    <col min="8225" max="8225" width="1.109375" customWidth="1"/>
    <col min="8226" max="8227" width="4.33203125" customWidth="1"/>
    <col min="8228" max="8228" width="5" customWidth="1"/>
    <col min="8229" max="8229" width="1.33203125" customWidth="1"/>
    <col min="8449" max="8449" width="0.6640625" customWidth="1"/>
    <col min="8450" max="8450" width="3.88671875" customWidth="1"/>
    <col min="8451" max="8451" width="4" customWidth="1"/>
    <col min="8452" max="8452" width="2.44140625" customWidth="1"/>
    <col min="8453" max="8453" width="1.6640625" customWidth="1"/>
    <col min="8454" max="8454" width="11" customWidth="1"/>
    <col min="8455" max="8455" width="2.5546875" customWidth="1"/>
    <col min="8456" max="8456" width="3" customWidth="1"/>
    <col min="8457" max="8458" width="3.109375" customWidth="1"/>
    <col min="8459" max="8459" width="2.44140625" customWidth="1"/>
    <col min="8460" max="8460" width="2.88671875" customWidth="1"/>
    <col min="8461" max="8461" width="0.6640625" customWidth="1"/>
    <col min="8462" max="8462" width="5.33203125" customWidth="1"/>
    <col min="8463" max="8463" width="10.5546875" customWidth="1"/>
    <col min="8464" max="8464" width="5.109375" customWidth="1"/>
    <col min="8465" max="8465" width="7.44140625" customWidth="1"/>
    <col min="8466" max="8466" width="6.6640625" customWidth="1"/>
    <col min="8467" max="8467" width="4.33203125" customWidth="1"/>
    <col min="8468" max="8468" width="2" customWidth="1"/>
    <col min="8469" max="8470" width="2.6640625" customWidth="1"/>
    <col min="8471" max="8472" width="2.109375" customWidth="1"/>
    <col min="8473" max="8473" width="4.6640625" customWidth="1"/>
    <col min="8474" max="8474" width="1.6640625" customWidth="1"/>
    <col min="8475" max="8475" width="6.6640625" customWidth="1"/>
    <col min="8476" max="8477" width="1.88671875" customWidth="1"/>
    <col min="8478" max="8478" width="3" customWidth="1"/>
    <col min="8479" max="8479" width="4" customWidth="1"/>
    <col min="8480" max="8480" width="4.33203125" customWidth="1"/>
    <col min="8481" max="8481" width="1.109375" customWidth="1"/>
    <col min="8482" max="8483" width="4.33203125" customWidth="1"/>
    <col min="8484" max="8484" width="5" customWidth="1"/>
    <col min="8485" max="8485" width="1.33203125" customWidth="1"/>
    <col min="8705" max="8705" width="0.6640625" customWidth="1"/>
    <col min="8706" max="8706" width="3.88671875" customWidth="1"/>
    <col min="8707" max="8707" width="4" customWidth="1"/>
    <col min="8708" max="8708" width="2.44140625" customWidth="1"/>
    <col min="8709" max="8709" width="1.6640625" customWidth="1"/>
    <col min="8710" max="8710" width="11" customWidth="1"/>
    <col min="8711" max="8711" width="2.5546875" customWidth="1"/>
    <col min="8712" max="8712" width="3" customWidth="1"/>
    <col min="8713" max="8714" width="3.109375" customWidth="1"/>
    <col min="8715" max="8715" width="2.44140625" customWidth="1"/>
    <col min="8716" max="8716" width="2.88671875" customWidth="1"/>
    <col min="8717" max="8717" width="0.6640625" customWidth="1"/>
    <col min="8718" max="8718" width="5.33203125" customWidth="1"/>
    <col min="8719" max="8719" width="10.5546875" customWidth="1"/>
    <col min="8720" max="8720" width="5.109375" customWidth="1"/>
    <col min="8721" max="8721" width="7.44140625" customWidth="1"/>
    <col min="8722" max="8722" width="6.6640625" customWidth="1"/>
    <col min="8723" max="8723" width="4.33203125" customWidth="1"/>
    <col min="8724" max="8724" width="2" customWidth="1"/>
    <col min="8725" max="8726" width="2.6640625" customWidth="1"/>
    <col min="8727" max="8728" width="2.109375" customWidth="1"/>
    <col min="8729" max="8729" width="4.6640625" customWidth="1"/>
    <col min="8730" max="8730" width="1.6640625" customWidth="1"/>
    <col min="8731" max="8731" width="6.6640625" customWidth="1"/>
    <col min="8732" max="8733" width="1.88671875" customWidth="1"/>
    <col min="8734" max="8734" width="3" customWidth="1"/>
    <col min="8735" max="8735" width="4" customWidth="1"/>
    <col min="8736" max="8736" width="4.33203125" customWidth="1"/>
    <col min="8737" max="8737" width="1.109375" customWidth="1"/>
    <col min="8738" max="8739" width="4.33203125" customWidth="1"/>
    <col min="8740" max="8740" width="5" customWidth="1"/>
    <col min="8741" max="8741" width="1.33203125" customWidth="1"/>
    <col min="8961" max="8961" width="0.6640625" customWidth="1"/>
    <col min="8962" max="8962" width="3.88671875" customWidth="1"/>
    <col min="8963" max="8963" width="4" customWidth="1"/>
    <col min="8964" max="8964" width="2.44140625" customWidth="1"/>
    <col min="8965" max="8965" width="1.6640625" customWidth="1"/>
    <col min="8966" max="8966" width="11" customWidth="1"/>
    <col min="8967" max="8967" width="2.5546875" customWidth="1"/>
    <col min="8968" max="8968" width="3" customWidth="1"/>
    <col min="8969" max="8970" width="3.109375" customWidth="1"/>
    <col min="8971" max="8971" width="2.44140625" customWidth="1"/>
    <col min="8972" max="8972" width="2.88671875" customWidth="1"/>
    <col min="8973" max="8973" width="0.6640625" customWidth="1"/>
    <col min="8974" max="8974" width="5.33203125" customWidth="1"/>
    <col min="8975" max="8975" width="10.5546875" customWidth="1"/>
    <col min="8976" max="8976" width="5.109375" customWidth="1"/>
    <col min="8977" max="8977" width="7.44140625" customWidth="1"/>
    <col min="8978" max="8978" width="6.6640625" customWidth="1"/>
    <col min="8979" max="8979" width="4.33203125" customWidth="1"/>
    <col min="8980" max="8980" width="2" customWidth="1"/>
    <col min="8981" max="8982" width="2.6640625" customWidth="1"/>
    <col min="8983" max="8984" width="2.109375" customWidth="1"/>
    <col min="8985" max="8985" width="4.6640625" customWidth="1"/>
    <col min="8986" max="8986" width="1.6640625" customWidth="1"/>
    <col min="8987" max="8987" width="6.6640625" customWidth="1"/>
    <col min="8988" max="8989" width="1.88671875" customWidth="1"/>
    <col min="8990" max="8990" width="3" customWidth="1"/>
    <col min="8991" max="8991" width="4" customWidth="1"/>
    <col min="8992" max="8992" width="4.33203125" customWidth="1"/>
    <col min="8993" max="8993" width="1.109375" customWidth="1"/>
    <col min="8994" max="8995" width="4.33203125" customWidth="1"/>
    <col min="8996" max="8996" width="5" customWidth="1"/>
    <col min="8997" max="8997" width="1.33203125" customWidth="1"/>
    <col min="9217" max="9217" width="0.6640625" customWidth="1"/>
    <col min="9218" max="9218" width="3.88671875" customWidth="1"/>
    <col min="9219" max="9219" width="4" customWidth="1"/>
    <col min="9220" max="9220" width="2.44140625" customWidth="1"/>
    <col min="9221" max="9221" width="1.6640625" customWidth="1"/>
    <col min="9222" max="9222" width="11" customWidth="1"/>
    <col min="9223" max="9223" width="2.5546875" customWidth="1"/>
    <col min="9224" max="9224" width="3" customWidth="1"/>
    <col min="9225" max="9226" width="3.109375" customWidth="1"/>
    <col min="9227" max="9227" width="2.44140625" customWidth="1"/>
    <col min="9228" max="9228" width="2.88671875" customWidth="1"/>
    <col min="9229" max="9229" width="0.6640625" customWidth="1"/>
    <col min="9230" max="9230" width="5.33203125" customWidth="1"/>
    <col min="9231" max="9231" width="10.5546875" customWidth="1"/>
    <col min="9232" max="9232" width="5.109375" customWidth="1"/>
    <col min="9233" max="9233" width="7.44140625" customWidth="1"/>
    <col min="9234" max="9234" width="6.6640625" customWidth="1"/>
    <col min="9235" max="9235" width="4.33203125" customWidth="1"/>
    <col min="9236" max="9236" width="2" customWidth="1"/>
    <col min="9237" max="9238" width="2.6640625" customWidth="1"/>
    <col min="9239" max="9240" width="2.109375" customWidth="1"/>
    <col min="9241" max="9241" width="4.6640625" customWidth="1"/>
    <col min="9242" max="9242" width="1.6640625" customWidth="1"/>
    <col min="9243" max="9243" width="6.6640625" customWidth="1"/>
    <col min="9244" max="9245" width="1.88671875" customWidth="1"/>
    <col min="9246" max="9246" width="3" customWidth="1"/>
    <col min="9247" max="9247" width="4" customWidth="1"/>
    <col min="9248" max="9248" width="4.33203125" customWidth="1"/>
    <col min="9249" max="9249" width="1.109375" customWidth="1"/>
    <col min="9250" max="9251" width="4.33203125" customWidth="1"/>
    <col min="9252" max="9252" width="5" customWidth="1"/>
    <col min="9253" max="9253" width="1.33203125" customWidth="1"/>
    <col min="9473" max="9473" width="0.6640625" customWidth="1"/>
    <col min="9474" max="9474" width="3.88671875" customWidth="1"/>
    <col min="9475" max="9475" width="4" customWidth="1"/>
    <col min="9476" max="9476" width="2.44140625" customWidth="1"/>
    <col min="9477" max="9477" width="1.6640625" customWidth="1"/>
    <col min="9478" max="9478" width="11" customWidth="1"/>
    <col min="9479" max="9479" width="2.5546875" customWidth="1"/>
    <col min="9480" max="9480" width="3" customWidth="1"/>
    <col min="9481" max="9482" width="3.109375" customWidth="1"/>
    <col min="9483" max="9483" width="2.44140625" customWidth="1"/>
    <col min="9484" max="9484" width="2.88671875" customWidth="1"/>
    <col min="9485" max="9485" width="0.6640625" customWidth="1"/>
    <col min="9486" max="9486" width="5.33203125" customWidth="1"/>
    <col min="9487" max="9487" width="10.5546875" customWidth="1"/>
    <col min="9488" max="9488" width="5.109375" customWidth="1"/>
    <col min="9489" max="9489" width="7.44140625" customWidth="1"/>
    <col min="9490" max="9490" width="6.6640625" customWidth="1"/>
    <col min="9491" max="9491" width="4.33203125" customWidth="1"/>
    <col min="9492" max="9492" width="2" customWidth="1"/>
    <col min="9493" max="9494" width="2.6640625" customWidth="1"/>
    <col min="9495" max="9496" width="2.109375" customWidth="1"/>
    <col min="9497" max="9497" width="4.6640625" customWidth="1"/>
    <col min="9498" max="9498" width="1.6640625" customWidth="1"/>
    <col min="9499" max="9499" width="6.6640625" customWidth="1"/>
    <col min="9500" max="9501" width="1.88671875" customWidth="1"/>
    <col min="9502" max="9502" width="3" customWidth="1"/>
    <col min="9503" max="9503" width="4" customWidth="1"/>
    <col min="9504" max="9504" width="4.33203125" customWidth="1"/>
    <col min="9505" max="9505" width="1.109375" customWidth="1"/>
    <col min="9506" max="9507" width="4.33203125" customWidth="1"/>
    <col min="9508" max="9508" width="5" customWidth="1"/>
    <col min="9509" max="9509" width="1.33203125" customWidth="1"/>
    <col min="9729" max="9729" width="0.6640625" customWidth="1"/>
    <col min="9730" max="9730" width="3.88671875" customWidth="1"/>
    <col min="9731" max="9731" width="4" customWidth="1"/>
    <col min="9732" max="9732" width="2.44140625" customWidth="1"/>
    <col min="9733" max="9733" width="1.6640625" customWidth="1"/>
    <col min="9734" max="9734" width="11" customWidth="1"/>
    <col min="9735" max="9735" width="2.5546875" customWidth="1"/>
    <col min="9736" max="9736" width="3" customWidth="1"/>
    <col min="9737" max="9738" width="3.109375" customWidth="1"/>
    <col min="9739" max="9739" width="2.44140625" customWidth="1"/>
    <col min="9740" max="9740" width="2.88671875" customWidth="1"/>
    <col min="9741" max="9741" width="0.6640625" customWidth="1"/>
    <col min="9742" max="9742" width="5.33203125" customWidth="1"/>
    <col min="9743" max="9743" width="10.5546875" customWidth="1"/>
    <col min="9744" max="9744" width="5.109375" customWidth="1"/>
    <col min="9745" max="9745" width="7.44140625" customWidth="1"/>
    <col min="9746" max="9746" width="6.6640625" customWidth="1"/>
    <col min="9747" max="9747" width="4.33203125" customWidth="1"/>
    <col min="9748" max="9748" width="2" customWidth="1"/>
    <col min="9749" max="9750" width="2.6640625" customWidth="1"/>
    <col min="9751" max="9752" width="2.109375" customWidth="1"/>
    <col min="9753" max="9753" width="4.6640625" customWidth="1"/>
    <col min="9754" max="9754" width="1.6640625" customWidth="1"/>
    <col min="9755" max="9755" width="6.6640625" customWidth="1"/>
    <col min="9756" max="9757" width="1.88671875" customWidth="1"/>
    <col min="9758" max="9758" width="3" customWidth="1"/>
    <col min="9759" max="9759" width="4" customWidth="1"/>
    <col min="9760" max="9760" width="4.33203125" customWidth="1"/>
    <col min="9761" max="9761" width="1.109375" customWidth="1"/>
    <col min="9762" max="9763" width="4.33203125" customWidth="1"/>
    <col min="9764" max="9764" width="5" customWidth="1"/>
    <col min="9765" max="9765" width="1.33203125" customWidth="1"/>
    <col min="9985" max="9985" width="0.6640625" customWidth="1"/>
    <col min="9986" max="9986" width="3.88671875" customWidth="1"/>
    <col min="9987" max="9987" width="4" customWidth="1"/>
    <col min="9988" max="9988" width="2.44140625" customWidth="1"/>
    <col min="9989" max="9989" width="1.6640625" customWidth="1"/>
    <col min="9990" max="9990" width="11" customWidth="1"/>
    <col min="9991" max="9991" width="2.5546875" customWidth="1"/>
    <col min="9992" max="9992" width="3" customWidth="1"/>
    <col min="9993" max="9994" width="3.109375" customWidth="1"/>
    <col min="9995" max="9995" width="2.44140625" customWidth="1"/>
    <col min="9996" max="9996" width="2.88671875" customWidth="1"/>
    <col min="9997" max="9997" width="0.6640625" customWidth="1"/>
    <col min="9998" max="9998" width="5.33203125" customWidth="1"/>
    <col min="9999" max="9999" width="10.5546875" customWidth="1"/>
    <col min="10000" max="10000" width="5.109375" customWidth="1"/>
    <col min="10001" max="10001" width="7.44140625" customWidth="1"/>
    <col min="10002" max="10002" width="6.6640625" customWidth="1"/>
    <col min="10003" max="10003" width="4.33203125" customWidth="1"/>
    <col min="10004" max="10004" width="2" customWidth="1"/>
    <col min="10005" max="10006" width="2.6640625" customWidth="1"/>
    <col min="10007" max="10008" width="2.109375" customWidth="1"/>
    <col min="10009" max="10009" width="4.6640625" customWidth="1"/>
    <col min="10010" max="10010" width="1.6640625" customWidth="1"/>
    <col min="10011" max="10011" width="6.6640625" customWidth="1"/>
    <col min="10012" max="10013" width="1.88671875" customWidth="1"/>
    <col min="10014" max="10014" width="3" customWidth="1"/>
    <col min="10015" max="10015" width="4" customWidth="1"/>
    <col min="10016" max="10016" width="4.33203125" customWidth="1"/>
    <col min="10017" max="10017" width="1.109375" customWidth="1"/>
    <col min="10018" max="10019" width="4.33203125" customWidth="1"/>
    <col min="10020" max="10020" width="5" customWidth="1"/>
    <col min="10021" max="10021" width="1.33203125" customWidth="1"/>
    <col min="10241" max="10241" width="0.6640625" customWidth="1"/>
    <col min="10242" max="10242" width="3.88671875" customWidth="1"/>
    <col min="10243" max="10243" width="4" customWidth="1"/>
    <col min="10244" max="10244" width="2.44140625" customWidth="1"/>
    <col min="10245" max="10245" width="1.6640625" customWidth="1"/>
    <col min="10246" max="10246" width="11" customWidth="1"/>
    <col min="10247" max="10247" width="2.5546875" customWidth="1"/>
    <col min="10248" max="10248" width="3" customWidth="1"/>
    <col min="10249" max="10250" width="3.109375" customWidth="1"/>
    <col min="10251" max="10251" width="2.44140625" customWidth="1"/>
    <col min="10252" max="10252" width="2.88671875" customWidth="1"/>
    <col min="10253" max="10253" width="0.6640625" customWidth="1"/>
    <col min="10254" max="10254" width="5.33203125" customWidth="1"/>
    <col min="10255" max="10255" width="10.5546875" customWidth="1"/>
    <col min="10256" max="10256" width="5.109375" customWidth="1"/>
    <col min="10257" max="10257" width="7.44140625" customWidth="1"/>
    <col min="10258" max="10258" width="6.6640625" customWidth="1"/>
    <col min="10259" max="10259" width="4.33203125" customWidth="1"/>
    <col min="10260" max="10260" width="2" customWidth="1"/>
    <col min="10261" max="10262" width="2.6640625" customWidth="1"/>
    <col min="10263" max="10264" width="2.109375" customWidth="1"/>
    <col min="10265" max="10265" width="4.6640625" customWidth="1"/>
    <col min="10266" max="10266" width="1.6640625" customWidth="1"/>
    <col min="10267" max="10267" width="6.6640625" customWidth="1"/>
    <col min="10268" max="10269" width="1.88671875" customWidth="1"/>
    <col min="10270" max="10270" width="3" customWidth="1"/>
    <col min="10271" max="10271" width="4" customWidth="1"/>
    <col min="10272" max="10272" width="4.33203125" customWidth="1"/>
    <col min="10273" max="10273" width="1.109375" customWidth="1"/>
    <col min="10274" max="10275" width="4.33203125" customWidth="1"/>
    <col min="10276" max="10276" width="5" customWidth="1"/>
    <col min="10277" max="10277" width="1.33203125" customWidth="1"/>
    <col min="10497" max="10497" width="0.6640625" customWidth="1"/>
    <col min="10498" max="10498" width="3.88671875" customWidth="1"/>
    <col min="10499" max="10499" width="4" customWidth="1"/>
    <col min="10500" max="10500" width="2.44140625" customWidth="1"/>
    <col min="10501" max="10501" width="1.6640625" customWidth="1"/>
    <col min="10502" max="10502" width="11" customWidth="1"/>
    <col min="10503" max="10503" width="2.5546875" customWidth="1"/>
    <col min="10504" max="10504" width="3" customWidth="1"/>
    <col min="10505" max="10506" width="3.109375" customWidth="1"/>
    <col min="10507" max="10507" width="2.44140625" customWidth="1"/>
    <col min="10508" max="10508" width="2.88671875" customWidth="1"/>
    <col min="10509" max="10509" width="0.6640625" customWidth="1"/>
    <col min="10510" max="10510" width="5.33203125" customWidth="1"/>
    <col min="10511" max="10511" width="10.5546875" customWidth="1"/>
    <col min="10512" max="10512" width="5.109375" customWidth="1"/>
    <col min="10513" max="10513" width="7.44140625" customWidth="1"/>
    <col min="10514" max="10514" width="6.6640625" customWidth="1"/>
    <col min="10515" max="10515" width="4.33203125" customWidth="1"/>
    <col min="10516" max="10516" width="2" customWidth="1"/>
    <col min="10517" max="10518" width="2.6640625" customWidth="1"/>
    <col min="10519" max="10520" width="2.109375" customWidth="1"/>
    <col min="10521" max="10521" width="4.6640625" customWidth="1"/>
    <col min="10522" max="10522" width="1.6640625" customWidth="1"/>
    <col min="10523" max="10523" width="6.6640625" customWidth="1"/>
    <col min="10524" max="10525" width="1.88671875" customWidth="1"/>
    <col min="10526" max="10526" width="3" customWidth="1"/>
    <col min="10527" max="10527" width="4" customWidth="1"/>
    <col min="10528" max="10528" width="4.33203125" customWidth="1"/>
    <col min="10529" max="10529" width="1.109375" customWidth="1"/>
    <col min="10530" max="10531" width="4.33203125" customWidth="1"/>
    <col min="10532" max="10532" width="5" customWidth="1"/>
    <col min="10533" max="10533" width="1.33203125" customWidth="1"/>
    <col min="10753" max="10753" width="0.6640625" customWidth="1"/>
    <col min="10754" max="10754" width="3.88671875" customWidth="1"/>
    <col min="10755" max="10755" width="4" customWidth="1"/>
    <col min="10756" max="10756" width="2.44140625" customWidth="1"/>
    <col min="10757" max="10757" width="1.6640625" customWidth="1"/>
    <col min="10758" max="10758" width="11" customWidth="1"/>
    <col min="10759" max="10759" width="2.5546875" customWidth="1"/>
    <col min="10760" max="10760" width="3" customWidth="1"/>
    <col min="10761" max="10762" width="3.109375" customWidth="1"/>
    <col min="10763" max="10763" width="2.44140625" customWidth="1"/>
    <col min="10764" max="10764" width="2.88671875" customWidth="1"/>
    <col min="10765" max="10765" width="0.6640625" customWidth="1"/>
    <col min="10766" max="10766" width="5.33203125" customWidth="1"/>
    <col min="10767" max="10767" width="10.5546875" customWidth="1"/>
    <col min="10768" max="10768" width="5.109375" customWidth="1"/>
    <col min="10769" max="10769" width="7.44140625" customWidth="1"/>
    <col min="10770" max="10770" width="6.6640625" customWidth="1"/>
    <col min="10771" max="10771" width="4.33203125" customWidth="1"/>
    <col min="10772" max="10772" width="2" customWidth="1"/>
    <col min="10773" max="10774" width="2.6640625" customWidth="1"/>
    <col min="10775" max="10776" width="2.109375" customWidth="1"/>
    <col min="10777" max="10777" width="4.6640625" customWidth="1"/>
    <col min="10778" max="10778" width="1.6640625" customWidth="1"/>
    <col min="10779" max="10779" width="6.6640625" customWidth="1"/>
    <col min="10780" max="10781" width="1.88671875" customWidth="1"/>
    <col min="10782" max="10782" width="3" customWidth="1"/>
    <col min="10783" max="10783" width="4" customWidth="1"/>
    <col min="10784" max="10784" width="4.33203125" customWidth="1"/>
    <col min="10785" max="10785" width="1.109375" customWidth="1"/>
    <col min="10786" max="10787" width="4.33203125" customWidth="1"/>
    <col min="10788" max="10788" width="5" customWidth="1"/>
    <col min="10789" max="10789" width="1.33203125" customWidth="1"/>
    <col min="11009" max="11009" width="0.6640625" customWidth="1"/>
    <col min="11010" max="11010" width="3.88671875" customWidth="1"/>
    <col min="11011" max="11011" width="4" customWidth="1"/>
    <col min="11012" max="11012" width="2.44140625" customWidth="1"/>
    <col min="11013" max="11013" width="1.6640625" customWidth="1"/>
    <col min="11014" max="11014" width="11" customWidth="1"/>
    <col min="11015" max="11015" width="2.5546875" customWidth="1"/>
    <col min="11016" max="11016" width="3" customWidth="1"/>
    <col min="11017" max="11018" width="3.109375" customWidth="1"/>
    <col min="11019" max="11019" width="2.44140625" customWidth="1"/>
    <col min="11020" max="11020" width="2.88671875" customWidth="1"/>
    <col min="11021" max="11021" width="0.6640625" customWidth="1"/>
    <col min="11022" max="11022" width="5.33203125" customWidth="1"/>
    <col min="11023" max="11023" width="10.5546875" customWidth="1"/>
    <col min="11024" max="11024" width="5.109375" customWidth="1"/>
    <col min="11025" max="11025" width="7.44140625" customWidth="1"/>
    <col min="11026" max="11026" width="6.6640625" customWidth="1"/>
    <col min="11027" max="11027" width="4.33203125" customWidth="1"/>
    <col min="11028" max="11028" width="2" customWidth="1"/>
    <col min="11029" max="11030" width="2.6640625" customWidth="1"/>
    <col min="11031" max="11032" width="2.109375" customWidth="1"/>
    <col min="11033" max="11033" width="4.6640625" customWidth="1"/>
    <col min="11034" max="11034" width="1.6640625" customWidth="1"/>
    <col min="11035" max="11035" width="6.6640625" customWidth="1"/>
    <col min="11036" max="11037" width="1.88671875" customWidth="1"/>
    <col min="11038" max="11038" width="3" customWidth="1"/>
    <col min="11039" max="11039" width="4" customWidth="1"/>
    <col min="11040" max="11040" width="4.33203125" customWidth="1"/>
    <col min="11041" max="11041" width="1.109375" customWidth="1"/>
    <col min="11042" max="11043" width="4.33203125" customWidth="1"/>
    <col min="11044" max="11044" width="5" customWidth="1"/>
    <col min="11045" max="11045" width="1.33203125" customWidth="1"/>
    <col min="11265" max="11265" width="0.6640625" customWidth="1"/>
    <col min="11266" max="11266" width="3.88671875" customWidth="1"/>
    <col min="11267" max="11267" width="4" customWidth="1"/>
    <col min="11268" max="11268" width="2.44140625" customWidth="1"/>
    <col min="11269" max="11269" width="1.6640625" customWidth="1"/>
    <col min="11270" max="11270" width="11" customWidth="1"/>
    <col min="11271" max="11271" width="2.5546875" customWidth="1"/>
    <col min="11272" max="11272" width="3" customWidth="1"/>
    <col min="11273" max="11274" width="3.109375" customWidth="1"/>
    <col min="11275" max="11275" width="2.44140625" customWidth="1"/>
    <col min="11276" max="11276" width="2.88671875" customWidth="1"/>
    <col min="11277" max="11277" width="0.6640625" customWidth="1"/>
    <col min="11278" max="11278" width="5.33203125" customWidth="1"/>
    <col min="11279" max="11279" width="10.5546875" customWidth="1"/>
    <col min="11280" max="11280" width="5.109375" customWidth="1"/>
    <col min="11281" max="11281" width="7.44140625" customWidth="1"/>
    <col min="11282" max="11282" width="6.6640625" customWidth="1"/>
    <col min="11283" max="11283" width="4.33203125" customWidth="1"/>
    <col min="11284" max="11284" width="2" customWidth="1"/>
    <col min="11285" max="11286" width="2.6640625" customWidth="1"/>
    <col min="11287" max="11288" width="2.109375" customWidth="1"/>
    <col min="11289" max="11289" width="4.6640625" customWidth="1"/>
    <col min="11290" max="11290" width="1.6640625" customWidth="1"/>
    <col min="11291" max="11291" width="6.6640625" customWidth="1"/>
    <col min="11292" max="11293" width="1.88671875" customWidth="1"/>
    <col min="11294" max="11294" width="3" customWidth="1"/>
    <col min="11295" max="11295" width="4" customWidth="1"/>
    <col min="11296" max="11296" width="4.33203125" customWidth="1"/>
    <col min="11297" max="11297" width="1.109375" customWidth="1"/>
    <col min="11298" max="11299" width="4.33203125" customWidth="1"/>
    <col min="11300" max="11300" width="5" customWidth="1"/>
    <col min="11301" max="11301" width="1.33203125" customWidth="1"/>
    <col min="11521" max="11521" width="0.6640625" customWidth="1"/>
    <col min="11522" max="11522" width="3.88671875" customWidth="1"/>
    <col min="11523" max="11523" width="4" customWidth="1"/>
    <col min="11524" max="11524" width="2.44140625" customWidth="1"/>
    <col min="11525" max="11525" width="1.6640625" customWidth="1"/>
    <col min="11526" max="11526" width="11" customWidth="1"/>
    <col min="11527" max="11527" width="2.5546875" customWidth="1"/>
    <col min="11528" max="11528" width="3" customWidth="1"/>
    <col min="11529" max="11530" width="3.109375" customWidth="1"/>
    <col min="11531" max="11531" width="2.44140625" customWidth="1"/>
    <col min="11532" max="11532" width="2.88671875" customWidth="1"/>
    <col min="11533" max="11533" width="0.6640625" customWidth="1"/>
    <col min="11534" max="11534" width="5.33203125" customWidth="1"/>
    <col min="11535" max="11535" width="10.5546875" customWidth="1"/>
    <col min="11536" max="11536" width="5.109375" customWidth="1"/>
    <col min="11537" max="11537" width="7.44140625" customWidth="1"/>
    <col min="11538" max="11538" width="6.6640625" customWidth="1"/>
    <col min="11539" max="11539" width="4.33203125" customWidth="1"/>
    <col min="11540" max="11540" width="2" customWidth="1"/>
    <col min="11541" max="11542" width="2.6640625" customWidth="1"/>
    <col min="11543" max="11544" width="2.109375" customWidth="1"/>
    <col min="11545" max="11545" width="4.6640625" customWidth="1"/>
    <col min="11546" max="11546" width="1.6640625" customWidth="1"/>
    <col min="11547" max="11547" width="6.6640625" customWidth="1"/>
    <col min="11548" max="11549" width="1.88671875" customWidth="1"/>
    <col min="11550" max="11550" width="3" customWidth="1"/>
    <col min="11551" max="11551" width="4" customWidth="1"/>
    <col min="11552" max="11552" width="4.33203125" customWidth="1"/>
    <col min="11553" max="11553" width="1.109375" customWidth="1"/>
    <col min="11554" max="11555" width="4.33203125" customWidth="1"/>
    <col min="11556" max="11556" width="5" customWidth="1"/>
    <col min="11557" max="11557" width="1.33203125" customWidth="1"/>
    <col min="11777" max="11777" width="0.6640625" customWidth="1"/>
    <col min="11778" max="11778" width="3.88671875" customWidth="1"/>
    <col min="11779" max="11779" width="4" customWidth="1"/>
    <col min="11780" max="11780" width="2.44140625" customWidth="1"/>
    <col min="11781" max="11781" width="1.6640625" customWidth="1"/>
    <col min="11782" max="11782" width="11" customWidth="1"/>
    <col min="11783" max="11783" width="2.5546875" customWidth="1"/>
    <col min="11784" max="11784" width="3" customWidth="1"/>
    <col min="11785" max="11786" width="3.109375" customWidth="1"/>
    <col min="11787" max="11787" width="2.44140625" customWidth="1"/>
    <col min="11788" max="11788" width="2.88671875" customWidth="1"/>
    <col min="11789" max="11789" width="0.6640625" customWidth="1"/>
    <col min="11790" max="11790" width="5.33203125" customWidth="1"/>
    <col min="11791" max="11791" width="10.5546875" customWidth="1"/>
    <col min="11792" max="11792" width="5.109375" customWidth="1"/>
    <col min="11793" max="11793" width="7.44140625" customWidth="1"/>
    <col min="11794" max="11794" width="6.6640625" customWidth="1"/>
    <col min="11795" max="11795" width="4.33203125" customWidth="1"/>
    <col min="11796" max="11796" width="2" customWidth="1"/>
    <col min="11797" max="11798" width="2.6640625" customWidth="1"/>
    <col min="11799" max="11800" width="2.109375" customWidth="1"/>
    <col min="11801" max="11801" width="4.6640625" customWidth="1"/>
    <col min="11802" max="11802" width="1.6640625" customWidth="1"/>
    <col min="11803" max="11803" width="6.6640625" customWidth="1"/>
    <col min="11804" max="11805" width="1.88671875" customWidth="1"/>
    <col min="11806" max="11806" width="3" customWidth="1"/>
    <col min="11807" max="11807" width="4" customWidth="1"/>
    <col min="11808" max="11808" width="4.33203125" customWidth="1"/>
    <col min="11809" max="11809" width="1.109375" customWidth="1"/>
    <col min="11810" max="11811" width="4.33203125" customWidth="1"/>
    <col min="11812" max="11812" width="5" customWidth="1"/>
    <col min="11813" max="11813" width="1.33203125" customWidth="1"/>
    <col min="12033" max="12033" width="0.6640625" customWidth="1"/>
    <col min="12034" max="12034" width="3.88671875" customWidth="1"/>
    <col min="12035" max="12035" width="4" customWidth="1"/>
    <col min="12036" max="12036" width="2.44140625" customWidth="1"/>
    <col min="12037" max="12037" width="1.6640625" customWidth="1"/>
    <col min="12038" max="12038" width="11" customWidth="1"/>
    <col min="12039" max="12039" width="2.5546875" customWidth="1"/>
    <col min="12040" max="12040" width="3" customWidth="1"/>
    <col min="12041" max="12042" width="3.109375" customWidth="1"/>
    <col min="12043" max="12043" width="2.44140625" customWidth="1"/>
    <col min="12044" max="12044" width="2.88671875" customWidth="1"/>
    <col min="12045" max="12045" width="0.6640625" customWidth="1"/>
    <col min="12046" max="12046" width="5.33203125" customWidth="1"/>
    <col min="12047" max="12047" width="10.5546875" customWidth="1"/>
    <col min="12048" max="12048" width="5.109375" customWidth="1"/>
    <col min="12049" max="12049" width="7.44140625" customWidth="1"/>
    <col min="12050" max="12050" width="6.6640625" customWidth="1"/>
    <col min="12051" max="12051" width="4.33203125" customWidth="1"/>
    <col min="12052" max="12052" width="2" customWidth="1"/>
    <col min="12053" max="12054" width="2.6640625" customWidth="1"/>
    <col min="12055" max="12056" width="2.109375" customWidth="1"/>
    <col min="12057" max="12057" width="4.6640625" customWidth="1"/>
    <col min="12058" max="12058" width="1.6640625" customWidth="1"/>
    <col min="12059" max="12059" width="6.6640625" customWidth="1"/>
    <col min="12060" max="12061" width="1.88671875" customWidth="1"/>
    <col min="12062" max="12062" width="3" customWidth="1"/>
    <col min="12063" max="12063" width="4" customWidth="1"/>
    <col min="12064" max="12064" width="4.33203125" customWidth="1"/>
    <col min="12065" max="12065" width="1.109375" customWidth="1"/>
    <col min="12066" max="12067" width="4.33203125" customWidth="1"/>
    <col min="12068" max="12068" width="5" customWidth="1"/>
    <col min="12069" max="12069" width="1.33203125" customWidth="1"/>
    <col min="12289" max="12289" width="0.6640625" customWidth="1"/>
    <col min="12290" max="12290" width="3.88671875" customWidth="1"/>
    <col min="12291" max="12291" width="4" customWidth="1"/>
    <col min="12292" max="12292" width="2.44140625" customWidth="1"/>
    <col min="12293" max="12293" width="1.6640625" customWidth="1"/>
    <col min="12294" max="12294" width="11" customWidth="1"/>
    <col min="12295" max="12295" width="2.5546875" customWidth="1"/>
    <col min="12296" max="12296" width="3" customWidth="1"/>
    <col min="12297" max="12298" width="3.109375" customWidth="1"/>
    <col min="12299" max="12299" width="2.44140625" customWidth="1"/>
    <col min="12300" max="12300" width="2.88671875" customWidth="1"/>
    <col min="12301" max="12301" width="0.6640625" customWidth="1"/>
    <col min="12302" max="12302" width="5.33203125" customWidth="1"/>
    <col min="12303" max="12303" width="10.5546875" customWidth="1"/>
    <col min="12304" max="12304" width="5.109375" customWidth="1"/>
    <col min="12305" max="12305" width="7.44140625" customWidth="1"/>
    <col min="12306" max="12306" width="6.6640625" customWidth="1"/>
    <col min="12307" max="12307" width="4.33203125" customWidth="1"/>
    <col min="12308" max="12308" width="2" customWidth="1"/>
    <col min="12309" max="12310" width="2.6640625" customWidth="1"/>
    <col min="12311" max="12312" width="2.109375" customWidth="1"/>
    <col min="12313" max="12313" width="4.6640625" customWidth="1"/>
    <col min="12314" max="12314" width="1.6640625" customWidth="1"/>
    <col min="12315" max="12315" width="6.6640625" customWidth="1"/>
    <col min="12316" max="12317" width="1.88671875" customWidth="1"/>
    <col min="12318" max="12318" width="3" customWidth="1"/>
    <col min="12319" max="12319" width="4" customWidth="1"/>
    <col min="12320" max="12320" width="4.33203125" customWidth="1"/>
    <col min="12321" max="12321" width="1.109375" customWidth="1"/>
    <col min="12322" max="12323" width="4.33203125" customWidth="1"/>
    <col min="12324" max="12324" width="5" customWidth="1"/>
    <col min="12325" max="12325" width="1.33203125" customWidth="1"/>
    <col min="12545" max="12545" width="0.6640625" customWidth="1"/>
    <col min="12546" max="12546" width="3.88671875" customWidth="1"/>
    <col min="12547" max="12547" width="4" customWidth="1"/>
    <col min="12548" max="12548" width="2.44140625" customWidth="1"/>
    <col min="12549" max="12549" width="1.6640625" customWidth="1"/>
    <col min="12550" max="12550" width="11" customWidth="1"/>
    <col min="12551" max="12551" width="2.5546875" customWidth="1"/>
    <col min="12552" max="12552" width="3" customWidth="1"/>
    <col min="12553" max="12554" width="3.109375" customWidth="1"/>
    <col min="12555" max="12555" width="2.44140625" customWidth="1"/>
    <col min="12556" max="12556" width="2.88671875" customWidth="1"/>
    <col min="12557" max="12557" width="0.6640625" customWidth="1"/>
    <col min="12558" max="12558" width="5.33203125" customWidth="1"/>
    <col min="12559" max="12559" width="10.5546875" customWidth="1"/>
    <col min="12560" max="12560" width="5.109375" customWidth="1"/>
    <col min="12561" max="12561" width="7.44140625" customWidth="1"/>
    <col min="12562" max="12562" width="6.6640625" customWidth="1"/>
    <col min="12563" max="12563" width="4.33203125" customWidth="1"/>
    <col min="12564" max="12564" width="2" customWidth="1"/>
    <col min="12565" max="12566" width="2.6640625" customWidth="1"/>
    <col min="12567" max="12568" width="2.109375" customWidth="1"/>
    <col min="12569" max="12569" width="4.6640625" customWidth="1"/>
    <col min="12570" max="12570" width="1.6640625" customWidth="1"/>
    <col min="12571" max="12571" width="6.6640625" customWidth="1"/>
    <col min="12572" max="12573" width="1.88671875" customWidth="1"/>
    <col min="12574" max="12574" width="3" customWidth="1"/>
    <col min="12575" max="12575" width="4" customWidth="1"/>
    <col min="12576" max="12576" width="4.33203125" customWidth="1"/>
    <col min="12577" max="12577" width="1.109375" customWidth="1"/>
    <col min="12578" max="12579" width="4.33203125" customWidth="1"/>
    <col min="12580" max="12580" width="5" customWidth="1"/>
    <col min="12581" max="12581" width="1.33203125" customWidth="1"/>
    <col min="12801" max="12801" width="0.6640625" customWidth="1"/>
    <col min="12802" max="12802" width="3.88671875" customWidth="1"/>
    <col min="12803" max="12803" width="4" customWidth="1"/>
    <col min="12804" max="12804" width="2.44140625" customWidth="1"/>
    <col min="12805" max="12805" width="1.6640625" customWidth="1"/>
    <col min="12806" max="12806" width="11" customWidth="1"/>
    <col min="12807" max="12807" width="2.5546875" customWidth="1"/>
    <col min="12808" max="12808" width="3" customWidth="1"/>
    <col min="12809" max="12810" width="3.109375" customWidth="1"/>
    <col min="12811" max="12811" width="2.44140625" customWidth="1"/>
    <col min="12812" max="12812" width="2.88671875" customWidth="1"/>
    <col min="12813" max="12813" width="0.6640625" customWidth="1"/>
    <col min="12814" max="12814" width="5.33203125" customWidth="1"/>
    <col min="12815" max="12815" width="10.5546875" customWidth="1"/>
    <col min="12816" max="12816" width="5.109375" customWidth="1"/>
    <col min="12817" max="12817" width="7.44140625" customWidth="1"/>
    <col min="12818" max="12818" width="6.6640625" customWidth="1"/>
    <col min="12819" max="12819" width="4.33203125" customWidth="1"/>
    <col min="12820" max="12820" width="2" customWidth="1"/>
    <col min="12821" max="12822" width="2.6640625" customWidth="1"/>
    <col min="12823" max="12824" width="2.109375" customWidth="1"/>
    <col min="12825" max="12825" width="4.6640625" customWidth="1"/>
    <col min="12826" max="12826" width="1.6640625" customWidth="1"/>
    <col min="12827" max="12827" width="6.6640625" customWidth="1"/>
    <col min="12828" max="12829" width="1.88671875" customWidth="1"/>
    <col min="12830" max="12830" width="3" customWidth="1"/>
    <col min="12831" max="12831" width="4" customWidth="1"/>
    <col min="12832" max="12832" width="4.33203125" customWidth="1"/>
    <col min="12833" max="12833" width="1.109375" customWidth="1"/>
    <col min="12834" max="12835" width="4.33203125" customWidth="1"/>
    <col min="12836" max="12836" width="5" customWidth="1"/>
    <col min="12837" max="12837" width="1.33203125" customWidth="1"/>
    <col min="13057" max="13057" width="0.6640625" customWidth="1"/>
    <col min="13058" max="13058" width="3.88671875" customWidth="1"/>
    <col min="13059" max="13059" width="4" customWidth="1"/>
    <col min="13060" max="13060" width="2.44140625" customWidth="1"/>
    <col min="13061" max="13061" width="1.6640625" customWidth="1"/>
    <col min="13062" max="13062" width="11" customWidth="1"/>
    <col min="13063" max="13063" width="2.5546875" customWidth="1"/>
    <col min="13064" max="13064" width="3" customWidth="1"/>
    <col min="13065" max="13066" width="3.109375" customWidth="1"/>
    <col min="13067" max="13067" width="2.44140625" customWidth="1"/>
    <col min="13068" max="13068" width="2.88671875" customWidth="1"/>
    <col min="13069" max="13069" width="0.6640625" customWidth="1"/>
    <col min="13070" max="13070" width="5.33203125" customWidth="1"/>
    <col min="13071" max="13071" width="10.5546875" customWidth="1"/>
    <col min="13072" max="13072" width="5.109375" customWidth="1"/>
    <col min="13073" max="13073" width="7.44140625" customWidth="1"/>
    <col min="13074" max="13074" width="6.6640625" customWidth="1"/>
    <col min="13075" max="13075" width="4.33203125" customWidth="1"/>
    <col min="13076" max="13076" width="2" customWidth="1"/>
    <col min="13077" max="13078" width="2.6640625" customWidth="1"/>
    <col min="13079" max="13080" width="2.109375" customWidth="1"/>
    <col min="13081" max="13081" width="4.6640625" customWidth="1"/>
    <col min="13082" max="13082" width="1.6640625" customWidth="1"/>
    <col min="13083" max="13083" width="6.6640625" customWidth="1"/>
    <col min="13084" max="13085" width="1.88671875" customWidth="1"/>
    <col min="13086" max="13086" width="3" customWidth="1"/>
    <col min="13087" max="13087" width="4" customWidth="1"/>
    <col min="13088" max="13088" width="4.33203125" customWidth="1"/>
    <col min="13089" max="13089" width="1.109375" customWidth="1"/>
    <col min="13090" max="13091" width="4.33203125" customWidth="1"/>
    <col min="13092" max="13092" width="5" customWidth="1"/>
    <col min="13093" max="13093" width="1.33203125" customWidth="1"/>
    <col min="13313" max="13313" width="0.6640625" customWidth="1"/>
    <col min="13314" max="13314" width="3.88671875" customWidth="1"/>
    <col min="13315" max="13315" width="4" customWidth="1"/>
    <col min="13316" max="13316" width="2.44140625" customWidth="1"/>
    <col min="13317" max="13317" width="1.6640625" customWidth="1"/>
    <col min="13318" max="13318" width="11" customWidth="1"/>
    <col min="13319" max="13319" width="2.5546875" customWidth="1"/>
    <col min="13320" max="13320" width="3" customWidth="1"/>
    <col min="13321" max="13322" width="3.109375" customWidth="1"/>
    <col min="13323" max="13323" width="2.44140625" customWidth="1"/>
    <col min="13324" max="13324" width="2.88671875" customWidth="1"/>
    <col min="13325" max="13325" width="0.6640625" customWidth="1"/>
    <col min="13326" max="13326" width="5.33203125" customWidth="1"/>
    <col min="13327" max="13327" width="10.5546875" customWidth="1"/>
    <col min="13328" max="13328" width="5.109375" customWidth="1"/>
    <col min="13329" max="13329" width="7.44140625" customWidth="1"/>
    <col min="13330" max="13330" width="6.6640625" customWidth="1"/>
    <col min="13331" max="13331" width="4.33203125" customWidth="1"/>
    <col min="13332" max="13332" width="2" customWidth="1"/>
    <col min="13333" max="13334" width="2.6640625" customWidth="1"/>
    <col min="13335" max="13336" width="2.109375" customWidth="1"/>
    <col min="13337" max="13337" width="4.6640625" customWidth="1"/>
    <col min="13338" max="13338" width="1.6640625" customWidth="1"/>
    <col min="13339" max="13339" width="6.6640625" customWidth="1"/>
    <col min="13340" max="13341" width="1.88671875" customWidth="1"/>
    <col min="13342" max="13342" width="3" customWidth="1"/>
    <col min="13343" max="13343" width="4" customWidth="1"/>
    <col min="13344" max="13344" width="4.33203125" customWidth="1"/>
    <col min="13345" max="13345" width="1.109375" customWidth="1"/>
    <col min="13346" max="13347" width="4.33203125" customWidth="1"/>
    <col min="13348" max="13348" width="5" customWidth="1"/>
    <col min="13349" max="13349" width="1.33203125" customWidth="1"/>
    <col min="13569" max="13569" width="0.6640625" customWidth="1"/>
    <col min="13570" max="13570" width="3.88671875" customWidth="1"/>
    <col min="13571" max="13571" width="4" customWidth="1"/>
    <col min="13572" max="13572" width="2.44140625" customWidth="1"/>
    <col min="13573" max="13573" width="1.6640625" customWidth="1"/>
    <col min="13574" max="13574" width="11" customWidth="1"/>
    <col min="13575" max="13575" width="2.5546875" customWidth="1"/>
    <col min="13576" max="13576" width="3" customWidth="1"/>
    <col min="13577" max="13578" width="3.109375" customWidth="1"/>
    <col min="13579" max="13579" width="2.44140625" customWidth="1"/>
    <col min="13580" max="13580" width="2.88671875" customWidth="1"/>
    <col min="13581" max="13581" width="0.6640625" customWidth="1"/>
    <col min="13582" max="13582" width="5.33203125" customWidth="1"/>
    <col min="13583" max="13583" width="10.5546875" customWidth="1"/>
    <col min="13584" max="13584" width="5.109375" customWidth="1"/>
    <col min="13585" max="13585" width="7.44140625" customWidth="1"/>
    <col min="13586" max="13586" width="6.6640625" customWidth="1"/>
    <col min="13587" max="13587" width="4.33203125" customWidth="1"/>
    <col min="13588" max="13588" width="2" customWidth="1"/>
    <col min="13589" max="13590" width="2.6640625" customWidth="1"/>
    <col min="13591" max="13592" width="2.109375" customWidth="1"/>
    <col min="13593" max="13593" width="4.6640625" customWidth="1"/>
    <col min="13594" max="13594" width="1.6640625" customWidth="1"/>
    <col min="13595" max="13595" width="6.6640625" customWidth="1"/>
    <col min="13596" max="13597" width="1.88671875" customWidth="1"/>
    <col min="13598" max="13598" width="3" customWidth="1"/>
    <col min="13599" max="13599" width="4" customWidth="1"/>
    <col min="13600" max="13600" width="4.33203125" customWidth="1"/>
    <col min="13601" max="13601" width="1.109375" customWidth="1"/>
    <col min="13602" max="13603" width="4.33203125" customWidth="1"/>
    <col min="13604" max="13604" width="5" customWidth="1"/>
    <col min="13605" max="13605" width="1.33203125" customWidth="1"/>
    <col min="13825" max="13825" width="0.6640625" customWidth="1"/>
    <col min="13826" max="13826" width="3.88671875" customWidth="1"/>
    <col min="13827" max="13827" width="4" customWidth="1"/>
    <col min="13828" max="13828" width="2.44140625" customWidth="1"/>
    <col min="13829" max="13829" width="1.6640625" customWidth="1"/>
    <col min="13830" max="13830" width="11" customWidth="1"/>
    <col min="13831" max="13831" width="2.5546875" customWidth="1"/>
    <col min="13832" max="13832" width="3" customWidth="1"/>
    <col min="13833" max="13834" width="3.109375" customWidth="1"/>
    <col min="13835" max="13835" width="2.44140625" customWidth="1"/>
    <col min="13836" max="13836" width="2.88671875" customWidth="1"/>
    <col min="13837" max="13837" width="0.6640625" customWidth="1"/>
    <col min="13838" max="13838" width="5.33203125" customWidth="1"/>
    <col min="13839" max="13839" width="10.5546875" customWidth="1"/>
    <col min="13840" max="13840" width="5.109375" customWidth="1"/>
    <col min="13841" max="13841" width="7.44140625" customWidth="1"/>
    <col min="13842" max="13842" width="6.6640625" customWidth="1"/>
    <col min="13843" max="13843" width="4.33203125" customWidth="1"/>
    <col min="13844" max="13844" width="2" customWidth="1"/>
    <col min="13845" max="13846" width="2.6640625" customWidth="1"/>
    <col min="13847" max="13848" width="2.109375" customWidth="1"/>
    <col min="13849" max="13849" width="4.6640625" customWidth="1"/>
    <col min="13850" max="13850" width="1.6640625" customWidth="1"/>
    <col min="13851" max="13851" width="6.6640625" customWidth="1"/>
    <col min="13852" max="13853" width="1.88671875" customWidth="1"/>
    <col min="13854" max="13854" width="3" customWidth="1"/>
    <col min="13855" max="13855" width="4" customWidth="1"/>
    <col min="13856" max="13856" width="4.33203125" customWidth="1"/>
    <col min="13857" max="13857" width="1.109375" customWidth="1"/>
    <col min="13858" max="13859" width="4.33203125" customWidth="1"/>
    <col min="13860" max="13860" width="5" customWidth="1"/>
    <col min="13861" max="13861" width="1.33203125" customWidth="1"/>
    <col min="14081" max="14081" width="0.6640625" customWidth="1"/>
    <col min="14082" max="14082" width="3.88671875" customWidth="1"/>
    <col min="14083" max="14083" width="4" customWidth="1"/>
    <col min="14084" max="14084" width="2.44140625" customWidth="1"/>
    <col min="14085" max="14085" width="1.6640625" customWidth="1"/>
    <col min="14086" max="14086" width="11" customWidth="1"/>
    <col min="14087" max="14087" width="2.5546875" customWidth="1"/>
    <col min="14088" max="14088" width="3" customWidth="1"/>
    <col min="14089" max="14090" width="3.109375" customWidth="1"/>
    <col min="14091" max="14091" width="2.44140625" customWidth="1"/>
    <col min="14092" max="14092" width="2.88671875" customWidth="1"/>
    <col min="14093" max="14093" width="0.6640625" customWidth="1"/>
    <col min="14094" max="14094" width="5.33203125" customWidth="1"/>
    <col min="14095" max="14095" width="10.5546875" customWidth="1"/>
    <col min="14096" max="14096" width="5.109375" customWidth="1"/>
    <col min="14097" max="14097" width="7.44140625" customWidth="1"/>
    <col min="14098" max="14098" width="6.6640625" customWidth="1"/>
    <col min="14099" max="14099" width="4.33203125" customWidth="1"/>
    <col min="14100" max="14100" width="2" customWidth="1"/>
    <col min="14101" max="14102" width="2.6640625" customWidth="1"/>
    <col min="14103" max="14104" width="2.109375" customWidth="1"/>
    <col min="14105" max="14105" width="4.6640625" customWidth="1"/>
    <col min="14106" max="14106" width="1.6640625" customWidth="1"/>
    <col min="14107" max="14107" width="6.6640625" customWidth="1"/>
    <col min="14108" max="14109" width="1.88671875" customWidth="1"/>
    <col min="14110" max="14110" width="3" customWidth="1"/>
    <col min="14111" max="14111" width="4" customWidth="1"/>
    <col min="14112" max="14112" width="4.33203125" customWidth="1"/>
    <col min="14113" max="14113" width="1.109375" customWidth="1"/>
    <col min="14114" max="14115" width="4.33203125" customWidth="1"/>
    <col min="14116" max="14116" width="5" customWidth="1"/>
    <col min="14117" max="14117" width="1.33203125" customWidth="1"/>
    <col min="14337" max="14337" width="0.6640625" customWidth="1"/>
    <col min="14338" max="14338" width="3.88671875" customWidth="1"/>
    <col min="14339" max="14339" width="4" customWidth="1"/>
    <col min="14340" max="14340" width="2.44140625" customWidth="1"/>
    <col min="14341" max="14341" width="1.6640625" customWidth="1"/>
    <col min="14342" max="14342" width="11" customWidth="1"/>
    <col min="14343" max="14343" width="2.5546875" customWidth="1"/>
    <col min="14344" max="14344" width="3" customWidth="1"/>
    <col min="14345" max="14346" width="3.109375" customWidth="1"/>
    <col min="14347" max="14347" width="2.44140625" customWidth="1"/>
    <col min="14348" max="14348" width="2.88671875" customWidth="1"/>
    <col min="14349" max="14349" width="0.6640625" customWidth="1"/>
    <col min="14350" max="14350" width="5.33203125" customWidth="1"/>
    <col min="14351" max="14351" width="10.5546875" customWidth="1"/>
    <col min="14352" max="14352" width="5.109375" customWidth="1"/>
    <col min="14353" max="14353" width="7.44140625" customWidth="1"/>
    <col min="14354" max="14354" width="6.6640625" customWidth="1"/>
    <col min="14355" max="14355" width="4.33203125" customWidth="1"/>
    <col min="14356" max="14356" width="2" customWidth="1"/>
    <col min="14357" max="14358" width="2.6640625" customWidth="1"/>
    <col min="14359" max="14360" width="2.109375" customWidth="1"/>
    <col min="14361" max="14361" width="4.6640625" customWidth="1"/>
    <col min="14362" max="14362" width="1.6640625" customWidth="1"/>
    <col min="14363" max="14363" width="6.6640625" customWidth="1"/>
    <col min="14364" max="14365" width="1.88671875" customWidth="1"/>
    <col min="14366" max="14366" width="3" customWidth="1"/>
    <col min="14367" max="14367" width="4" customWidth="1"/>
    <col min="14368" max="14368" width="4.33203125" customWidth="1"/>
    <col min="14369" max="14369" width="1.109375" customWidth="1"/>
    <col min="14370" max="14371" width="4.33203125" customWidth="1"/>
    <col min="14372" max="14372" width="5" customWidth="1"/>
    <col min="14373" max="14373" width="1.33203125" customWidth="1"/>
    <col min="14593" max="14593" width="0.6640625" customWidth="1"/>
    <col min="14594" max="14594" width="3.88671875" customWidth="1"/>
    <col min="14595" max="14595" width="4" customWidth="1"/>
    <col min="14596" max="14596" width="2.44140625" customWidth="1"/>
    <col min="14597" max="14597" width="1.6640625" customWidth="1"/>
    <col min="14598" max="14598" width="11" customWidth="1"/>
    <col min="14599" max="14599" width="2.5546875" customWidth="1"/>
    <col min="14600" max="14600" width="3" customWidth="1"/>
    <col min="14601" max="14602" width="3.109375" customWidth="1"/>
    <col min="14603" max="14603" width="2.44140625" customWidth="1"/>
    <col min="14604" max="14604" width="2.88671875" customWidth="1"/>
    <col min="14605" max="14605" width="0.6640625" customWidth="1"/>
    <col min="14606" max="14606" width="5.33203125" customWidth="1"/>
    <col min="14607" max="14607" width="10.5546875" customWidth="1"/>
    <col min="14608" max="14608" width="5.109375" customWidth="1"/>
    <col min="14609" max="14609" width="7.44140625" customWidth="1"/>
    <col min="14610" max="14610" width="6.6640625" customWidth="1"/>
    <col min="14611" max="14611" width="4.33203125" customWidth="1"/>
    <col min="14612" max="14612" width="2" customWidth="1"/>
    <col min="14613" max="14614" width="2.6640625" customWidth="1"/>
    <col min="14615" max="14616" width="2.109375" customWidth="1"/>
    <col min="14617" max="14617" width="4.6640625" customWidth="1"/>
    <col min="14618" max="14618" width="1.6640625" customWidth="1"/>
    <col min="14619" max="14619" width="6.6640625" customWidth="1"/>
    <col min="14620" max="14621" width="1.88671875" customWidth="1"/>
    <col min="14622" max="14622" width="3" customWidth="1"/>
    <col min="14623" max="14623" width="4" customWidth="1"/>
    <col min="14624" max="14624" width="4.33203125" customWidth="1"/>
    <col min="14625" max="14625" width="1.109375" customWidth="1"/>
    <col min="14626" max="14627" width="4.33203125" customWidth="1"/>
    <col min="14628" max="14628" width="5" customWidth="1"/>
    <col min="14629" max="14629" width="1.33203125" customWidth="1"/>
    <col min="14849" max="14849" width="0.6640625" customWidth="1"/>
    <col min="14850" max="14850" width="3.88671875" customWidth="1"/>
    <col min="14851" max="14851" width="4" customWidth="1"/>
    <col min="14852" max="14852" width="2.44140625" customWidth="1"/>
    <col min="14853" max="14853" width="1.6640625" customWidth="1"/>
    <col min="14854" max="14854" width="11" customWidth="1"/>
    <col min="14855" max="14855" width="2.5546875" customWidth="1"/>
    <col min="14856" max="14856" width="3" customWidth="1"/>
    <col min="14857" max="14858" width="3.109375" customWidth="1"/>
    <col min="14859" max="14859" width="2.44140625" customWidth="1"/>
    <col min="14860" max="14860" width="2.88671875" customWidth="1"/>
    <col min="14861" max="14861" width="0.6640625" customWidth="1"/>
    <col min="14862" max="14862" width="5.33203125" customWidth="1"/>
    <col min="14863" max="14863" width="10.5546875" customWidth="1"/>
    <col min="14864" max="14864" width="5.109375" customWidth="1"/>
    <col min="14865" max="14865" width="7.44140625" customWidth="1"/>
    <col min="14866" max="14866" width="6.6640625" customWidth="1"/>
    <col min="14867" max="14867" width="4.33203125" customWidth="1"/>
    <col min="14868" max="14868" width="2" customWidth="1"/>
    <col min="14869" max="14870" width="2.6640625" customWidth="1"/>
    <col min="14871" max="14872" width="2.109375" customWidth="1"/>
    <col min="14873" max="14873" width="4.6640625" customWidth="1"/>
    <col min="14874" max="14874" width="1.6640625" customWidth="1"/>
    <col min="14875" max="14875" width="6.6640625" customWidth="1"/>
    <col min="14876" max="14877" width="1.88671875" customWidth="1"/>
    <col min="14878" max="14878" width="3" customWidth="1"/>
    <col min="14879" max="14879" width="4" customWidth="1"/>
    <col min="14880" max="14880" width="4.33203125" customWidth="1"/>
    <col min="14881" max="14881" width="1.109375" customWidth="1"/>
    <col min="14882" max="14883" width="4.33203125" customWidth="1"/>
    <col min="14884" max="14884" width="5" customWidth="1"/>
    <col min="14885" max="14885" width="1.33203125" customWidth="1"/>
    <col min="15105" max="15105" width="0.6640625" customWidth="1"/>
    <col min="15106" max="15106" width="3.88671875" customWidth="1"/>
    <col min="15107" max="15107" width="4" customWidth="1"/>
    <col min="15108" max="15108" width="2.44140625" customWidth="1"/>
    <col min="15109" max="15109" width="1.6640625" customWidth="1"/>
    <col min="15110" max="15110" width="11" customWidth="1"/>
    <col min="15111" max="15111" width="2.5546875" customWidth="1"/>
    <col min="15112" max="15112" width="3" customWidth="1"/>
    <col min="15113" max="15114" width="3.109375" customWidth="1"/>
    <col min="15115" max="15115" width="2.44140625" customWidth="1"/>
    <col min="15116" max="15116" width="2.88671875" customWidth="1"/>
    <col min="15117" max="15117" width="0.6640625" customWidth="1"/>
    <col min="15118" max="15118" width="5.33203125" customWidth="1"/>
    <col min="15119" max="15119" width="10.5546875" customWidth="1"/>
    <col min="15120" max="15120" width="5.109375" customWidth="1"/>
    <col min="15121" max="15121" width="7.44140625" customWidth="1"/>
    <col min="15122" max="15122" width="6.6640625" customWidth="1"/>
    <col min="15123" max="15123" width="4.33203125" customWidth="1"/>
    <col min="15124" max="15124" width="2" customWidth="1"/>
    <col min="15125" max="15126" width="2.6640625" customWidth="1"/>
    <col min="15127" max="15128" width="2.109375" customWidth="1"/>
    <col min="15129" max="15129" width="4.6640625" customWidth="1"/>
    <col min="15130" max="15130" width="1.6640625" customWidth="1"/>
    <col min="15131" max="15131" width="6.6640625" customWidth="1"/>
    <col min="15132" max="15133" width="1.88671875" customWidth="1"/>
    <col min="15134" max="15134" width="3" customWidth="1"/>
    <col min="15135" max="15135" width="4" customWidth="1"/>
    <col min="15136" max="15136" width="4.33203125" customWidth="1"/>
    <col min="15137" max="15137" width="1.109375" customWidth="1"/>
    <col min="15138" max="15139" width="4.33203125" customWidth="1"/>
    <col min="15140" max="15140" width="5" customWidth="1"/>
    <col min="15141" max="15141" width="1.33203125" customWidth="1"/>
    <col min="15361" max="15361" width="0.6640625" customWidth="1"/>
    <col min="15362" max="15362" width="3.88671875" customWidth="1"/>
    <col min="15363" max="15363" width="4" customWidth="1"/>
    <col min="15364" max="15364" width="2.44140625" customWidth="1"/>
    <col min="15365" max="15365" width="1.6640625" customWidth="1"/>
    <col min="15366" max="15366" width="11" customWidth="1"/>
    <col min="15367" max="15367" width="2.5546875" customWidth="1"/>
    <col min="15368" max="15368" width="3" customWidth="1"/>
    <col min="15369" max="15370" width="3.109375" customWidth="1"/>
    <col min="15371" max="15371" width="2.44140625" customWidth="1"/>
    <col min="15372" max="15372" width="2.88671875" customWidth="1"/>
    <col min="15373" max="15373" width="0.6640625" customWidth="1"/>
    <col min="15374" max="15374" width="5.33203125" customWidth="1"/>
    <col min="15375" max="15375" width="10.5546875" customWidth="1"/>
    <col min="15376" max="15376" width="5.109375" customWidth="1"/>
    <col min="15377" max="15377" width="7.44140625" customWidth="1"/>
    <col min="15378" max="15378" width="6.6640625" customWidth="1"/>
    <col min="15379" max="15379" width="4.33203125" customWidth="1"/>
    <col min="15380" max="15380" width="2" customWidth="1"/>
    <col min="15381" max="15382" width="2.6640625" customWidth="1"/>
    <col min="15383" max="15384" width="2.109375" customWidth="1"/>
    <col min="15385" max="15385" width="4.6640625" customWidth="1"/>
    <col min="15386" max="15386" width="1.6640625" customWidth="1"/>
    <col min="15387" max="15387" width="6.6640625" customWidth="1"/>
    <col min="15388" max="15389" width="1.88671875" customWidth="1"/>
    <col min="15390" max="15390" width="3" customWidth="1"/>
    <col min="15391" max="15391" width="4" customWidth="1"/>
    <col min="15392" max="15392" width="4.33203125" customWidth="1"/>
    <col min="15393" max="15393" width="1.109375" customWidth="1"/>
    <col min="15394" max="15395" width="4.33203125" customWidth="1"/>
    <col min="15396" max="15396" width="5" customWidth="1"/>
    <col min="15397" max="15397" width="1.33203125" customWidth="1"/>
    <col min="15617" max="15617" width="0.6640625" customWidth="1"/>
    <col min="15618" max="15618" width="3.88671875" customWidth="1"/>
    <col min="15619" max="15619" width="4" customWidth="1"/>
    <col min="15620" max="15620" width="2.44140625" customWidth="1"/>
    <col min="15621" max="15621" width="1.6640625" customWidth="1"/>
    <col min="15622" max="15622" width="11" customWidth="1"/>
    <col min="15623" max="15623" width="2.5546875" customWidth="1"/>
    <col min="15624" max="15624" width="3" customWidth="1"/>
    <col min="15625" max="15626" width="3.109375" customWidth="1"/>
    <col min="15627" max="15627" width="2.44140625" customWidth="1"/>
    <col min="15628" max="15628" width="2.88671875" customWidth="1"/>
    <col min="15629" max="15629" width="0.6640625" customWidth="1"/>
    <col min="15630" max="15630" width="5.33203125" customWidth="1"/>
    <col min="15631" max="15631" width="10.5546875" customWidth="1"/>
    <col min="15632" max="15632" width="5.109375" customWidth="1"/>
    <col min="15633" max="15633" width="7.44140625" customWidth="1"/>
    <col min="15634" max="15634" width="6.6640625" customWidth="1"/>
    <col min="15635" max="15635" width="4.33203125" customWidth="1"/>
    <col min="15636" max="15636" width="2" customWidth="1"/>
    <col min="15637" max="15638" width="2.6640625" customWidth="1"/>
    <col min="15639" max="15640" width="2.109375" customWidth="1"/>
    <col min="15641" max="15641" width="4.6640625" customWidth="1"/>
    <col min="15642" max="15642" width="1.6640625" customWidth="1"/>
    <col min="15643" max="15643" width="6.6640625" customWidth="1"/>
    <col min="15644" max="15645" width="1.88671875" customWidth="1"/>
    <col min="15646" max="15646" width="3" customWidth="1"/>
    <col min="15647" max="15647" width="4" customWidth="1"/>
    <col min="15648" max="15648" width="4.33203125" customWidth="1"/>
    <col min="15649" max="15649" width="1.109375" customWidth="1"/>
    <col min="15650" max="15651" width="4.33203125" customWidth="1"/>
    <col min="15652" max="15652" width="5" customWidth="1"/>
    <col min="15653" max="15653" width="1.33203125" customWidth="1"/>
    <col min="15873" max="15873" width="0.6640625" customWidth="1"/>
    <col min="15874" max="15874" width="3.88671875" customWidth="1"/>
    <col min="15875" max="15875" width="4" customWidth="1"/>
    <col min="15876" max="15876" width="2.44140625" customWidth="1"/>
    <col min="15877" max="15877" width="1.6640625" customWidth="1"/>
    <col min="15878" max="15878" width="11" customWidth="1"/>
    <col min="15879" max="15879" width="2.5546875" customWidth="1"/>
    <col min="15880" max="15880" width="3" customWidth="1"/>
    <col min="15881" max="15882" width="3.109375" customWidth="1"/>
    <col min="15883" max="15883" width="2.44140625" customWidth="1"/>
    <col min="15884" max="15884" width="2.88671875" customWidth="1"/>
    <col min="15885" max="15885" width="0.6640625" customWidth="1"/>
    <col min="15886" max="15886" width="5.33203125" customWidth="1"/>
    <col min="15887" max="15887" width="10.5546875" customWidth="1"/>
    <col min="15888" max="15888" width="5.109375" customWidth="1"/>
    <col min="15889" max="15889" width="7.44140625" customWidth="1"/>
    <col min="15890" max="15890" width="6.6640625" customWidth="1"/>
    <col min="15891" max="15891" width="4.33203125" customWidth="1"/>
    <col min="15892" max="15892" width="2" customWidth="1"/>
    <col min="15893" max="15894" width="2.6640625" customWidth="1"/>
    <col min="15895" max="15896" width="2.109375" customWidth="1"/>
    <col min="15897" max="15897" width="4.6640625" customWidth="1"/>
    <col min="15898" max="15898" width="1.6640625" customWidth="1"/>
    <col min="15899" max="15899" width="6.6640625" customWidth="1"/>
    <col min="15900" max="15901" width="1.88671875" customWidth="1"/>
    <col min="15902" max="15902" width="3" customWidth="1"/>
    <col min="15903" max="15903" width="4" customWidth="1"/>
    <col min="15904" max="15904" width="4.33203125" customWidth="1"/>
    <col min="15905" max="15905" width="1.109375" customWidth="1"/>
    <col min="15906" max="15907" width="4.33203125" customWidth="1"/>
    <col min="15908" max="15908" width="5" customWidth="1"/>
    <col min="15909" max="15909" width="1.33203125" customWidth="1"/>
    <col min="16129" max="16129" width="0.6640625" customWidth="1"/>
    <col min="16130" max="16130" width="3.88671875" customWidth="1"/>
    <col min="16131" max="16131" width="4" customWidth="1"/>
    <col min="16132" max="16132" width="2.44140625" customWidth="1"/>
    <col min="16133" max="16133" width="1.6640625" customWidth="1"/>
    <col min="16134" max="16134" width="11" customWidth="1"/>
    <col min="16135" max="16135" width="2.5546875" customWidth="1"/>
    <col min="16136" max="16136" width="3" customWidth="1"/>
    <col min="16137" max="16138" width="3.109375" customWidth="1"/>
    <col min="16139" max="16139" width="2.44140625" customWidth="1"/>
    <col min="16140" max="16140" width="2.88671875" customWidth="1"/>
    <col min="16141" max="16141" width="0.6640625" customWidth="1"/>
    <col min="16142" max="16142" width="5.33203125" customWidth="1"/>
    <col min="16143" max="16143" width="10.5546875" customWidth="1"/>
    <col min="16144" max="16144" width="5.109375" customWidth="1"/>
    <col min="16145" max="16145" width="7.44140625" customWidth="1"/>
    <col min="16146" max="16146" width="6.6640625" customWidth="1"/>
    <col min="16147" max="16147" width="4.33203125" customWidth="1"/>
    <col min="16148" max="16148" width="2" customWidth="1"/>
    <col min="16149" max="16150" width="2.6640625" customWidth="1"/>
    <col min="16151" max="16152" width="2.109375" customWidth="1"/>
    <col min="16153" max="16153" width="4.6640625" customWidth="1"/>
    <col min="16154" max="16154" width="1.6640625" customWidth="1"/>
    <col min="16155" max="16155" width="6.6640625" customWidth="1"/>
    <col min="16156" max="16157" width="1.88671875" customWidth="1"/>
    <col min="16158" max="16158" width="3" customWidth="1"/>
    <col min="16159" max="16159" width="4" customWidth="1"/>
    <col min="16160" max="16160" width="4.33203125" customWidth="1"/>
    <col min="16161" max="16161" width="1.109375" customWidth="1"/>
    <col min="16162" max="16163" width="4.33203125" customWidth="1"/>
    <col min="16164" max="16164" width="5" customWidth="1"/>
    <col min="16165" max="16165" width="1.33203125" customWidth="1"/>
  </cols>
  <sheetData>
    <row r="1" spans="1:37" ht="13.5" customHeight="1">
      <c r="A1" s="595"/>
      <c r="B1" s="595"/>
      <c r="C1" s="595"/>
      <c r="D1" s="595"/>
      <c r="E1" s="595"/>
      <c r="F1" s="595"/>
      <c r="G1" s="595"/>
      <c r="H1" s="595"/>
      <c r="I1" s="595"/>
      <c r="J1" s="595"/>
      <c r="K1" s="595"/>
      <c r="L1" s="595"/>
      <c r="M1" s="595"/>
      <c r="N1" s="595"/>
      <c r="O1" s="595"/>
      <c r="P1" s="595"/>
      <c r="Q1" s="812"/>
      <c r="R1" s="812"/>
      <c r="S1" s="812"/>
      <c r="T1" s="595"/>
      <c r="U1" s="595"/>
      <c r="V1" s="595"/>
      <c r="W1" s="595"/>
      <c r="X1" s="595"/>
      <c r="Y1" s="595"/>
      <c r="Z1" s="595"/>
      <c r="AA1" s="595"/>
      <c r="AB1" s="595"/>
      <c r="AC1" s="595"/>
      <c r="AD1" s="595"/>
      <c r="AE1" s="595"/>
      <c r="AF1" s="595"/>
      <c r="AG1" s="595"/>
      <c r="AH1" s="3434" t="str">
        <f>'addl. exc.comments'!AH1</f>
        <v>700-010-84</v>
      </c>
      <c r="AI1" s="3435"/>
      <c r="AJ1" s="3435"/>
      <c r="AK1" s="595"/>
    </row>
    <row r="2" spans="1:37" ht="12.75" customHeight="1">
      <c r="A2" s="595"/>
      <c r="B2" s="595"/>
      <c r="C2" s="595"/>
      <c r="D2" s="1833" t="s">
        <v>933</v>
      </c>
      <c r="E2" s="1833"/>
      <c r="F2" s="1833"/>
      <c r="G2" s="1833"/>
      <c r="H2" s="1833"/>
      <c r="I2" s="1833"/>
      <c r="J2" s="1833"/>
      <c r="K2" s="1833"/>
      <c r="L2" s="1833"/>
      <c r="M2" s="1833"/>
      <c r="N2" s="1833"/>
      <c r="O2" s="1833"/>
      <c r="P2" s="1833"/>
      <c r="Q2" s="1833"/>
      <c r="R2" s="1833"/>
      <c r="S2" s="1833"/>
      <c r="T2" s="1833"/>
      <c r="U2" s="1833"/>
      <c r="V2" s="1833"/>
      <c r="W2" s="1833"/>
      <c r="X2" s="1833"/>
      <c r="Y2" s="1833"/>
      <c r="Z2" s="1833"/>
      <c r="AA2" s="1833"/>
      <c r="AB2" s="1833"/>
      <c r="AC2" s="1833"/>
      <c r="AD2" s="1833"/>
      <c r="AE2" s="1833"/>
      <c r="AF2" s="1833"/>
      <c r="AG2" s="869"/>
      <c r="AH2" s="3436" t="s">
        <v>8</v>
      </c>
      <c r="AI2" s="3437"/>
      <c r="AJ2" s="3437"/>
      <c r="AK2" s="595"/>
    </row>
    <row r="3" spans="1:37" ht="21.75" customHeight="1">
      <c r="A3" s="595"/>
      <c r="B3" s="595"/>
      <c r="C3" s="595"/>
      <c r="D3" s="1834" t="s">
        <v>961</v>
      </c>
      <c r="E3" s="1835"/>
      <c r="F3" s="1835"/>
      <c r="G3" s="1835"/>
      <c r="H3" s="1835"/>
      <c r="I3" s="1835"/>
      <c r="J3" s="1835"/>
      <c r="K3" s="1835"/>
      <c r="L3" s="1835"/>
      <c r="M3" s="1835"/>
      <c r="N3" s="1835"/>
      <c r="O3" s="1835"/>
      <c r="P3" s="1835"/>
      <c r="Q3" s="1835"/>
      <c r="R3" s="1835"/>
      <c r="S3" s="1835"/>
      <c r="T3" s="1835"/>
      <c r="U3" s="1835"/>
      <c r="V3" s="1835"/>
      <c r="W3" s="1835"/>
      <c r="X3" s="1835"/>
      <c r="Y3" s="1835"/>
      <c r="Z3" s="1835"/>
      <c r="AA3" s="1835"/>
      <c r="AB3" s="1835"/>
      <c r="AC3" s="1835"/>
      <c r="AD3" s="1835"/>
      <c r="AE3" s="1835"/>
      <c r="AF3" s="1835"/>
      <c r="AG3" s="596"/>
      <c r="AH3" s="931"/>
      <c r="AI3" s="3438">
        <f>'addl. exc.comments'!AI3</f>
        <v>45222</v>
      </c>
      <c r="AJ3" s="3439"/>
      <c r="AK3" s="595"/>
    </row>
    <row r="4" spans="1:37" ht="15" customHeight="1" thickBot="1">
      <c r="A4" s="595"/>
      <c r="B4" s="595"/>
      <c r="C4" s="595"/>
      <c r="D4" s="595"/>
      <c r="E4" s="1838"/>
      <c r="F4" s="1838"/>
      <c r="G4" s="1838"/>
      <c r="H4" s="1838"/>
      <c r="I4" s="1838"/>
      <c r="J4" s="1838"/>
      <c r="K4" s="1838"/>
      <c r="L4" s="1838"/>
      <c r="M4" s="1838"/>
      <c r="N4" s="1838"/>
      <c r="O4" s="1838"/>
      <c r="P4" s="1838"/>
      <c r="Q4" s="1838"/>
      <c r="R4" s="1838"/>
      <c r="S4" s="1838"/>
      <c r="T4" s="1838"/>
      <c r="U4" s="1838"/>
      <c r="V4" s="1838"/>
      <c r="W4" s="1838"/>
      <c r="X4" s="1838"/>
      <c r="Y4" s="1838"/>
      <c r="Z4" s="1838"/>
      <c r="AA4" s="1838"/>
      <c r="AB4" s="1838"/>
      <c r="AC4" s="1838"/>
      <c r="AD4" s="1838"/>
      <c r="AE4" s="1838"/>
      <c r="AF4" s="1838"/>
      <c r="AG4" s="872"/>
      <c r="AH4" s="872"/>
      <c r="AI4" s="846"/>
      <c r="AJ4" s="595"/>
      <c r="AK4" s="595"/>
    </row>
    <row r="5" spans="1:37" ht="18" customHeight="1" thickTop="1">
      <c r="A5" s="595"/>
      <c r="B5" s="845"/>
      <c r="C5" s="876"/>
      <c r="D5" s="876"/>
      <c r="E5" s="876"/>
      <c r="F5" s="876"/>
      <c r="G5" s="876"/>
      <c r="H5" s="876"/>
      <c r="I5" s="876"/>
      <c r="J5" s="876"/>
      <c r="K5" s="876"/>
      <c r="L5" s="876"/>
      <c r="M5" s="876"/>
      <c r="N5" s="876"/>
      <c r="O5" s="876"/>
      <c r="P5" s="876"/>
      <c r="Q5" s="877"/>
      <c r="R5" s="877"/>
      <c r="S5" s="877"/>
      <c r="T5" s="876"/>
      <c r="U5" s="876"/>
      <c r="V5" s="876"/>
      <c r="W5" s="876"/>
      <c r="X5" s="876"/>
      <c r="Y5" s="876"/>
      <c r="Z5" s="876"/>
      <c r="AA5" s="876"/>
      <c r="AB5" s="876"/>
      <c r="AC5" s="876"/>
      <c r="AD5" s="876"/>
      <c r="AE5" s="876"/>
      <c r="AF5" s="876"/>
      <c r="AG5" s="876"/>
      <c r="AH5" s="876"/>
      <c r="AI5" s="876"/>
      <c r="AJ5" s="878"/>
      <c r="AK5" s="595"/>
    </row>
    <row r="6" spans="1:37" ht="18" customHeight="1" thickBot="1">
      <c r="A6" s="595"/>
      <c r="B6" s="841"/>
      <c r="C6" s="840"/>
      <c r="D6" s="840"/>
      <c r="E6" s="840"/>
      <c r="F6" s="840"/>
      <c r="G6" s="840"/>
      <c r="H6" s="840"/>
      <c r="I6" s="840"/>
      <c r="J6" s="840"/>
      <c r="K6" s="840"/>
      <c r="L6" s="840"/>
      <c r="M6" s="840"/>
      <c r="N6" s="840"/>
      <c r="O6" s="840"/>
      <c r="P6" s="840"/>
      <c r="Q6" s="873"/>
      <c r="R6" s="873"/>
      <c r="S6" s="873"/>
      <c r="T6" s="840"/>
      <c r="U6" s="1843" t="s">
        <v>10</v>
      </c>
      <c r="V6" s="1843"/>
      <c r="W6" s="1843"/>
      <c r="X6" s="1843"/>
      <c r="Y6" s="1843"/>
      <c r="Z6" s="1841"/>
      <c r="AA6" s="1841"/>
      <c r="AB6" s="871"/>
      <c r="AC6" s="871"/>
      <c r="AD6" s="3413"/>
      <c r="AE6" s="3413"/>
      <c r="AF6" s="1850" t="s">
        <v>981</v>
      </c>
      <c r="AG6" s="1850"/>
      <c r="AH6" s="3413"/>
      <c r="AI6" s="3413"/>
      <c r="AJ6" s="827"/>
      <c r="AK6" s="595"/>
    </row>
    <row r="7" spans="1:37" ht="18" customHeight="1" thickBot="1">
      <c r="A7" s="595"/>
      <c r="B7" s="841"/>
      <c r="C7" s="1843" t="s">
        <v>669</v>
      </c>
      <c r="D7" s="1843"/>
      <c r="E7" s="1843"/>
      <c r="F7" s="1843"/>
      <c r="G7" s="3433" t="str">
        <f>IF('DS Log Pg 1'!D7="","",'DS Log Pg 1'!D7)</f>
        <v/>
      </c>
      <c r="H7" s="3433"/>
      <c r="I7" s="3433"/>
      <c r="J7" s="3433"/>
      <c r="K7" s="3433"/>
      <c r="L7" s="3433"/>
      <c r="M7" s="3433"/>
      <c r="N7" s="3433"/>
      <c r="O7" s="3433"/>
      <c r="P7" s="3433"/>
      <c r="Q7" s="3433"/>
      <c r="R7" s="3433"/>
      <c r="S7" s="3433"/>
      <c r="T7" s="873"/>
      <c r="U7" s="1843" t="s">
        <v>670</v>
      </c>
      <c r="V7" s="1843"/>
      <c r="W7" s="1843"/>
      <c r="X7" s="1843"/>
      <c r="Y7" s="1843"/>
      <c r="Z7" s="1843"/>
      <c r="AA7" s="1843"/>
      <c r="AB7" s="870"/>
      <c r="AC7" s="870"/>
      <c r="AD7" s="3432" t="str">
        <f>IF('DS Log Pg 1'!S7="","",'DS Log Pg 1'!S7)</f>
        <v/>
      </c>
      <c r="AE7" s="3432"/>
      <c r="AF7" s="3432"/>
      <c r="AG7" s="3432"/>
      <c r="AH7" s="3432"/>
      <c r="AI7" s="3432"/>
      <c r="AJ7" s="827"/>
      <c r="AK7" s="595"/>
    </row>
    <row r="8" spans="1:37" ht="18" customHeight="1" thickBot="1">
      <c r="A8" s="595"/>
      <c r="B8" s="841"/>
      <c r="C8" s="1843" t="s">
        <v>931</v>
      </c>
      <c r="D8" s="1843"/>
      <c r="E8" s="1843"/>
      <c r="F8" s="1843"/>
      <c r="G8" s="3433" t="str">
        <f>IF('DS Log Pg 1'!D8="","",'DS Log Pg 1'!D8)</f>
        <v/>
      </c>
      <c r="H8" s="3433"/>
      <c r="I8" s="3433"/>
      <c r="J8" s="3433"/>
      <c r="K8" s="3433"/>
      <c r="L8" s="3433"/>
      <c r="M8" s="3433"/>
      <c r="N8" s="3433"/>
      <c r="O8" s="3433"/>
      <c r="P8" s="3433"/>
      <c r="Q8" s="3433"/>
      <c r="R8" s="3433"/>
      <c r="S8" s="3433"/>
      <c r="T8" s="873"/>
      <c r="U8" s="1841" t="s">
        <v>671</v>
      </c>
      <c r="V8" s="1841"/>
      <c r="W8" s="1841"/>
      <c r="X8" s="1841"/>
      <c r="Y8" s="1841"/>
      <c r="Z8" s="1841"/>
      <c r="AA8" s="1841"/>
      <c r="AB8" s="871"/>
      <c r="AC8" s="871"/>
      <c r="AD8" s="3432" t="str">
        <f>IF('DS Log Pg 1'!S8="","",'DS Log Pg 1'!S8)</f>
        <v/>
      </c>
      <c r="AE8" s="3432"/>
      <c r="AF8" s="3432"/>
      <c r="AG8" s="3432"/>
      <c r="AH8" s="3432"/>
      <c r="AI8" s="3432"/>
      <c r="AJ8" s="827"/>
      <c r="AK8" s="595"/>
    </row>
    <row r="9" spans="1:37" ht="18" customHeight="1" thickBot="1">
      <c r="A9" s="595"/>
      <c r="B9" s="841"/>
      <c r="C9" s="1843" t="s">
        <v>672</v>
      </c>
      <c r="D9" s="1843"/>
      <c r="E9" s="1843"/>
      <c r="F9" s="1843"/>
      <c r="G9" s="3433" t="str">
        <f>IF('DS Log Pg 1'!D9="","",'DS Log Pg 1'!D9)</f>
        <v/>
      </c>
      <c r="H9" s="3433"/>
      <c r="I9" s="3433"/>
      <c r="J9" s="3433"/>
      <c r="K9" s="3433"/>
      <c r="L9" s="3433"/>
      <c r="M9" s="3433"/>
      <c r="N9" s="3433"/>
      <c r="O9" s="3433"/>
      <c r="P9" s="3433"/>
      <c r="Q9" s="3433"/>
      <c r="R9" s="3433"/>
      <c r="S9" s="3433"/>
      <c r="T9" s="840"/>
      <c r="U9" s="1841" t="s">
        <v>673</v>
      </c>
      <c r="V9" s="1841"/>
      <c r="W9" s="1841"/>
      <c r="X9" s="1841"/>
      <c r="Y9" s="1841"/>
      <c r="Z9" s="1841"/>
      <c r="AA9" s="1841"/>
      <c r="AB9" s="871"/>
      <c r="AC9" s="871"/>
      <c r="AD9" s="3431" t="str">
        <f>IF('DS Log Pg 1'!S9="","",'DS Log Pg 1'!S9)</f>
        <v/>
      </c>
      <c r="AE9" s="3431"/>
      <c r="AF9" s="3431"/>
      <c r="AG9" s="3431"/>
      <c r="AH9" s="3431"/>
      <c r="AI9" s="3431"/>
      <c r="AJ9" s="827"/>
      <c r="AK9" s="595"/>
    </row>
    <row r="10" spans="1:37" ht="18" customHeight="1" thickBot="1">
      <c r="A10" s="595"/>
      <c r="B10" s="841"/>
      <c r="C10" s="1843" t="s">
        <v>930</v>
      </c>
      <c r="D10" s="1843"/>
      <c r="E10" s="1843"/>
      <c r="F10" s="1843"/>
      <c r="G10" s="3428"/>
      <c r="H10" s="3428"/>
      <c r="I10" s="3428"/>
      <c r="J10" s="3428"/>
      <c r="K10" s="3428"/>
      <c r="L10" s="3428"/>
      <c r="M10" s="3428"/>
      <c r="N10" s="873" t="s">
        <v>674</v>
      </c>
      <c r="O10" s="3429"/>
      <c r="P10" s="3429"/>
      <c r="Q10" s="839" t="s">
        <v>675</v>
      </c>
      <c r="R10" s="3430"/>
      <c r="S10" s="3430"/>
      <c r="T10" s="840"/>
      <c r="U10" s="1841" t="s">
        <v>676</v>
      </c>
      <c r="V10" s="1841"/>
      <c r="W10" s="1841"/>
      <c r="X10" s="1841"/>
      <c r="Y10" s="1841"/>
      <c r="Z10" s="1841"/>
      <c r="AA10" s="1841"/>
      <c r="AB10" s="871"/>
      <c r="AC10" s="871"/>
      <c r="AD10" s="3431" t="str">
        <f>IF('DS Log Pg 1'!S10="","",'DS Log Pg 1'!S10)</f>
        <v/>
      </c>
      <c r="AE10" s="3431"/>
      <c r="AF10" s="3431"/>
      <c r="AG10" s="3431"/>
      <c r="AH10" s="3431"/>
      <c r="AI10" s="3431"/>
      <c r="AJ10" s="827"/>
      <c r="AK10" s="595"/>
    </row>
    <row r="11" spans="1:37" ht="18" customHeight="1" thickBot="1">
      <c r="A11" s="595"/>
      <c r="B11" s="841"/>
      <c r="C11" s="1843" t="s">
        <v>929</v>
      </c>
      <c r="D11" s="1843"/>
      <c r="E11" s="1843"/>
      <c r="F11" s="1843"/>
      <c r="G11" s="1847"/>
      <c r="H11" s="1847"/>
      <c r="I11" s="1847"/>
      <c r="J11" s="1847"/>
      <c r="K11" s="1847"/>
      <c r="L11" s="1847"/>
      <c r="M11" s="1847"/>
      <c r="N11" s="1847"/>
      <c r="O11" s="1847"/>
      <c r="P11" s="1847"/>
      <c r="Q11" s="839" t="s">
        <v>675</v>
      </c>
      <c r="R11" s="1848"/>
      <c r="S11" s="1848"/>
      <c r="T11" s="840"/>
      <c r="U11" s="1841" t="s">
        <v>928</v>
      </c>
      <c r="V11" s="1841"/>
      <c r="W11" s="1841"/>
      <c r="X11" s="1841"/>
      <c r="Y11" s="1841"/>
      <c r="Z11" s="1841"/>
      <c r="AA11" s="1841"/>
      <c r="AB11" s="871"/>
      <c r="AC11" s="871"/>
      <c r="AD11" s="3432" t="str">
        <f>IF('DS Log Pg 1'!S11="","",'DS Log Pg 1'!S11)</f>
        <v/>
      </c>
      <c r="AE11" s="3432"/>
      <c r="AF11" s="3432"/>
      <c r="AG11" s="3432"/>
      <c r="AH11" s="3432"/>
      <c r="AI11" s="3432"/>
      <c r="AJ11" s="827"/>
      <c r="AK11" s="595"/>
    </row>
    <row r="12" spans="1:37" ht="15.75" customHeight="1">
      <c r="A12" s="595"/>
      <c r="B12" s="841"/>
      <c r="C12" s="840"/>
      <c r="D12" s="840"/>
      <c r="E12" s="840"/>
      <c r="F12" s="839"/>
      <c r="G12" s="3427" t="s">
        <v>927</v>
      </c>
      <c r="H12" s="3427"/>
      <c r="I12" s="3427"/>
      <c r="J12" s="3427"/>
      <c r="K12" s="3427"/>
      <c r="L12" s="3427"/>
      <c r="M12" s="3427"/>
      <c r="N12" s="3427"/>
      <c r="O12" s="3427"/>
      <c r="P12" s="3427"/>
      <c r="Q12" s="873"/>
      <c r="R12" s="873"/>
      <c r="S12" s="873"/>
      <c r="T12" s="840"/>
      <c r="U12" s="840"/>
      <c r="V12" s="840"/>
      <c r="W12" s="840"/>
      <c r="X12" s="840"/>
      <c r="Y12" s="840"/>
      <c r="Z12" s="840"/>
      <c r="AA12" s="840"/>
      <c r="AB12" s="840"/>
      <c r="AC12" s="840"/>
      <c r="AD12" s="840"/>
      <c r="AE12" s="839"/>
      <c r="AF12" s="1850"/>
      <c r="AG12" s="1850"/>
      <c r="AH12" s="1850"/>
      <c r="AI12" s="1850"/>
      <c r="AJ12" s="827"/>
      <c r="AK12" s="595"/>
    </row>
    <row r="13" spans="1:37" ht="9.75" customHeight="1" thickBot="1">
      <c r="A13" s="595"/>
      <c r="B13" s="838"/>
      <c r="C13" s="837"/>
      <c r="D13" s="837"/>
      <c r="E13" s="837"/>
      <c r="F13" s="836"/>
      <c r="G13" s="835"/>
      <c r="H13" s="835"/>
      <c r="I13" s="835"/>
      <c r="J13" s="835"/>
      <c r="K13" s="835"/>
      <c r="L13" s="835"/>
      <c r="M13" s="835"/>
      <c r="N13" s="835"/>
      <c r="O13" s="835"/>
      <c r="P13" s="835"/>
      <c r="Q13" s="835"/>
      <c r="R13" s="835"/>
      <c r="S13" s="835"/>
      <c r="T13" s="837"/>
      <c r="U13" s="837"/>
      <c r="V13" s="837"/>
      <c r="W13" s="837"/>
      <c r="X13" s="837"/>
      <c r="Y13" s="837"/>
      <c r="Z13" s="837"/>
      <c r="AA13" s="837"/>
      <c r="AB13" s="837"/>
      <c r="AC13" s="837"/>
      <c r="AD13" s="837"/>
      <c r="AE13" s="836"/>
      <c r="AF13" s="835"/>
      <c r="AG13" s="835"/>
      <c r="AH13" s="835"/>
      <c r="AI13" s="835"/>
      <c r="AJ13" s="834"/>
      <c r="AK13" s="595"/>
    </row>
    <row r="14" spans="1:37" ht="18" customHeight="1">
      <c r="B14" s="3423" t="s">
        <v>962</v>
      </c>
      <c r="C14" s="3424"/>
      <c r="D14" s="3424"/>
      <c r="E14" s="3424"/>
      <c r="F14" s="3424"/>
      <c r="G14" s="3424"/>
      <c r="H14" s="3424"/>
      <c r="I14" s="3424"/>
      <c r="J14" s="3424"/>
      <c r="K14" s="3424"/>
      <c r="L14" s="3424"/>
      <c r="M14" s="3424"/>
      <c r="N14" s="3424"/>
      <c r="O14" s="3424"/>
      <c r="P14" s="3424"/>
      <c r="Q14" s="3424"/>
      <c r="R14" s="3424"/>
      <c r="S14" s="3424"/>
      <c r="T14" s="3424"/>
      <c r="U14" s="3424"/>
      <c r="V14" s="3424"/>
      <c r="W14" s="3424"/>
      <c r="X14" s="3424"/>
      <c r="Y14" s="3424"/>
      <c r="Z14" s="3424"/>
      <c r="AA14" s="3424"/>
      <c r="AB14" s="3424"/>
      <c r="AC14" s="3424"/>
      <c r="AD14" s="3424"/>
      <c r="AE14" s="3424"/>
      <c r="AF14" s="3424"/>
      <c r="AG14" s="3424"/>
      <c r="AH14" s="3424"/>
      <c r="AI14" s="3424"/>
      <c r="AJ14" s="3425"/>
    </row>
    <row r="15" spans="1:37" ht="15.9" customHeight="1">
      <c r="A15" s="595"/>
      <c r="B15" s="819"/>
      <c r="C15" s="595"/>
      <c r="D15" s="595"/>
      <c r="E15" s="3426"/>
      <c r="F15" s="3426"/>
      <c r="G15" s="3426"/>
      <c r="H15" s="3426"/>
      <c r="I15" s="3426"/>
      <c r="J15" s="3426"/>
      <c r="K15" s="3426"/>
      <c r="L15" s="3426"/>
      <c r="M15" s="3426"/>
      <c r="N15" s="3426"/>
      <c r="O15" s="3426"/>
      <c r="P15" s="3426"/>
      <c r="Q15" s="3426"/>
      <c r="R15" s="3426"/>
      <c r="S15" s="3426"/>
      <c r="T15" s="3426"/>
      <c r="U15" s="3426"/>
      <c r="V15" s="3426"/>
      <c r="W15" s="3426"/>
      <c r="X15" s="3426"/>
      <c r="Y15" s="3426"/>
      <c r="Z15" s="3426"/>
      <c r="AA15" s="3426"/>
      <c r="AB15" s="3426"/>
      <c r="AC15" s="3426"/>
      <c r="AD15" s="3426"/>
      <c r="AE15" s="3426"/>
      <c r="AF15" s="3426"/>
      <c r="AG15" s="3426"/>
      <c r="AH15" s="3426"/>
      <c r="AI15" s="3426"/>
      <c r="AJ15" s="816"/>
      <c r="AK15" s="595"/>
    </row>
    <row r="16" spans="1:37" ht="15.9" customHeight="1">
      <c r="A16" s="595"/>
      <c r="B16" s="819"/>
      <c r="C16" s="595"/>
      <c r="D16" s="595"/>
      <c r="E16" s="1899"/>
      <c r="F16" s="1899"/>
      <c r="G16" s="1899"/>
      <c r="H16" s="1899"/>
      <c r="I16" s="1899"/>
      <c r="J16" s="1899"/>
      <c r="K16" s="1899"/>
      <c r="L16" s="1899"/>
      <c r="M16" s="1899"/>
      <c r="N16" s="1899"/>
      <c r="O16" s="1899"/>
      <c r="P16" s="1899"/>
      <c r="Q16" s="1899"/>
      <c r="R16" s="1899"/>
      <c r="S16" s="1899"/>
      <c r="T16" s="1899"/>
      <c r="U16" s="1899"/>
      <c r="V16" s="1899"/>
      <c r="W16" s="1899"/>
      <c r="X16" s="1899"/>
      <c r="Y16" s="1899"/>
      <c r="Z16" s="1899"/>
      <c r="AA16" s="1899"/>
      <c r="AB16" s="1899"/>
      <c r="AC16" s="1899"/>
      <c r="AD16" s="1899"/>
      <c r="AE16" s="1899"/>
      <c r="AF16" s="1899"/>
      <c r="AG16" s="1899"/>
      <c r="AH16" s="1899"/>
      <c r="AI16" s="1899"/>
      <c r="AJ16" s="816"/>
      <c r="AK16" s="595"/>
    </row>
    <row r="17" spans="1:40" ht="15.9" customHeight="1">
      <c r="A17" s="595"/>
      <c r="B17" s="819"/>
      <c r="C17" s="595"/>
      <c r="D17" s="595"/>
      <c r="E17" s="1899"/>
      <c r="F17" s="1899"/>
      <c r="G17" s="1899"/>
      <c r="H17" s="1899"/>
      <c r="I17" s="1899"/>
      <c r="J17" s="1899"/>
      <c r="K17" s="1899"/>
      <c r="L17" s="1899"/>
      <c r="M17" s="1899"/>
      <c r="N17" s="1899"/>
      <c r="O17" s="1899"/>
      <c r="P17" s="1899"/>
      <c r="Q17" s="1899"/>
      <c r="R17" s="1899"/>
      <c r="S17" s="1899"/>
      <c r="T17" s="1899"/>
      <c r="U17" s="1899"/>
      <c r="V17" s="1899"/>
      <c r="W17" s="1899"/>
      <c r="X17" s="1899"/>
      <c r="Y17" s="1899"/>
      <c r="Z17" s="1899"/>
      <c r="AA17" s="1899"/>
      <c r="AB17" s="1899"/>
      <c r="AC17" s="1899"/>
      <c r="AD17" s="1899"/>
      <c r="AE17" s="1899"/>
      <c r="AF17" s="1899"/>
      <c r="AG17" s="1899"/>
      <c r="AH17" s="1899"/>
      <c r="AI17" s="1899"/>
      <c r="AJ17" s="816"/>
      <c r="AK17" s="595"/>
    </row>
    <row r="18" spans="1:40" ht="15.9" customHeight="1">
      <c r="A18" s="595"/>
      <c r="B18" s="819"/>
      <c r="C18" s="595"/>
      <c r="D18" s="595"/>
      <c r="E18" s="1899"/>
      <c r="F18" s="1899"/>
      <c r="G18" s="1899"/>
      <c r="H18" s="1899"/>
      <c r="I18" s="1899"/>
      <c r="J18" s="1899"/>
      <c r="K18" s="1899"/>
      <c r="L18" s="1899"/>
      <c r="M18" s="1899"/>
      <c r="N18" s="1899"/>
      <c r="O18" s="1899"/>
      <c r="P18" s="1899"/>
      <c r="Q18" s="1899"/>
      <c r="R18" s="1899"/>
      <c r="S18" s="1899"/>
      <c r="T18" s="1899"/>
      <c r="U18" s="1899"/>
      <c r="V18" s="1899"/>
      <c r="W18" s="1899"/>
      <c r="X18" s="1899"/>
      <c r="Y18" s="1899"/>
      <c r="Z18" s="1899"/>
      <c r="AA18" s="1899"/>
      <c r="AB18" s="1899"/>
      <c r="AC18" s="1899"/>
      <c r="AD18" s="1899"/>
      <c r="AE18" s="1899"/>
      <c r="AF18" s="1899"/>
      <c r="AG18" s="1899"/>
      <c r="AH18" s="1899"/>
      <c r="AI18" s="1899"/>
      <c r="AJ18" s="816"/>
      <c r="AK18" s="595"/>
    </row>
    <row r="19" spans="1:40" ht="15.9" customHeight="1">
      <c r="A19" s="595"/>
      <c r="B19" s="819"/>
      <c r="C19" s="595"/>
      <c r="D19" s="595"/>
      <c r="E19" s="1899"/>
      <c r="F19" s="1899"/>
      <c r="G19" s="1899"/>
      <c r="H19" s="1899"/>
      <c r="I19" s="1899"/>
      <c r="J19" s="1899"/>
      <c r="K19" s="1899"/>
      <c r="L19" s="1899"/>
      <c r="M19" s="1899"/>
      <c r="N19" s="1899"/>
      <c r="O19" s="1899"/>
      <c r="P19" s="1899"/>
      <c r="Q19" s="1899"/>
      <c r="R19" s="1899"/>
      <c r="S19" s="1899"/>
      <c r="T19" s="1899"/>
      <c r="U19" s="1899"/>
      <c r="V19" s="1899"/>
      <c r="W19" s="1899"/>
      <c r="X19" s="1899"/>
      <c r="Y19" s="1899"/>
      <c r="Z19" s="1899"/>
      <c r="AA19" s="1899"/>
      <c r="AB19" s="1899"/>
      <c r="AC19" s="1899"/>
      <c r="AD19" s="1899"/>
      <c r="AE19" s="1899"/>
      <c r="AF19" s="1899"/>
      <c r="AG19" s="1899"/>
      <c r="AH19" s="1899"/>
      <c r="AI19" s="1899"/>
      <c r="AJ19" s="816"/>
      <c r="AK19" s="595"/>
    </row>
    <row r="20" spans="1:40" ht="15.9" customHeight="1">
      <c r="A20" s="595"/>
      <c r="B20" s="819"/>
      <c r="C20" s="595"/>
      <c r="D20" s="595"/>
      <c r="E20" s="1899"/>
      <c r="F20" s="1899"/>
      <c r="G20" s="1899"/>
      <c r="H20" s="1899"/>
      <c r="I20" s="1899"/>
      <c r="J20" s="1899"/>
      <c r="K20" s="1899"/>
      <c r="L20" s="1899"/>
      <c r="M20" s="1899"/>
      <c r="N20" s="1899"/>
      <c r="O20" s="1899"/>
      <c r="P20" s="1899"/>
      <c r="Q20" s="1899"/>
      <c r="R20" s="1899"/>
      <c r="S20" s="1899"/>
      <c r="T20" s="1899"/>
      <c r="U20" s="1899"/>
      <c r="V20" s="1899"/>
      <c r="W20" s="1899"/>
      <c r="X20" s="1899"/>
      <c r="Y20" s="1899"/>
      <c r="Z20" s="1899"/>
      <c r="AA20" s="1899"/>
      <c r="AB20" s="1899"/>
      <c r="AC20" s="1899"/>
      <c r="AD20" s="1899"/>
      <c r="AE20" s="1899"/>
      <c r="AF20" s="1899"/>
      <c r="AG20" s="1899"/>
      <c r="AH20" s="1899"/>
      <c r="AI20" s="1899"/>
      <c r="AJ20" s="816"/>
      <c r="AK20" s="595"/>
    </row>
    <row r="21" spans="1:40" ht="15.9" customHeight="1">
      <c r="A21" s="595"/>
      <c r="B21" s="819"/>
      <c r="C21" s="595"/>
      <c r="D21" s="595"/>
      <c r="E21" s="1899"/>
      <c r="F21" s="1899"/>
      <c r="G21" s="1899"/>
      <c r="H21" s="1899"/>
      <c r="I21" s="1899"/>
      <c r="J21" s="1899"/>
      <c r="K21" s="1899"/>
      <c r="L21" s="1899"/>
      <c r="M21" s="1899"/>
      <c r="N21" s="1899"/>
      <c r="O21" s="1899"/>
      <c r="P21" s="1899"/>
      <c r="Q21" s="1899"/>
      <c r="R21" s="1899"/>
      <c r="S21" s="1899"/>
      <c r="T21" s="1899"/>
      <c r="U21" s="1899"/>
      <c r="V21" s="1899"/>
      <c r="W21" s="1899"/>
      <c r="X21" s="1899"/>
      <c r="Y21" s="1899"/>
      <c r="Z21" s="1899"/>
      <c r="AA21" s="1899"/>
      <c r="AB21" s="1899"/>
      <c r="AC21" s="1899"/>
      <c r="AD21" s="1899"/>
      <c r="AE21" s="1899"/>
      <c r="AF21" s="1899"/>
      <c r="AG21" s="1899"/>
      <c r="AH21" s="1899"/>
      <c r="AI21" s="1899"/>
      <c r="AJ21" s="816"/>
      <c r="AK21" s="595"/>
    </row>
    <row r="22" spans="1:40" ht="15.9" customHeight="1">
      <c r="A22" s="595"/>
      <c r="B22" s="819"/>
      <c r="C22" s="595"/>
      <c r="D22" s="595"/>
      <c r="E22" s="1899"/>
      <c r="F22" s="1899"/>
      <c r="G22" s="1899"/>
      <c r="H22" s="1899"/>
      <c r="I22" s="1899"/>
      <c r="J22" s="1899"/>
      <c r="K22" s="1899"/>
      <c r="L22" s="1899"/>
      <c r="M22" s="1899"/>
      <c r="N22" s="1899"/>
      <c r="O22" s="1899"/>
      <c r="P22" s="1899"/>
      <c r="Q22" s="1899"/>
      <c r="R22" s="1899"/>
      <c r="S22" s="1899"/>
      <c r="T22" s="1899"/>
      <c r="U22" s="1899"/>
      <c r="V22" s="1899"/>
      <c r="W22" s="1899"/>
      <c r="X22" s="1899"/>
      <c r="Y22" s="1899"/>
      <c r="Z22" s="1899"/>
      <c r="AA22" s="1899"/>
      <c r="AB22" s="1899"/>
      <c r="AC22" s="1899"/>
      <c r="AD22" s="1899"/>
      <c r="AE22" s="1899"/>
      <c r="AF22" s="1899"/>
      <c r="AG22" s="1899"/>
      <c r="AH22" s="1899"/>
      <c r="AI22" s="1899"/>
      <c r="AJ22" s="816"/>
      <c r="AK22" s="595"/>
      <c r="AM22" s="874"/>
      <c r="AN22" s="874"/>
    </row>
    <row r="23" spans="1:40" ht="15.9" customHeight="1">
      <c r="A23" s="595"/>
      <c r="B23" s="819"/>
      <c r="C23" s="595"/>
      <c r="D23" s="595"/>
      <c r="E23" s="1899"/>
      <c r="F23" s="1899"/>
      <c r="G23" s="1899"/>
      <c r="H23" s="1899"/>
      <c r="I23" s="1899"/>
      <c r="J23" s="1899"/>
      <c r="K23" s="1899"/>
      <c r="L23" s="1899"/>
      <c r="M23" s="1899"/>
      <c r="N23" s="1899"/>
      <c r="O23" s="1899"/>
      <c r="P23" s="1899"/>
      <c r="Q23" s="1899"/>
      <c r="R23" s="1899"/>
      <c r="S23" s="1899"/>
      <c r="T23" s="1899"/>
      <c r="U23" s="1899"/>
      <c r="V23" s="1899"/>
      <c r="W23" s="1899"/>
      <c r="X23" s="1899"/>
      <c r="Y23" s="1899"/>
      <c r="Z23" s="1899"/>
      <c r="AA23" s="1899"/>
      <c r="AB23" s="1899"/>
      <c r="AC23" s="1899"/>
      <c r="AD23" s="1899"/>
      <c r="AE23" s="1899"/>
      <c r="AF23" s="1899"/>
      <c r="AG23" s="1899"/>
      <c r="AH23" s="1899"/>
      <c r="AI23" s="1899"/>
      <c r="AJ23" s="816"/>
      <c r="AK23" s="595"/>
      <c r="AM23" s="874"/>
      <c r="AN23" s="874"/>
    </row>
    <row r="24" spans="1:40" ht="15.9" customHeight="1">
      <c r="A24" s="595"/>
      <c r="B24" s="819"/>
      <c r="C24" s="595"/>
      <c r="D24" s="595"/>
      <c r="E24" s="1899"/>
      <c r="F24" s="1899"/>
      <c r="G24" s="1899"/>
      <c r="H24" s="1899"/>
      <c r="I24" s="1899"/>
      <c r="J24" s="1899"/>
      <c r="K24" s="1899"/>
      <c r="L24" s="1899"/>
      <c r="M24" s="1899"/>
      <c r="N24" s="1899"/>
      <c r="O24" s="1899"/>
      <c r="P24" s="1899"/>
      <c r="Q24" s="1899"/>
      <c r="R24" s="1899"/>
      <c r="S24" s="1899"/>
      <c r="T24" s="1899"/>
      <c r="U24" s="1899"/>
      <c r="V24" s="1899"/>
      <c r="W24" s="1899"/>
      <c r="X24" s="1899"/>
      <c r="Y24" s="1899"/>
      <c r="Z24" s="1899"/>
      <c r="AA24" s="1899"/>
      <c r="AB24" s="1899"/>
      <c r="AC24" s="1899"/>
      <c r="AD24" s="1899"/>
      <c r="AE24" s="1899"/>
      <c r="AF24" s="1899"/>
      <c r="AG24" s="1899"/>
      <c r="AH24" s="1899"/>
      <c r="AI24" s="1899"/>
      <c r="AJ24" s="816"/>
      <c r="AK24" s="595"/>
      <c r="AM24" s="874"/>
      <c r="AN24" s="874"/>
    </row>
    <row r="25" spans="1:40" ht="15.9" customHeight="1">
      <c r="A25" s="595"/>
      <c r="B25" s="819"/>
      <c r="C25" s="595"/>
      <c r="D25" s="595"/>
      <c r="E25" s="1899"/>
      <c r="F25" s="1899"/>
      <c r="G25" s="1899"/>
      <c r="H25" s="1899"/>
      <c r="I25" s="1899"/>
      <c r="J25" s="1899"/>
      <c r="K25" s="1899"/>
      <c r="L25" s="1899"/>
      <c r="M25" s="1899"/>
      <c r="N25" s="1899"/>
      <c r="O25" s="1899"/>
      <c r="P25" s="1899"/>
      <c r="Q25" s="1899"/>
      <c r="R25" s="1899"/>
      <c r="S25" s="1899"/>
      <c r="T25" s="1899"/>
      <c r="U25" s="1899"/>
      <c r="V25" s="1899"/>
      <c r="W25" s="1899"/>
      <c r="X25" s="1899"/>
      <c r="Y25" s="1899"/>
      <c r="Z25" s="1899"/>
      <c r="AA25" s="1899"/>
      <c r="AB25" s="1899"/>
      <c r="AC25" s="1899"/>
      <c r="AD25" s="1899"/>
      <c r="AE25" s="1899"/>
      <c r="AF25" s="1899"/>
      <c r="AG25" s="1899"/>
      <c r="AH25" s="1899"/>
      <c r="AI25" s="1899"/>
      <c r="AJ25" s="816"/>
      <c r="AK25" s="595"/>
      <c r="AM25" s="874"/>
      <c r="AN25" s="874"/>
    </row>
    <row r="26" spans="1:40" ht="15.9" customHeight="1">
      <c r="A26" s="595"/>
      <c r="B26" s="819"/>
      <c r="C26" s="595"/>
      <c r="D26" s="595"/>
      <c r="E26" s="1899"/>
      <c r="F26" s="1899"/>
      <c r="G26" s="1899"/>
      <c r="H26" s="1899"/>
      <c r="I26" s="1899"/>
      <c r="J26" s="1899"/>
      <c r="K26" s="1899"/>
      <c r="L26" s="1899"/>
      <c r="M26" s="1899"/>
      <c r="N26" s="1899"/>
      <c r="O26" s="1899"/>
      <c r="P26" s="1899"/>
      <c r="Q26" s="1899"/>
      <c r="R26" s="1899"/>
      <c r="S26" s="1899"/>
      <c r="T26" s="1899"/>
      <c r="U26" s="1899"/>
      <c r="V26" s="1899"/>
      <c r="W26" s="1899"/>
      <c r="X26" s="1899"/>
      <c r="Y26" s="1899"/>
      <c r="Z26" s="1899"/>
      <c r="AA26" s="1899"/>
      <c r="AB26" s="1899"/>
      <c r="AC26" s="1899"/>
      <c r="AD26" s="1899"/>
      <c r="AE26" s="1899"/>
      <c r="AF26" s="1899"/>
      <c r="AG26" s="1899"/>
      <c r="AH26" s="1899"/>
      <c r="AI26" s="1899"/>
      <c r="AJ26" s="816"/>
      <c r="AK26" s="595"/>
      <c r="AM26" s="874"/>
      <c r="AN26" s="874"/>
    </row>
    <row r="27" spans="1:40" ht="15.9" customHeight="1">
      <c r="A27" s="595"/>
      <c r="B27" s="819"/>
      <c r="C27" s="595"/>
      <c r="D27" s="595"/>
      <c r="E27" s="1899"/>
      <c r="F27" s="1899"/>
      <c r="G27" s="1899"/>
      <c r="H27" s="1899"/>
      <c r="I27" s="1899"/>
      <c r="J27" s="1899"/>
      <c r="K27" s="1899"/>
      <c r="L27" s="1899"/>
      <c r="M27" s="1899"/>
      <c r="N27" s="1899"/>
      <c r="O27" s="1899"/>
      <c r="P27" s="1899"/>
      <c r="Q27" s="1899"/>
      <c r="R27" s="1899"/>
      <c r="S27" s="1899"/>
      <c r="T27" s="1899"/>
      <c r="U27" s="1899"/>
      <c r="V27" s="1899"/>
      <c r="W27" s="1899"/>
      <c r="X27" s="1899"/>
      <c r="Y27" s="1899"/>
      <c r="Z27" s="1899"/>
      <c r="AA27" s="1899"/>
      <c r="AB27" s="1899"/>
      <c r="AC27" s="1899"/>
      <c r="AD27" s="1899"/>
      <c r="AE27" s="1899"/>
      <c r="AF27" s="1899"/>
      <c r="AG27" s="1899"/>
      <c r="AH27" s="1899"/>
      <c r="AI27" s="1899"/>
      <c r="AJ27" s="816"/>
      <c r="AK27" s="595"/>
    </row>
    <row r="28" spans="1:40" ht="15.9" customHeight="1">
      <c r="A28" s="595"/>
      <c r="B28" s="819"/>
      <c r="C28" s="595"/>
      <c r="D28" s="595"/>
      <c r="E28" s="1899"/>
      <c r="F28" s="1899"/>
      <c r="G28" s="1899"/>
      <c r="H28" s="1899"/>
      <c r="I28" s="1899"/>
      <c r="J28" s="1899"/>
      <c r="K28" s="1899"/>
      <c r="L28" s="1899"/>
      <c r="M28" s="1899"/>
      <c r="N28" s="1899"/>
      <c r="O28" s="1899"/>
      <c r="P28" s="1899"/>
      <c r="Q28" s="1899"/>
      <c r="R28" s="1899"/>
      <c r="S28" s="1899"/>
      <c r="T28" s="1899"/>
      <c r="U28" s="1899"/>
      <c r="V28" s="1899"/>
      <c r="W28" s="1899"/>
      <c r="X28" s="1899"/>
      <c r="Y28" s="1899"/>
      <c r="Z28" s="1899"/>
      <c r="AA28" s="1899"/>
      <c r="AB28" s="1899"/>
      <c r="AC28" s="1899"/>
      <c r="AD28" s="1899"/>
      <c r="AE28" s="1899"/>
      <c r="AF28" s="1899"/>
      <c r="AG28" s="1899"/>
      <c r="AH28" s="1899"/>
      <c r="AI28" s="1899"/>
      <c r="AJ28" s="816"/>
      <c r="AK28" s="595"/>
    </row>
    <row r="29" spans="1:40" ht="15.9" customHeight="1">
      <c r="A29" s="595"/>
      <c r="B29" s="819"/>
      <c r="C29" s="595"/>
      <c r="D29" s="595"/>
      <c r="E29" s="1899"/>
      <c r="F29" s="1899"/>
      <c r="G29" s="1899"/>
      <c r="H29" s="1899"/>
      <c r="I29" s="1899"/>
      <c r="J29" s="1899"/>
      <c r="K29" s="1899"/>
      <c r="L29" s="1899"/>
      <c r="M29" s="1899"/>
      <c r="N29" s="1899"/>
      <c r="O29" s="1899"/>
      <c r="P29" s="1899"/>
      <c r="Q29" s="1899"/>
      <c r="R29" s="1899"/>
      <c r="S29" s="1899"/>
      <c r="T29" s="1899"/>
      <c r="U29" s="1899"/>
      <c r="V29" s="1899"/>
      <c r="W29" s="1899"/>
      <c r="X29" s="1899"/>
      <c r="Y29" s="1899"/>
      <c r="Z29" s="1899"/>
      <c r="AA29" s="1899"/>
      <c r="AB29" s="1899"/>
      <c r="AC29" s="1899"/>
      <c r="AD29" s="1899"/>
      <c r="AE29" s="1899"/>
      <c r="AF29" s="1899"/>
      <c r="AG29" s="1899"/>
      <c r="AH29" s="1899"/>
      <c r="AI29" s="1899"/>
      <c r="AJ29" s="816"/>
      <c r="AK29" s="595"/>
    </row>
    <row r="30" spans="1:40" ht="15.9" customHeight="1">
      <c r="A30" s="595"/>
      <c r="B30" s="819"/>
      <c r="C30" s="595"/>
      <c r="D30" s="595"/>
      <c r="E30" s="1899"/>
      <c r="F30" s="1899"/>
      <c r="G30" s="1899"/>
      <c r="H30" s="1899"/>
      <c r="I30" s="1899"/>
      <c r="J30" s="1899"/>
      <c r="K30" s="1899"/>
      <c r="L30" s="1899"/>
      <c r="M30" s="1899"/>
      <c r="N30" s="1899"/>
      <c r="O30" s="1899"/>
      <c r="P30" s="1899"/>
      <c r="Q30" s="1899"/>
      <c r="R30" s="1899"/>
      <c r="S30" s="1899"/>
      <c r="T30" s="1899"/>
      <c r="U30" s="1899"/>
      <c r="V30" s="1899"/>
      <c r="W30" s="1899"/>
      <c r="X30" s="1899"/>
      <c r="Y30" s="1899"/>
      <c r="Z30" s="1899"/>
      <c r="AA30" s="1899"/>
      <c r="AB30" s="1899"/>
      <c r="AC30" s="1899"/>
      <c r="AD30" s="1899"/>
      <c r="AE30" s="1899"/>
      <c r="AF30" s="1899"/>
      <c r="AG30" s="1899"/>
      <c r="AH30" s="1899"/>
      <c r="AI30" s="1899"/>
      <c r="AJ30" s="827"/>
      <c r="AK30" s="595"/>
    </row>
    <row r="31" spans="1:40" ht="15.9" customHeight="1">
      <c r="A31" s="595"/>
      <c r="B31" s="819"/>
      <c r="C31" s="595"/>
      <c r="D31" s="595"/>
      <c r="E31" s="1899"/>
      <c r="F31" s="1899"/>
      <c r="G31" s="1899"/>
      <c r="H31" s="1899"/>
      <c r="I31" s="1899"/>
      <c r="J31" s="1899"/>
      <c r="K31" s="1899"/>
      <c r="L31" s="1899"/>
      <c r="M31" s="1899"/>
      <c r="N31" s="1899"/>
      <c r="O31" s="1899"/>
      <c r="P31" s="1899"/>
      <c r="Q31" s="1899"/>
      <c r="R31" s="1899"/>
      <c r="S31" s="1899"/>
      <c r="T31" s="1899"/>
      <c r="U31" s="1899"/>
      <c r="V31" s="1899"/>
      <c r="W31" s="1899"/>
      <c r="X31" s="1899"/>
      <c r="Y31" s="1899"/>
      <c r="Z31" s="1899"/>
      <c r="AA31" s="1899"/>
      <c r="AB31" s="1899"/>
      <c r="AC31" s="1899"/>
      <c r="AD31" s="1899"/>
      <c r="AE31" s="1899"/>
      <c r="AF31" s="1899"/>
      <c r="AG31" s="1899"/>
      <c r="AH31" s="1899"/>
      <c r="AI31" s="1899"/>
      <c r="AJ31" s="816"/>
      <c r="AK31" s="595"/>
    </row>
    <row r="32" spans="1:40" ht="15.9" customHeight="1">
      <c r="A32" s="595"/>
      <c r="B32" s="819"/>
      <c r="C32" s="595"/>
      <c r="D32" s="595"/>
      <c r="E32" s="1899"/>
      <c r="F32" s="1899"/>
      <c r="G32" s="1899"/>
      <c r="H32" s="1899"/>
      <c r="I32" s="1899"/>
      <c r="J32" s="1899"/>
      <c r="K32" s="1899"/>
      <c r="L32" s="1899"/>
      <c r="M32" s="1899"/>
      <c r="N32" s="1899"/>
      <c r="O32" s="1899"/>
      <c r="P32" s="1899"/>
      <c r="Q32" s="1899"/>
      <c r="R32" s="1899"/>
      <c r="S32" s="1899"/>
      <c r="T32" s="1899"/>
      <c r="U32" s="1899"/>
      <c r="V32" s="1899"/>
      <c r="W32" s="1899"/>
      <c r="X32" s="1899"/>
      <c r="Y32" s="1899"/>
      <c r="Z32" s="1899"/>
      <c r="AA32" s="1899"/>
      <c r="AB32" s="1899"/>
      <c r="AC32" s="1899"/>
      <c r="AD32" s="1899"/>
      <c r="AE32" s="1899"/>
      <c r="AF32" s="1899"/>
      <c r="AG32" s="1899"/>
      <c r="AH32" s="1899"/>
      <c r="AI32" s="1899"/>
      <c r="AJ32" s="816"/>
      <c r="AK32" s="595"/>
    </row>
    <row r="33" spans="1:40" ht="15.9" customHeight="1">
      <c r="A33" s="595"/>
      <c r="B33" s="819"/>
      <c r="C33" s="595"/>
      <c r="D33" s="595"/>
      <c r="E33" s="1899"/>
      <c r="F33" s="1899"/>
      <c r="G33" s="1899"/>
      <c r="H33" s="1899"/>
      <c r="I33" s="1899"/>
      <c r="J33" s="1899"/>
      <c r="K33" s="1899"/>
      <c r="L33" s="1899"/>
      <c r="M33" s="1899"/>
      <c r="N33" s="1899"/>
      <c r="O33" s="1899"/>
      <c r="P33" s="1899"/>
      <c r="Q33" s="1899"/>
      <c r="R33" s="1899"/>
      <c r="S33" s="1899"/>
      <c r="T33" s="1899"/>
      <c r="U33" s="1899"/>
      <c r="V33" s="1899"/>
      <c r="W33" s="1899"/>
      <c r="X33" s="1899"/>
      <c r="Y33" s="1899"/>
      <c r="Z33" s="1899"/>
      <c r="AA33" s="1899"/>
      <c r="AB33" s="1899"/>
      <c r="AC33" s="1899"/>
      <c r="AD33" s="1899"/>
      <c r="AE33" s="1899"/>
      <c r="AF33" s="1899"/>
      <c r="AG33" s="1899"/>
      <c r="AH33" s="1899"/>
      <c r="AI33" s="1899"/>
      <c r="AJ33" s="816"/>
      <c r="AK33" s="595"/>
    </row>
    <row r="34" spans="1:40" ht="15.9" customHeight="1">
      <c r="A34" s="595"/>
      <c r="B34" s="819"/>
      <c r="C34" s="595"/>
      <c r="D34" s="595"/>
      <c r="E34" s="1899"/>
      <c r="F34" s="1899"/>
      <c r="G34" s="1899"/>
      <c r="H34" s="1899"/>
      <c r="I34" s="1899"/>
      <c r="J34" s="1899"/>
      <c r="K34" s="1899"/>
      <c r="L34" s="1899"/>
      <c r="M34" s="1899"/>
      <c r="N34" s="1899"/>
      <c r="O34" s="1899"/>
      <c r="P34" s="1899"/>
      <c r="Q34" s="1899"/>
      <c r="R34" s="1899"/>
      <c r="S34" s="1899"/>
      <c r="T34" s="1899"/>
      <c r="U34" s="1899"/>
      <c r="V34" s="1899"/>
      <c r="W34" s="1899"/>
      <c r="X34" s="1899"/>
      <c r="Y34" s="1899"/>
      <c r="Z34" s="1899"/>
      <c r="AA34" s="1899"/>
      <c r="AB34" s="1899"/>
      <c r="AC34" s="1899"/>
      <c r="AD34" s="1899"/>
      <c r="AE34" s="1899"/>
      <c r="AF34" s="1899"/>
      <c r="AG34" s="1899"/>
      <c r="AH34" s="1899"/>
      <c r="AI34" s="1899"/>
      <c r="AJ34" s="816"/>
      <c r="AK34" s="595"/>
    </row>
    <row r="35" spans="1:40" ht="15.9" customHeight="1">
      <c r="A35" s="595"/>
      <c r="B35" s="819"/>
      <c r="C35" s="595"/>
      <c r="D35" s="595"/>
      <c r="E35" s="1899"/>
      <c r="F35" s="1899"/>
      <c r="G35" s="1899"/>
      <c r="H35" s="1899"/>
      <c r="I35" s="1899"/>
      <c r="J35" s="1899"/>
      <c r="K35" s="1899"/>
      <c r="L35" s="1899"/>
      <c r="M35" s="1899"/>
      <c r="N35" s="1899"/>
      <c r="O35" s="1899"/>
      <c r="P35" s="1899"/>
      <c r="Q35" s="1899"/>
      <c r="R35" s="1899"/>
      <c r="S35" s="1899"/>
      <c r="T35" s="1899"/>
      <c r="U35" s="1899"/>
      <c r="V35" s="1899"/>
      <c r="W35" s="1899"/>
      <c r="X35" s="1899"/>
      <c r="Y35" s="1899"/>
      <c r="Z35" s="1899"/>
      <c r="AA35" s="1899"/>
      <c r="AB35" s="1899"/>
      <c r="AC35" s="1899"/>
      <c r="AD35" s="1899"/>
      <c r="AE35" s="1899"/>
      <c r="AF35" s="1899"/>
      <c r="AG35" s="1899"/>
      <c r="AH35" s="1899"/>
      <c r="AI35" s="1899"/>
      <c r="AJ35" s="816"/>
      <c r="AK35" s="595"/>
    </row>
    <row r="36" spans="1:40" ht="15.9" customHeight="1">
      <c r="A36" s="595"/>
      <c r="B36" s="819"/>
      <c r="C36" s="595"/>
      <c r="D36" s="595"/>
      <c r="E36" s="1899"/>
      <c r="F36" s="1899"/>
      <c r="G36" s="1899"/>
      <c r="H36" s="1899"/>
      <c r="I36" s="1899"/>
      <c r="J36" s="1899"/>
      <c r="K36" s="1899"/>
      <c r="L36" s="1899"/>
      <c r="M36" s="1899"/>
      <c r="N36" s="1899"/>
      <c r="O36" s="1899"/>
      <c r="P36" s="1899"/>
      <c r="Q36" s="1899"/>
      <c r="R36" s="1899"/>
      <c r="S36" s="1899"/>
      <c r="T36" s="1899"/>
      <c r="U36" s="1899"/>
      <c r="V36" s="1899"/>
      <c r="W36" s="1899"/>
      <c r="X36" s="1899"/>
      <c r="Y36" s="1899"/>
      <c r="Z36" s="1899"/>
      <c r="AA36" s="1899"/>
      <c r="AB36" s="1899"/>
      <c r="AC36" s="1899"/>
      <c r="AD36" s="1899"/>
      <c r="AE36" s="1899"/>
      <c r="AF36" s="1899"/>
      <c r="AG36" s="1899"/>
      <c r="AH36" s="1899"/>
      <c r="AI36" s="1899"/>
      <c r="AJ36" s="816"/>
      <c r="AK36" s="595"/>
    </row>
    <row r="37" spans="1:40" ht="15.9" customHeight="1">
      <c r="A37" s="595"/>
      <c r="B37" s="819"/>
      <c r="C37" s="595"/>
      <c r="D37" s="595"/>
      <c r="E37" s="1899"/>
      <c r="F37" s="1899"/>
      <c r="G37" s="1899"/>
      <c r="H37" s="1899"/>
      <c r="I37" s="1899"/>
      <c r="J37" s="1899"/>
      <c r="K37" s="1899"/>
      <c r="L37" s="1899"/>
      <c r="M37" s="1899"/>
      <c r="N37" s="1899"/>
      <c r="O37" s="1899"/>
      <c r="P37" s="1899"/>
      <c r="Q37" s="1899"/>
      <c r="R37" s="1899"/>
      <c r="S37" s="1899"/>
      <c r="T37" s="1899"/>
      <c r="U37" s="1899"/>
      <c r="V37" s="1899"/>
      <c r="W37" s="1899"/>
      <c r="X37" s="1899"/>
      <c r="Y37" s="1899"/>
      <c r="Z37" s="1899"/>
      <c r="AA37" s="1899"/>
      <c r="AB37" s="1899"/>
      <c r="AC37" s="1899"/>
      <c r="AD37" s="1899"/>
      <c r="AE37" s="1899"/>
      <c r="AF37" s="1899"/>
      <c r="AG37" s="1899"/>
      <c r="AH37" s="1899"/>
      <c r="AI37" s="1899"/>
      <c r="AJ37" s="816"/>
      <c r="AK37" s="595"/>
      <c r="AM37" s="874"/>
      <c r="AN37" s="874"/>
    </row>
    <row r="38" spans="1:40" ht="15.9" customHeight="1">
      <c r="A38" s="595"/>
      <c r="B38" s="819"/>
      <c r="C38" s="595"/>
      <c r="D38" s="595"/>
      <c r="E38" s="1899"/>
      <c r="F38" s="1899"/>
      <c r="G38" s="1899"/>
      <c r="H38" s="1899"/>
      <c r="I38" s="1899"/>
      <c r="J38" s="1899"/>
      <c r="K38" s="1899"/>
      <c r="L38" s="1899"/>
      <c r="M38" s="1899"/>
      <c r="N38" s="1899"/>
      <c r="O38" s="1899"/>
      <c r="P38" s="1899"/>
      <c r="Q38" s="1899"/>
      <c r="R38" s="1899"/>
      <c r="S38" s="1899"/>
      <c r="T38" s="1899"/>
      <c r="U38" s="1899"/>
      <c r="V38" s="1899"/>
      <c r="W38" s="1899"/>
      <c r="X38" s="1899"/>
      <c r="Y38" s="1899"/>
      <c r="Z38" s="1899"/>
      <c r="AA38" s="1899"/>
      <c r="AB38" s="1899"/>
      <c r="AC38" s="1899"/>
      <c r="AD38" s="1899"/>
      <c r="AE38" s="1899"/>
      <c r="AF38" s="1899"/>
      <c r="AG38" s="1899"/>
      <c r="AH38" s="1899"/>
      <c r="AI38" s="1899"/>
      <c r="AJ38" s="816"/>
      <c r="AK38" s="595"/>
      <c r="AM38" s="874"/>
      <c r="AN38" s="874"/>
    </row>
    <row r="39" spans="1:40" ht="15.9" customHeight="1">
      <c r="A39" s="595"/>
      <c r="B39" s="819"/>
      <c r="C39" s="595"/>
      <c r="D39" s="595"/>
      <c r="E39" s="1899"/>
      <c r="F39" s="1899"/>
      <c r="G39" s="1899"/>
      <c r="H39" s="1899"/>
      <c r="I39" s="1899"/>
      <c r="J39" s="1899"/>
      <c r="K39" s="1899"/>
      <c r="L39" s="1899"/>
      <c r="M39" s="1899"/>
      <c r="N39" s="1899"/>
      <c r="O39" s="1899"/>
      <c r="P39" s="1899"/>
      <c r="Q39" s="1899"/>
      <c r="R39" s="1899"/>
      <c r="S39" s="1899"/>
      <c r="T39" s="1899"/>
      <c r="U39" s="1899"/>
      <c r="V39" s="1899"/>
      <c r="W39" s="1899"/>
      <c r="X39" s="1899"/>
      <c r="Y39" s="1899"/>
      <c r="Z39" s="1899"/>
      <c r="AA39" s="1899"/>
      <c r="AB39" s="1899"/>
      <c r="AC39" s="1899"/>
      <c r="AD39" s="1899"/>
      <c r="AE39" s="1899"/>
      <c r="AF39" s="1899"/>
      <c r="AG39" s="1899"/>
      <c r="AH39" s="1899"/>
      <c r="AI39" s="1899"/>
      <c r="AJ39" s="816"/>
      <c r="AK39" s="595"/>
    </row>
    <row r="40" spans="1:40" ht="15.9" customHeight="1">
      <c r="A40" s="595"/>
      <c r="B40" s="819"/>
      <c r="C40" s="595"/>
      <c r="D40" s="595"/>
      <c r="E40" s="1899"/>
      <c r="F40" s="1899"/>
      <c r="G40" s="1899"/>
      <c r="H40" s="1899"/>
      <c r="I40" s="1899"/>
      <c r="J40" s="1899"/>
      <c r="K40" s="1899"/>
      <c r="L40" s="1899"/>
      <c r="M40" s="1899"/>
      <c r="N40" s="1899"/>
      <c r="O40" s="1899"/>
      <c r="P40" s="1899"/>
      <c r="Q40" s="1899"/>
      <c r="R40" s="1899"/>
      <c r="S40" s="1899"/>
      <c r="T40" s="1899"/>
      <c r="U40" s="1899"/>
      <c r="V40" s="1899"/>
      <c r="W40" s="1899"/>
      <c r="X40" s="1899"/>
      <c r="Y40" s="1899"/>
      <c r="Z40" s="1899"/>
      <c r="AA40" s="1899"/>
      <c r="AB40" s="1899"/>
      <c r="AC40" s="1899"/>
      <c r="AD40" s="1899"/>
      <c r="AE40" s="1899"/>
      <c r="AF40" s="1899"/>
      <c r="AG40" s="1899"/>
      <c r="AH40" s="1899"/>
      <c r="AI40" s="1899"/>
      <c r="AJ40" s="816"/>
      <c r="AK40" s="595"/>
    </row>
    <row r="41" spans="1:40" ht="15.9" customHeight="1">
      <c r="A41" s="595"/>
      <c r="B41" s="819"/>
      <c r="C41" s="595"/>
      <c r="D41" s="595"/>
      <c r="E41" s="1899"/>
      <c r="F41" s="1899"/>
      <c r="G41" s="1899"/>
      <c r="H41" s="1899"/>
      <c r="I41" s="1899"/>
      <c r="J41" s="1899"/>
      <c r="K41" s="1899"/>
      <c r="L41" s="1899"/>
      <c r="M41" s="1899"/>
      <c r="N41" s="1899"/>
      <c r="O41" s="1899"/>
      <c r="P41" s="1899"/>
      <c r="Q41" s="1899"/>
      <c r="R41" s="1899"/>
      <c r="S41" s="1899"/>
      <c r="T41" s="1899"/>
      <c r="U41" s="1899"/>
      <c r="V41" s="1899"/>
      <c r="W41" s="1899"/>
      <c r="X41" s="1899"/>
      <c r="Y41" s="1899"/>
      <c r="Z41" s="1899"/>
      <c r="AA41" s="1899"/>
      <c r="AB41" s="1899"/>
      <c r="AC41" s="1899"/>
      <c r="AD41" s="1899"/>
      <c r="AE41" s="1899"/>
      <c r="AF41" s="1899"/>
      <c r="AG41" s="1899"/>
      <c r="AH41" s="1899"/>
      <c r="AI41" s="1899"/>
      <c r="AJ41" s="816"/>
      <c r="AK41" s="595"/>
    </row>
    <row r="42" spans="1:40" ht="15.9" customHeight="1">
      <c r="A42" s="595"/>
      <c r="B42" s="819"/>
      <c r="C42" s="595"/>
      <c r="D42" s="595"/>
      <c r="E42" s="1899"/>
      <c r="F42" s="1899"/>
      <c r="G42" s="1899"/>
      <c r="H42" s="1899"/>
      <c r="I42" s="1899"/>
      <c r="J42" s="1899"/>
      <c r="K42" s="1899"/>
      <c r="L42" s="1899"/>
      <c r="M42" s="1899"/>
      <c r="N42" s="1899"/>
      <c r="O42" s="1899"/>
      <c r="P42" s="1899"/>
      <c r="Q42" s="1899"/>
      <c r="R42" s="1899"/>
      <c r="S42" s="1899"/>
      <c r="T42" s="1899"/>
      <c r="U42" s="1899"/>
      <c r="V42" s="1899"/>
      <c r="W42" s="1899"/>
      <c r="X42" s="1899"/>
      <c r="Y42" s="1899"/>
      <c r="Z42" s="1899"/>
      <c r="AA42" s="1899"/>
      <c r="AB42" s="1899"/>
      <c r="AC42" s="1899"/>
      <c r="AD42" s="1899"/>
      <c r="AE42" s="1899"/>
      <c r="AF42" s="1899"/>
      <c r="AG42" s="1899"/>
      <c r="AH42" s="1899"/>
      <c r="AI42" s="1899"/>
      <c r="AJ42" s="827"/>
      <c r="AK42" s="595"/>
    </row>
    <row r="43" spans="1:40" ht="15.9" customHeight="1">
      <c r="A43" s="595"/>
      <c r="B43" s="819"/>
      <c r="C43" s="595"/>
      <c r="D43" s="595"/>
      <c r="E43" s="1899"/>
      <c r="F43" s="1899"/>
      <c r="G43" s="1899"/>
      <c r="H43" s="1899"/>
      <c r="I43" s="1899"/>
      <c r="J43" s="1899"/>
      <c r="K43" s="1899"/>
      <c r="L43" s="1899"/>
      <c r="M43" s="1899"/>
      <c r="N43" s="1899"/>
      <c r="O43" s="1899"/>
      <c r="P43" s="1899"/>
      <c r="Q43" s="1899"/>
      <c r="R43" s="1899"/>
      <c r="S43" s="1899"/>
      <c r="T43" s="1899"/>
      <c r="U43" s="1899"/>
      <c r="V43" s="1899"/>
      <c r="W43" s="1899"/>
      <c r="X43" s="1899"/>
      <c r="Y43" s="1899"/>
      <c r="Z43" s="1899"/>
      <c r="AA43" s="1899"/>
      <c r="AB43" s="1899"/>
      <c r="AC43" s="1899"/>
      <c r="AD43" s="1899"/>
      <c r="AE43" s="1899"/>
      <c r="AF43" s="1899"/>
      <c r="AG43" s="1899"/>
      <c r="AH43" s="1899"/>
      <c r="AI43" s="1899"/>
      <c r="AJ43" s="827"/>
      <c r="AK43" s="595"/>
    </row>
    <row r="44" spans="1:40" ht="15.9" customHeight="1">
      <c r="A44" s="595"/>
      <c r="B44" s="819"/>
      <c r="C44" s="595"/>
      <c r="D44" s="595"/>
      <c r="E44" s="1899"/>
      <c r="F44" s="1899"/>
      <c r="G44" s="1899"/>
      <c r="H44" s="1899"/>
      <c r="I44" s="1899"/>
      <c r="J44" s="1899"/>
      <c r="K44" s="1899"/>
      <c r="L44" s="1899"/>
      <c r="M44" s="1899"/>
      <c r="N44" s="1899"/>
      <c r="O44" s="1899"/>
      <c r="P44" s="1899"/>
      <c r="Q44" s="1899"/>
      <c r="R44" s="1899"/>
      <c r="S44" s="1899"/>
      <c r="T44" s="1899"/>
      <c r="U44" s="1899"/>
      <c r="V44" s="1899"/>
      <c r="W44" s="1899"/>
      <c r="X44" s="1899"/>
      <c r="Y44" s="1899"/>
      <c r="Z44" s="1899"/>
      <c r="AA44" s="1899"/>
      <c r="AB44" s="1899"/>
      <c r="AC44" s="1899"/>
      <c r="AD44" s="1899"/>
      <c r="AE44" s="1899"/>
      <c r="AF44" s="1899"/>
      <c r="AG44" s="1899"/>
      <c r="AH44" s="1899"/>
      <c r="AI44" s="1899"/>
      <c r="AJ44" s="816"/>
      <c r="AK44" s="595"/>
    </row>
    <row r="45" spans="1:40" ht="15.9" customHeight="1">
      <c r="A45" s="595"/>
      <c r="B45" s="819"/>
      <c r="C45" s="595"/>
      <c r="D45" s="595"/>
      <c r="E45" s="1899"/>
      <c r="F45" s="1899"/>
      <c r="G45" s="1899"/>
      <c r="H45" s="1899"/>
      <c r="I45" s="1899"/>
      <c r="J45" s="1899"/>
      <c r="K45" s="1899"/>
      <c r="L45" s="1899"/>
      <c r="M45" s="1899"/>
      <c r="N45" s="1899"/>
      <c r="O45" s="1899"/>
      <c r="P45" s="1899"/>
      <c r="Q45" s="1899"/>
      <c r="R45" s="1899"/>
      <c r="S45" s="1899"/>
      <c r="T45" s="1899"/>
      <c r="U45" s="1899"/>
      <c r="V45" s="1899"/>
      <c r="W45" s="1899"/>
      <c r="X45" s="1899"/>
      <c r="Y45" s="1899"/>
      <c r="Z45" s="1899"/>
      <c r="AA45" s="1899"/>
      <c r="AB45" s="1899"/>
      <c r="AC45" s="1899"/>
      <c r="AD45" s="1899"/>
      <c r="AE45" s="1899"/>
      <c r="AF45" s="1899"/>
      <c r="AG45" s="1899"/>
      <c r="AH45" s="1899"/>
      <c r="AI45" s="1899"/>
      <c r="AJ45" s="816"/>
      <c r="AK45" s="595"/>
      <c r="AM45" s="874"/>
      <c r="AN45" s="874"/>
    </row>
    <row r="46" spans="1:40" ht="15.9" customHeight="1">
      <c r="A46" s="595"/>
      <c r="B46" s="819"/>
      <c r="C46" s="595"/>
      <c r="D46" s="595"/>
      <c r="E46" s="1899"/>
      <c r="F46" s="1899"/>
      <c r="G46" s="1899"/>
      <c r="H46" s="1899"/>
      <c r="I46" s="1899"/>
      <c r="J46" s="1899"/>
      <c r="K46" s="1899"/>
      <c r="L46" s="1899"/>
      <c r="M46" s="1899"/>
      <c r="N46" s="1899"/>
      <c r="O46" s="1899"/>
      <c r="P46" s="1899"/>
      <c r="Q46" s="1899"/>
      <c r="R46" s="1899"/>
      <c r="S46" s="1899"/>
      <c r="T46" s="1899"/>
      <c r="U46" s="1899"/>
      <c r="V46" s="1899"/>
      <c r="W46" s="1899"/>
      <c r="X46" s="1899"/>
      <c r="Y46" s="1899"/>
      <c r="Z46" s="1899"/>
      <c r="AA46" s="1899"/>
      <c r="AB46" s="1899"/>
      <c r="AC46" s="1899"/>
      <c r="AD46" s="1899"/>
      <c r="AE46" s="1899"/>
      <c r="AF46" s="1899"/>
      <c r="AG46" s="1899"/>
      <c r="AH46" s="1899"/>
      <c r="AI46" s="1899"/>
      <c r="AJ46" s="816"/>
      <c r="AK46" s="595"/>
      <c r="AM46" s="874"/>
      <c r="AN46" s="874"/>
    </row>
    <row r="47" spans="1:40" ht="15.9" customHeight="1">
      <c r="A47" s="595"/>
      <c r="B47" s="819"/>
      <c r="C47" s="595"/>
      <c r="D47" s="595"/>
      <c r="E47" s="1899"/>
      <c r="F47" s="1899"/>
      <c r="G47" s="1899"/>
      <c r="H47" s="1899"/>
      <c r="I47" s="1899"/>
      <c r="J47" s="1899"/>
      <c r="K47" s="1899"/>
      <c r="L47" s="1899"/>
      <c r="M47" s="1899"/>
      <c r="N47" s="1899"/>
      <c r="O47" s="1899"/>
      <c r="P47" s="1899"/>
      <c r="Q47" s="1899"/>
      <c r="R47" s="1899"/>
      <c r="S47" s="1899"/>
      <c r="T47" s="1899"/>
      <c r="U47" s="1899"/>
      <c r="V47" s="1899"/>
      <c r="W47" s="1899"/>
      <c r="X47" s="1899"/>
      <c r="Y47" s="1899"/>
      <c r="Z47" s="1899"/>
      <c r="AA47" s="1899"/>
      <c r="AB47" s="1899"/>
      <c r="AC47" s="1899"/>
      <c r="AD47" s="1899"/>
      <c r="AE47" s="1899"/>
      <c r="AF47" s="1899"/>
      <c r="AG47" s="1899"/>
      <c r="AH47" s="1899"/>
      <c r="AI47" s="1899"/>
      <c r="AJ47" s="816"/>
      <c r="AK47" s="595"/>
    </row>
    <row r="48" spans="1:40" ht="15.9" customHeight="1">
      <c r="A48" s="595"/>
      <c r="B48" s="819"/>
      <c r="C48" s="595"/>
      <c r="D48" s="595"/>
      <c r="E48" s="1899"/>
      <c r="F48" s="1899"/>
      <c r="G48" s="1899"/>
      <c r="H48" s="1899"/>
      <c r="I48" s="1899"/>
      <c r="J48" s="1899"/>
      <c r="K48" s="1899"/>
      <c r="L48" s="1899"/>
      <c r="M48" s="1899"/>
      <c r="N48" s="1899"/>
      <c r="O48" s="1899"/>
      <c r="P48" s="1899"/>
      <c r="Q48" s="1899"/>
      <c r="R48" s="1899"/>
      <c r="S48" s="1899"/>
      <c r="T48" s="1899"/>
      <c r="U48" s="1899"/>
      <c r="V48" s="1899"/>
      <c r="W48" s="1899"/>
      <c r="X48" s="1899"/>
      <c r="Y48" s="1899"/>
      <c r="Z48" s="1899"/>
      <c r="AA48" s="1899"/>
      <c r="AB48" s="1899"/>
      <c r="AC48" s="1899"/>
      <c r="AD48" s="1899"/>
      <c r="AE48" s="1899"/>
      <c r="AF48" s="1899"/>
      <c r="AG48" s="1899"/>
      <c r="AH48" s="1899"/>
      <c r="AI48" s="1899"/>
      <c r="AJ48" s="816"/>
      <c r="AK48" s="595"/>
    </row>
    <row r="49" spans="1:37" ht="15.9" customHeight="1">
      <c r="A49" s="595"/>
      <c r="B49" s="819"/>
      <c r="C49" s="595"/>
      <c r="D49" s="595"/>
      <c r="E49" s="1899"/>
      <c r="F49" s="1899"/>
      <c r="G49" s="1899"/>
      <c r="H49" s="1899"/>
      <c r="I49" s="1899"/>
      <c r="J49" s="1899"/>
      <c r="K49" s="1899"/>
      <c r="L49" s="1899"/>
      <c r="M49" s="1899"/>
      <c r="N49" s="1899"/>
      <c r="O49" s="1899"/>
      <c r="P49" s="1899"/>
      <c r="Q49" s="1899"/>
      <c r="R49" s="1899"/>
      <c r="S49" s="1899"/>
      <c r="T49" s="1899"/>
      <c r="U49" s="1899"/>
      <c r="V49" s="1899"/>
      <c r="W49" s="1899"/>
      <c r="X49" s="1899"/>
      <c r="Y49" s="1899"/>
      <c r="Z49" s="1899"/>
      <c r="AA49" s="1899"/>
      <c r="AB49" s="1899"/>
      <c r="AC49" s="1899"/>
      <c r="AD49" s="1899"/>
      <c r="AE49" s="1899"/>
      <c r="AF49" s="1899"/>
      <c r="AG49" s="1899"/>
      <c r="AH49" s="1899"/>
      <c r="AI49" s="1899"/>
      <c r="AJ49" s="816"/>
      <c r="AK49" s="595"/>
    </row>
    <row r="50" spans="1:37" ht="15.9" customHeight="1">
      <c r="A50" s="595"/>
      <c r="B50" s="819"/>
      <c r="C50" s="595"/>
      <c r="D50" s="595"/>
      <c r="E50" s="1899"/>
      <c r="F50" s="1899"/>
      <c r="G50" s="1899"/>
      <c r="H50" s="1899"/>
      <c r="I50" s="1899"/>
      <c r="J50" s="1899"/>
      <c r="K50" s="1899"/>
      <c r="L50" s="1899"/>
      <c r="M50" s="1899"/>
      <c r="N50" s="1899"/>
      <c r="O50" s="1899"/>
      <c r="P50" s="1899"/>
      <c r="Q50" s="1899"/>
      <c r="R50" s="1899"/>
      <c r="S50" s="1899"/>
      <c r="T50" s="1899"/>
      <c r="U50" s="1899"/>
      <c r="V50" s="1899"/>
      <c r="W50" s="1899"/>
      <c r="X50" s="1899"/>
      <c r="Y50" s="1899"/>
      <c r="Z50" s="1899"/>
      <c r="AA50" s="1899"/>
      <c r="AB50" s="1899"/>
      <c r="AC50" s="1899"/>
      <c r="AD50" s="1899"/>
      <c r="AE50" s="1899"/>
      <c r="AF50" s="1899"/>
      <c r="AG50" s="1899"/>
      <c r="AH50" s="1899"/>
      <c r="AI50" s="1899"/>
      <c r="AJ50" s="827"/>
      <c r="AK50" s="595"/>
    </row>
    <row r="51" spans="1:37" ht="15.9" customHeight="1">
      <c r="A51" s="595"/>
      <c r="B51" s="819"/>
      <c r="C51" s="595"/>
      <c r="D51" s="595"/>
      <c r="E51" s="1899"/>
      <c r="F51" s="1899"/>
      <c r="G51" s="1899"/>
      <c r="H51" s="1899"/>
      <c r="I51" s="1899"/>
      <c r="J51" s="1899"/>
      <c r="K51" s="1899"/>
      <c r="L51" s="1899"/>
      <c r="M51" s="1899"/>
      <c r="N51" s="1899"/>
      <c r="O51" s="1899"/>
      <c r="P51" s="1899"/>
      <c r="Q51" s="1899"/>
      <c r="R51" s="1899"/>
      <c r="S51" s="1899"/>
      <c r="T51" s="1899"/>
      <c r="U51" s="1899"/>
      <c r="V51" s="1899"/>
      <c r="W51" s="1899"/>
      <c r="X51" s="1899"/>
      <c r="Y51" s="1899"/>
      <c r="Z51" s="1899"/>
      <c r="AA51" s="1899"/>
      <c r="AB51" s="1899"/>
      <c r="AC51" s="1899"/>
      <c r="AD51" s="1899"/>
      <c r="AE51" s="1899"/>
      <c r="AF51" s="1899"/>
      <c r="AG51" s="1899"/>
      <c r="AH51" s="1899"/>
      <c r="AI51" s="1899"/>
      <c r="AJ51" s="827"/>
      <c r="AK51" s="595"/>
    </row>
    <row r="52" spans="1:37" ht="15.9" customHeight="1">
      <c r="A52" s="595"/>
      <c r="B52" s="819"/>
      <c r="C52" s="595"/>
      <c r="D52" s="595"/>
      <c r="E52" s="1899"/>
      <c r="F52" s="1899"/>
      <c r="G52" s="1899"/>
      <c r="H52" s="1899"/>
      <c r="I52" s="1899"/>
      <c r="J52" s="1899"/>
      <c r="K52" s="1899"/>
      <c r="L52" s="1899"/>
      <c r="M52" s="1899"/>
      <c r="N52" s="1899"/>
      <c r="O52" s="1899"/>
      <c r="P52" s="1899"/>
      <c r="Q52" s="1899"/>
      <c r="R52" s="1899"/>
      <c r="S52" s="1899"/>
      <c r="T52" s="1899"/>
      <c r="U52" s="1899"/>
      <c r="V52" s="1899"/>
      <c r="W52" s="1899"/>
      <c r="X52" s="1899"/>
      <c r="Y52" s="1899"/>
      <c r="Z52" s="1899"/>
      <c r="AA52" s="1899"/>
      <c r="AB52" s="1899"/>
      <c r="AC52" s="1899"/>
      <c r="AD52" s="1899"/>
      <c r="AE52" s="1899"/>
      <c r="AF52" s="1899"/>
      <c r="AG52" s="1899"/>
      <c r="AH52" s="1899"/>
      <c r="AI52" s="1899"/>
      <c r="AJ52" s="816"/>
      <c r="AK52" s="595"/>
    </row>
    <row r="53" spans="1:37" ht="15.9" customHeight="1">
      <c r="A53" s="595"/>
      <c r="B53" s="819"/>
      <c r="C53" s="595"/>
      <c r="D53" s="595"/>
      <c r="E53" s="1899"/>
      <c r="F53" s="1899"/>
      <c r="G53" s="1899"/>
      <c r="H53" s="1899"/>
      <c r="I53" s="1899"/>
      <c r="J53" s="1899"/>
      <c r="K53" s="1899"/>
      <c r="L53" s="1899"/>
      <c r="M53" s="1899"/>
      <c r="N53" s="1899"/>
      <c r="O53" s="1899"/>
      <c r="P53" s="1899"/>
      <c r="Q53" s="1899"/>
      <c r="R53" s="1899"/>
      <c r="S53" s="1899"/>
      <c r="T53" s="1899"/>
      <c r="U53" s="1899"/>
      <c r="V53" s="1899"/>
      <c r="W53" s="1899"/>
      <c r="X53" s="1899"/>
      <c r="Y53" s="1899"/>
      <c r="Z53" s="1899"/>
      <c r="AA53" s="1899"/>
      <c r="AB53" s="1899"/>
      <c r="AC53" s="1899"/>
      <c r="AD53" s="1899"/>
      <c r="AE53" s="1899"/>
      <c r="AF53" s="1899"/>
      <c r="AG53" s="1899"/>
      <c r="AH53" s="1899"/>
      <c r="AI53" s="1899"/>
      <c r="AJ53" s="816"/>
      <c r="AK53" s="595"/>
    </row>
    <row r="54" spans="1:37" ht="15.9" customHeight="1">
      <c r="A54" s="595"/>
      <c r="B54" s="819"/>
      <c r="C54" s="595"/>
      <c r="D54" s="595"/>
      <c r="E54" s="1899"/>
      <c r="F54" s="1899"/>
      <c r="G54" s="1899"/>
      <c r="H54" s="1899"/>
      <c r="I54" s="1899"/>
      <c r="J54" s="1899"/>
      <c r="K54" s="1899"/>
      <c r="L54" s="1899"/>
      <c r="M54" s="1899"/>
      <c r="N54" s="1899"/>
      <c r="O54" s="1899"/>
      <c r="P54" s="1899"/>
      <c r="Q54" s="1899"/>
      <c r="R54" s="1899"/>
      <c r="S54" s="1899"/>
      <c r="T54" s="1899"/>
      <c r="U54" s="1899"/>
      <c r="V54" s="1899"/>
      <c r="W54" s="1899"/>
      <c r="X54" s="1899"/>
      <c r="Y54" s="1899"/>
      <c r="Z54" s="1899"/>
      <c r="AA54" s="1899"/>
      <c r="AB54" s="1899"/>
      <c r="AC54" s="1899"/>
      <c r="AD54" s="1899"/>
      <c r="AE54" s="1899"/>
      <c r="AF54" s="1899"/>
      <c r="AG54" s="1899"/>
      <c r="AH54" s="1899"/>
      <c r="AI54" s="1899"/>
      <c r="AJ54" s="816"/>
      <c r="AK54" s="595"/>
    </row>
    <row r="55" spans="1:37" ht="15.9" customHeight="1">
      <c r="A55" s="595"/>
      <c r="B55" s="819"/>
      <c r="C55" s="595"/>
      <c r="D55" s="595"/>
      <c r="E55" s="1899"/>
      <c r="F55" s="1899"/>
      <c r="G55" s="1899"/>
      <c r="H55" s="1899"/>
      <c r="I55" s="1899"/>
      <c r="J55" s="1899"/>
      <c r="K55" s="1899"/>
      <c r="L55" s="1899"/>
      <c r="M55" s="1899"/>
      <c r="N55" s="1899"/>
      <c r="O55" s="1899"/>
      <c r="P55" s="1899"/>
      <c r="Q55" s="1899"/>
      <c r="R55" s="1899"/>
      <c r="S55" s="1899"/>
      <c r="T55" s="1899"/>
      <c r="U55" s="1899"/>
      <c r="V55" s="1899"/>
      <c r="W55" s="1899"/>
      <c r="X55" s="1899"/>
      <c r="Y55" s="1899"/>
      <c r="Z55" s="1899"/>
      <c r="AA55" s="1899"/>
      <c r="AB55" s="1899"/>
      <c r="AC55" s="1899"/>
      <c r="AD55" s="1899"/>
      <c r="AE55" s="1899"/>
      <c r="AF55" s="1899"/>
      <c r="AG55" s="1899"/>
      <c r="AH55" s="1899"/>
      <c r="AI55" s="1899"/>
      <c r="AJ55" s="816"/>
      <c r="AK55" s="595"/>
    </row>
    <row r="56" spans="1:37" ht="15.9" customHeight="1">
      <c r="A56" s="595"/>
      <c r="B56" s="819"/>
      <c r="C56" s="595"/>
      <c r="D56" s="595"/>
      <c r="E56" s="1899"/>
      <c r="F56" s="1899"/>
      <c r="G56" s="1899"/>
      <c r="H56" s="1899"/>
      <c r="I56" s="1899"/>
      <c r="J56" s="1899"/>
      <c r="K56" s="1899"/>
      <c r="L56" s="1899"/>
      <c r="M56" s="1899"/>
      <c r="N56" s="1899"/>
      <c r="O56" s="1899"/>
      <c r="P56" s="1899"/>
      <c r="Q56" s="1899"/>
      <c r="R56" s="1899"/>
      <c r="S56" s="1899"/>
      <c r="T56" s="1899"/>
      <c r="U56" s="1899"/>
      <c r="V56" s="1899"/>
      <c r="W56" s="1899"/>
      <c r="X56" s="1899"/>
      <c r="Y56" s="1899"/>
      <c r="Z56" s="1899"/>
      <c r="AA56" s="1899"/>
      <c r="AB56" s="1899"/>
      <c r="AC56" s="1899"/>
      <c r="AD56" s="1899"/>
      <c r="AE56" s="1899"/>
      <c r="AF56" s="1899"/>
      <c r="AG56" s="1899"/>
      <c r="AH56" s="1899"/>
      <c r="AI56" s="1899"/>
      <c r="AJ56" s="827"/>
      <c r="AK56" s="595"/>
    </row>
    <row r="57" spans="1:37" ht="15.9" customHeight="1">
      <c r="A57" s="595"/>
      <c r="B57" s="819"/>
      <c r="C57" s="595"/>
      <c r="D57" s="595"/>
      <c r="E57" s="1899"/>
      <c r="F57" s="1899"/>
      <c r="G57" s="1899"/>
      <c r="H57" s="1899"/>
      <c r="I57" s="1899"/>
      <c r="J57" s="1899"/>
      <c r="K57" s="1899"/>
      <c r="L57" s="1899"/>
      <c r="M57" s="1899"/>
      <c r="N57" s="1899"/>
      <c r="O57" s="1899"/>
      <c r="P57" s="1899"/>
      <c r="Q57" s="1899"/>
      <c r="R57" s="1899"/>
      <c r="S57" s="1899"/>
      <c r="T57" s="1899"/>
      <c r="U57" s="1899"/>
      <c r="V57" s="1899"/>
      <c r="W57" s="1899"/>
      <c r="X57" s="1899"/>
      <c r="Y57" s="1899"/>
      <c r="Z57" s="1899"/>
      <c r="AA57" s="1899"/>
      <c r="AB57" s="1899"/>
      <c r="AC57" s="1899"/>
      <c r="AD57" s="1899"/>
      <c r="AE57" s="1899"/>
      <c r="AF57" s="1899"/>
      <c r="AG57" s="1899"/>
      <c r="AH57" s="1899"/>
      <c r="AI57" s="1899"/>
      <c r="AJ57" s="827"/>
      <c r="AK57" s="595"/>
    </row>
    <row r="58" spans="1:37" ht="15.9" customHeight="1">
      <c r="A58" s="595"/>
      <c r="B58" s="819"/>
      <c r="C58" s="595"/>
      <c r="D58" s="595"/>
      <c r="E58" s="1899"/>
      <c r="F58" s="1899"/>
      <c r="G58" s="1899"/>
      <c r="H58" s="1899"/>
      <c r="I58" s="1899"/>
      <c r="J58" s="1899"/>
      <c r="K58" s="1899"/>
      <c r="L58" s="1899"/>
      <c r="M58" s="1899"/>
      <c r="N58" s="1899"/>
      <c r="O58" s="1899"/>
      <c r="P58" s="1899"/>
      <c r="Q58" s="1899"/>
      <c r="R58" s="1899"/>
      <c r="S58" s="1899"/>
      <c r="T58" s="1899"/>
      <c r="U58" s="1899"/>
      <c r="V58" s="1899"/>
      <c r="W58" s="1899"/>
      <c r="X58" s="1899"/>
      <c r="Y58" s="1899"/>
      <c r="Z58" s="1899"/>
      <c r="AA58" s="1899"/>
      <c r="AB58" s="1899"/>
      <c r="AC58" s="1899"/>
      <c r="AD58" s="1899"/>
      <c r="AE58" s="1899"/>
      <c r="AF58" s="1899"/>
      <c r="AG58" s="1899"/>
      <c r="AH58" s="1899"/>
      <c r="AI58" s="1899"/>
      <c r="AJ58" s="816"/>
      <c r="AK58" s="595"/>
    </row>
    <row r="59" spans="1:37" ht="15.9" customHeight="1">
      <c r="A59" s="595"/>
      <c r="B59" s="819"/>
      <c r="C59" s="595"/>
      <c r="D59" s="595"/>
      <c r="E59" s="1899"/>
      <c r="F59" s="1899"/>
      <c r="G59" s="1899"/>
      <c r="H59" s="1899"/>
      <c r="I59" s="1899"/>
      <c r="J59" s="1899"/>
      <c r="K59" s="1899"/>
      <c r="L59" s="1899"/>
      <c r="M59" s="1899"/>
      <c r="N59" s="1899"/>
      <c r="O59" s="1899"/>
      <c r="P59" s="1899"/>
      <c r="Q59" s="1899"/>
      <c r="R59" s="1899"/>
      <c r="S59" s="1899"/>
      <c r="T59" s="1899"/>
      <c r="U59" s="1899"/>
      <c r="V59" s="1899"/>
      <c r="W59" s="1899"/>
      <c r="X59" s="1899"/>
      <c r="Y59" s="1899"/>
      <c r="Z59" s="1899"/>
      <c r="AA59" s="1899"/>
      <c r="AB59" s="1899"/>
      <c r="AC59" s="1899"/>
      <c r="AD59" s="1899"/>
      <c r="AE59" s="1899"/>
      <c r="AF59" s="1899"/>
      <c r="AG59" s="1899"/>
      <c r="AH59" s="1899"/>
      <c r="AI59" s="1899"/>
      <c r="AJ59" s="816"/>
      <c r="AK59" s="595"/>
    </row>
    <row r="60" spans="1:37" ht="15.9" customHeight="1">
      <c r="A60" s="595"/>
      <c r="B60" s="819"/>
      <c r="C60" s="595"/>
      <c r="D60" s="595"/>
      <c r="E60" s="1899"/>
      <c r="F60" s="1899"/>
      <c r="G60" s="1899"/>
      <c r="H60" s="1899"/>
      <c r="I60" s="1899"/>
      <c r="J60" s="1899"/>
      <c r="K60" s="1899"/>
      <c r="L60" s="1899"/>
      <c r="M60" s="1899"/>
      <c r="N60" s="1899"/>
      <c r="O60" s="1899"/>
      <c r="P60" s="1899"/>
      <c r="Q60" s="1899"/>
      <c r="R60" s="1899"/>
      <c r="S60" s="1899"/>
      <c r="T60" s="1899"/>
      <c r="U60" s="1899"/>
      <c r="V60" s="1899"/>
      <c r="W60" s="1899"/>
      <c r="X60" s="1899"/>
      <c r="Y60" s="1899"/>
      <c r="Z60" s="1899"/>
      <c r="AA60" s="1899"/>
      <c r="AB60" s="1899"/>
      <c r="AC60" s="1899"/>
      <c r="AD60" s="1899"/>
      <c r="AE60" s="1899"/>
      <c r="AF60" s="1899"/>
      <c r="AG60" s="1899"/>
      <c r="AH60" s="1899"/>
      <c r="AI60" s="1899"/>
      <c r="AJ60" s="816"/>
      <c r="AK60" s="595"/>
    </row>
    <row r="61" spans="1:37" ht="15.9" customHeight="1">
      <c r="A61" s="595"/>
      <c r="B61" s="819"/>
      <c r="C61" s="595"/>
      <c r="D61" s="595"/>
      <c r="E61" s="1899"/>
      <c r="F61" s="1899"/>
      <c r="G61" s="1899"/>
      <c r="H61" s="1899"/>
      <c r="I61" s="1899"/>
      <c r="J61" s="1899"/>
      <c r="K61" s="1899"/>
      <c r="L61" s="1899"/>
      <c r="M61" s="1899"/>
      <c r="N61" s="1899"/>
      <c r="O61" s="1899"/>
      <c r="P61" s="1899"/>
      <c r="Q61" s="1899"/>
      <c r="R61" s="1899"/>
      <c r="S61" s="1899"/>
      <c r="T61" s="1899"/>
      <c r="U61" s="1899"/>
      <c r="V61" s="1899"/>
      <c r="W61" s="1899"/>
      <c r="X61" s="1899"/>
      <c r="Y61" s="1899"/>
      <c r="Z61" s="1899"/>
      <c r="AA61" s="1899"/>
      <c r="AB61" s="1899"/>
      <c r="AC61" s="1899"/>
      <c r="AD61" s="1899"/>
      <c r="AE61" s="1899"/>
      <c r="AF61" s="1899"/>
      <c r="AG61" s="1899"/>
      <c r="AH61" s="1899"/>
      <c r="AI61" s="1899"/>
      <c r="AJ61" s="816"/>
      <c r="AK61" s="595"/>
    </row>
    <row r="62" spans="1:37">
      <c r="A62" s="595"/>
      <c r="B62" s="819"/>
      <c r="C62" s="595"/>
      <c r="D62" s="595"/>
      <c r="E62" s="879"/>
      <c r="F62" s="879"/>
      <c r="G62" s="879"/>
      <c r="H62" s="879"/>
      <c r="I62" s="879"/>
      <c r="J62" s="879"/>
      <c r="K62" s="879"/>
      <c r="L62" s="879"/>
      <c r="M62" s="879"/>
      <c r="N62" s="879"/>
      <c r="O62" s="879"/>
      <c r="P62" s="879"/>
      <c r="Q62" s="880"/>
      <c r="R62" s="880"/>
      <c r="S62" s="880"/>
      <c r="T62" s="879"/>
      <c r="U62" s="879"/>
      <c r="V62" s="879"/>
      <c r="W62" s="879"/>
      <c r="X62" s="879"/>
      <c r="Y62" s="879"/>
      <c r="Z62" s="879"/>
      <c r="AA62" s="879"/>
      <c r="AB62" s="879"/>
      <c r="AC62" s="879"/>
      <c r="AD62" s="879"/>
      <c r="AE62" s="879"/>
      <c r="AF62" s="879"/>
      <c r="AG62" s="879"/>
      <c r="AH62" s="879"/>
      <c r="AI62" s="879"/>
      <c r="AJ62" s="816"/>
      <c r="AK62" s="595"/>
    </row>
    <row r="63" spans="1:37" ht="15" customHeight="1" thickBot="1">
      <c r="A63" s="595"/>
      <c r="B63" s="815"/>
      <c r="C63" s="881"/>
      <c r="D63" s="881"/>
      <c r="E63" s="881"/>
      <c r="F63" s="881"/>
      <c r="G63" s="881"/>
      <c r="H63" s="881"/>
      <c r="I63" s="881"/>
      <c r="J63" s="881"/>
      <c r="K63" s="881"/>
      <c r="L63" s="881"/>
      <c r="M63" s="881"/>
      <c r="N63" s="881"/>
      <c r="O63" s="881"/>
      <c r="P63" s="881"/>
      <c r="Q63" s="882"/>
      <c r="R63" s="882"/>
      <c r="S63" s="882"/>
      <c r="T63" s="881"/>
      <c r="U63" s="881"/>
      <c r="V63" s="881"/>
      <c r="W63" s="881"/>
      <c r="X63" s="881"/>
      <c r="Y63" s="881"/>
      <c r="Z63" s="881"/>
      <c r="AA63" s="881"/>
      <c r="AB63" s="881"/>
      <c r="AC63" s="881"/>
      <c r="AD63" s="881"/>
      <c r="AE63" s="881"/>
      <c r="AF63" s="881"/>
      <c r="AG63" s="881"/>
      <c r="AH63" s="881"/>
      <c r="AI63" s="881"/>
      <c r="AJ63" s="883"/>
      <c r="AK63" s="595"/>
    </row>
    <row r="64" spans="1:37" ht="6.75" customHeight="1" thickTop="1">
      <c r="A64" s="595"/>
      <c r="B64" s="595"/>
      <c r="C64" s="595"/>
      <c r="D64" s="595"/>
      <c r="E64" s="595"/>
      <c r="F64" s="595"/>
      <c r="G64" s="595"/>
      <c r="H64" s="595"/>
      <c r="I64" s="595"/>
      <c r="J64" s="595"/>
      <c r="K64" s="595"/>
      <c r="L64" s="595"/>
      <c r="M64" s="595"/>
      <c r="N64" s="595"/>
      <c r="O64" s="595"/>
      <c r="P64" s="595"/>
      <c r="Q64" s="812"/>
      <c r="R64" s="812"/>
      <c r="S64" s="812"/>
      <c r="T64" s="595"/>
      <c r="U64" s="595"/>
      <c r="V64" s="595"/>
      <c r="W64" s="595"/>
      <c r="X64" s="595"/>
      <c r="Y64" s="595"/>
      <c r="Z64" s="595"/>
      <c r="AA64" s="595"/>
      <c r="AB64" s="595"/>
      <c r="AC64" s="595"/>
      <c r="AD64" s="595"/>
      <c r="AE64" s="595"/>
      <c r="AF64" s="595"/>
      <c r="AG64" s="595"/>
      <c r="AH64" s="595"/>
      <c r="AI64" s="595"/>
      <c r="AJ64" s="595"/>
      <c r="AK64" s="595"/>
    </row>
  </sheetData>
  <sheetProtection algorithmName="SHA-512" hashValue="0NW7zlmmpl/ke3gH8/+iqFmYT9XJD1Y55gR5ybRIOwCbp04osP32VgDSTm/1lUp9DUTvnTkJ6pH6oLhxumxXUA==" saltValue="VPJ/HdIUkuIob8XZyIqy1A==" spinCount="100000" sheet="1" objects="1" scenarios="1" selectLockedCells="1"/>
  <mergeCells count="83">
    <mergeCell ref="E61:AI61"/>
    <mergeCell ref="E50:AI50"/>
    <mergeCell ref="E51:AI51"/>
    <mergeCell ref="E52:AI52"/>
    <mergeCell ref="E53:AI53"/>
    <mergeCell ref="E54:AI54"/>
    <mergeCell ref="E55:AI55"/>
    <mergeCell ref="E56:AI56"/>
    <mergeCell ref="E57:AI57"/>
    <mergeCell ref="E58:AI58"/>
    <mergeCell ref="E59:AI59"/>
    <mergeCell ref="E60:AI60"/>
    <mergeCell ref="E49:AI49"/>
    <mergeCell ref="E38:AI38"/>
    <mergeCell ref="E39:AI39"/>
    <mergeCell ref="E40:AI40"/>
    <mergeCell ref="E41:AI41"/>
    <mergeCell ref="E42:AI42"/>
    <mergeCell ref="E43:AI43"/>
    <mergeCell ref="E44:AI44"/>
    <mergeCell ref="E45:AI45"/>
    <mergeCell ref="E46:AI46"/>
    <mergeCell ref="E47:AI47"/>
    <mergeCell ref="E48:AI48"/>
    <mergeCell ref="E37:AI37"/>
    <mergeCell ref="E26:AI26"/>
    <mergeCell ref="E27:AI27"/>
    <mergeCell ref="E28:AI28"/>
    <mergeCell ref="E29:AI29"/>
    <mergeCell ref="E30:AI30"/>
    <mergeCell ref="E31:AI31"/>
    <mergeCell ref="E32:AI32"/>
    <mergeCell ref="E33:AI33"/>
    <mergeCell ref="E34:AI34"/>
    <mergeCell ref="E35:AI35"/>
    <mergeCell ref="E36:AI36"/>
    <mergeCell ref="E25:AI25"/>
    <mergeCell ref="B14:AJ14"/>
    <mergeCell ref="E15:AI15"/>
    <mergeCell ref="E16:AI16"/>
    <mergeCell ref="E17:AI17"/>
    <mergeCell ref="E18:AI18"/>
    <mergeCell ref="E19:AI19"/>
    <mergeCell ref="E20:AI20"/>
    <mergeCell ref="E21:AI21"/>
    <mergeCell ref="E22:AI22"/>
    <mergeCell ref="E23:AI23"/>
    <mergeCell ref="E24:AI24"/>
    <mergeCell ref="G12:P12"/>
    <mergeCell ref="AF12:AI12"/>
    <mergeCell ref="C10:F10"/>
    <mergeCell ref="G10:M10"/>
    <mergeCell ref="O10:P10"/>
    <mergeCell ref="R10:S10"/>
    <mergeCell ref="U10:AA10"/>
    <mergeCell ref="AD10:AI10"/>
    <mergeCell ref="C11:F11"/>
    <mergeCell ref="G11:P11"/>
    <mergeCell ref="R11:S11"/>
    <mergeCell ref="U11:AA11"/>
    <mergeCell ref="AD11:AI11"/>
    <mergeCell ref="C8:F8"/>
    <mergeCell ref="G8:S8"/>
    <mergeCell ref="U8:AA8"/>
    <mergeCell ref="AD8:AI8"/>
    <mergeCell ref="C9:F9"/>
    <mergeCell ref="G9:S9"/>
    <mergeCell ref="U9:AA9"/>
    <mergeCell ref="AD9:AI9"/>
    <mergeCell ref="U6:AA6"/>
    <mergeCell ref="AD6:AE6"/>
    <mergeCell ref="C7:F7"/>
    <mergeCell ref="G7:S7"/>
    <mergeCell ref="U7:AA7"/>
    <mergeCell ref="AD7:AI7"/>
    <mergeCell ref="AH6:AI6"/>
    <mergeCell ref="AF6:AG6"/>
    <mergeCell ref="E4:AF4"/>
    <mergeCell ref="AH1:AJ1"/>
    <mergeCell ref="D2:AF2"/>
    <mergeCell ref="AH2:AJ2"/>
    <mergeCell ref="D3:AF3"/>
    <mergeCell ref="AI3:AJ3"/>
  </mergeCells>
  <printOptions horizontalCentered="1"/>
  <pageMargins left="0.25" right="0.25" top="0.5" bottom="0.5" header="0" footer="0"/>
  <pageSetup scale="73" orientation="portrait" r:id="rId1"/>
  <extLst>
    <ext xmlns:x14="http://schemas.microsoft.com/office/spreadsheetml/2009/9/main" uri="{CCE6A557-97BC-4b89-ADB6-D9C93CAAB3DF}">
      <x14:dataValidations xmlns:xm="http://schemas.microsoft.com/office/excel/2006/main" count="5">
        <x14:dataValidation type="list" allowBlank="1" showInputMessage="1" xr:uid="{00000000-0002-0000-1100-000000000000}">
          <x14:formula1>
            <xm:f>List!$B$17</xm:f>
          </x14:formula1>
          <xm:sqref>G11:P11</xm:sqref>
        </x14:dataValidation>
        <x14:dataValidation type="list" showInputMessage="1" xr:uid="{00000000-0002-0000-1100-000001000000}">
          <x14:formula1>
            <xm:f>List!$I$2:$I$4</xm:f>
          </x14:formula1>
          <xm:sqref>O10:P10</xm:sqref>
        </x14:dataValidation>
        <x14:dataValidation type="list" showInputMessage="1" xr:uid="{00000000-0002-0000-1100-000002000000}">
          <x14:formula1>
            <xm:f>List!$H$2:$H$5</xm:f>
          </x14:formula1>
          <xm:sqref>G10:M10</xm:sqref>
        </x14:dataValidation>
        <x14:dataValidation type="list" allowBlank="1" showInputMessage="1" xr:uid="{00000000-0002-0000-1100-000003000000}">
          <x14:formula1>
            <xm:f>List!$F$35:$F$43</xm:f>
          </x14:formula1>
          <xm:sqref>AD6:AE6</xm:sqref>
        </x14:dataValidation>
        <x14:dataValidation type="list" showInputMessage="1" xr:uid="{00000000-0002-0000-1100-000004000000}">
          <x14:formula1>
            <xm:f>List!$F$37:$F$43</xm:f>
          </x14:formula1>
          <xm:sqref>AH6:AI6</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5">
    <tabColor rgb="FFFF3399"/>
    <pageSetUpPr fitToPage="1"/>
  </sheetPr>
  <dimension ref="A1:AT64"/>
  <sheetViews>
    <sheetView zoomScale="94" zoomScaleNormal="94" workbookViewId="0">
      <selection activeCell="E35" sqref="E35:AI35"/>
    </sheetView>
  </sheetViews>
  <sheetFormatPr defaultRowHeight="14.4"/>
  <cols>
    <col min="1" max="1" width="0.6640625" customWidth="1"/>
    <col min="2" max="2" width="3.88671875" customWidth="1"/>
    <col min="3" max="3" width="4" customWidth="1"/>
    <col min="4" max="4" width="2.44140625" customWidth="1"/>
    <col min="5" max="5" width="1.6640625" customWidth="1"/>
    <col min="6" max="6" width="11" customWidth="1"/>
    <col min="7" max="7" width="2.5546875" customWidth="1"/>
    <col min="8" max="8" width="3" customWidth="1"/>
    <col min="9" max="10" width="3.109375" customWidth="1"/>
    <col min="11" max="11" width="2.44140625" customWidth="1"/>
    <col min="12" max="12" width="2.88671875" customWidth="1"/>
    <col min="13" max="13" width="0.6640625" customWidth="1"/>
    <col min="14" max="14" width="5.33203125" customWidth="1"/>
    <col min="15" max="15" width="10.5546875" customWidth="1"/>
    <col min="16" max="16" width="5.109375" customWidth="1"/>
    <col min="17" max="17" width="7.44140625" style="112" customWidth="1"/>
    <col min="18" max="18" width="6.6640625" style="112" customWidth="1"/>
    <col min="19" max="19" width="4.33203125" style="112" customWidth="1"/>
    <col min="20" max="20" width="2" customWidth="1"/>
    <col min="21" max="22" width="2.6640625" customWidth="1"/>
    <col min="23" max="24" width="2.109375" customWidth="1"/>
    <col min="25" max="25" width="4.6640625" customWidth="1"/>
    <col min="26" max="26" width="1.6640625" customWidth="1"/>
    <col min="27" max="27" width="6.6640625" customWidth="1"/>
    <col min="28" max="29" width="1.88671875" customWidth="1"/>
    <col min="30" max="30" width="3" customWidth="1"/>
    <col min="31" max="31" width="4" customWidth="1"/>
    <col min="32" max="32" width="4.33203125" customWidth="1"/>
    <col min="33" max="33" width="1.109375" customWidth="1"/>
    <col min="34" max="35" width="4.33203125" customWidth="1"/>
    <col min="36" max="36" width="5" customWidth="1"/>
    <col min="37" max="37" width="1.33203125" customWidth="1"/>
    <col min="257" max="257" width="0.6640625" customWidth="1"/>
    <col min="258" max="258" width="3.88671875" customWidth="1"/>
    <col min="259" max="259" width="4" customWidth="1"/>
    <col min="260" max="260" width="2.44140625" customWidth="1"/>
    <col min="261" max="261" width="1.6640625" customWidth="1"/>
    <col min="262" max="262" width="11" customWidth="1"/>
    <col min="263" max="263" width="2.5546875" customWidth="1"/>
    <col min="264" max="264" width="3" customWidth="1"/>
    <col min="265" max="266" width="3.109375" customWidth="1"/>
    <col min="267" max="267" width="2.44140625" customWidth="1"/>
    <col min="268" max="268" width="2.88671875" customWidth="1"/>
    <col min="269" max="269" width="0.6640625" customWidth="1"/>
    <col min="270" max="270" width="5.33203125" customWidth="1"/>
    <col min="271" max="271" width="10.5546875" customWidth="1"/>
    <col min="272" max="272" width="5.109375" customWidth="1"/>
    <col min="273" max="273" width="7.44140625" customWidth="1"/>
    <col min="274" max="274" width="6.6640625" customWidth="1"/>
    <col min="275" max="275" width="4.33203125" customWidth="1"/>
    <col min="276" max="276" width="2" customWidth="1"/>
    <col min="277" max="278" width="2.6640625" customWidth="1"/>
    <col min="279" max="280" width="2.109375" customWidth="1"/>
    <col min="281" max="281" width="4.6640625" customWidth="1"/>
    <col min="282" max="282" width="1.6640625" customWidth="1"/>
    <col min="283" max="283" width="6.6640625" customWidth="1"/>
    <col min="284" max="285" width="1.88671875" customWidth="1"/>
    <col min="286" max="286" width="3" customWidth="1"/>
    <col min="287" max="287" width="4" customWidth="1"/>
    <col min="288" max="288" width="4.33203125" customWidth="1"/>
    <col min="289" max="289" width="1.109375" customWidth="1"/>
    <col min="290" max="291" width="4.33203125" customWidth="1"/>
    <col min="292" max="292" width="5" customWidth="1"/>
    <col min="293" max="293" width="1.33203125" customWidth="1"/>
    <col min="513" max="513" width="0.6640625" customWidth="1"/>
    <col min="514" max="514" width="3.88671875" customWidth="1"/>
    <col min="515" max="515" width="4" customWidth="1"/>
    <col min="516" max="516" width="2.44140625" customWidth="1"/>
    <col min="517" max="517" width="1.6640625" customWidth="1"/>
    <col min="518" max="518" width="11" customWidth="1"/>
    <col min="519" max="519" width="2.5546875" customWidth="1"/>
    <col min="520" max="520" width="3" customWidth="1"/>
    <col min="521" max="522" width="3.109375" customWidth="1"/>
    <col min="523" max="523" width="2.44140625" customWidth="1"/>
    <col min="524" max="524" width="2.88671875" customWidth="1"/>
    <col min="525" max="525" width="0.6640625" customWidth="1"/>
    <col min="526" max="526" width="5.33203125" customWidth="1"/>
    <col min="527" max="527" width="10.5546875" customWidth="1"/>
    <col min="528" max="528" width="5.109375" customWidth="1"/>
    <col min="529" max="529" width="7.44140625" customWidth="1"/>
    <col min="530" max="530" width="6.6640625" customWidth="1"/>
    <col min="531" max="531" width="4.33203125" customWidth="1"/>
    <col min="532" max="532" width="2" customWidth="1"/>
    <col min="533" max="534" width="2.6640625" customWidth="1"/>
    <col min="535" max="536" width="2.109375" customWidth="1"/>
    <col min="537" max="537" width="4.6640625" customWidth="1"/>
    <col min="538" max="538" width="1.6640625" customWidth="1"/>
    <col min="539" max="539" width="6.6640625" customWidth="1"/>
    <col min="540" max="541" width="1.88671875" customWidth="1"/>
    <col min="542" max="542" width="3" customWidth="1"/>
    <col min="543" max="543" width="4" customWidth="1"/>
    <col min="544" max="544" width="4.33203125" customWidth="1"/>
    <col min="545" max="545" width="1.109375" customWidth="1"/>
    <col min="546" max="547" width="4.33203125" customWidth="1"/>
    <col min="548" max="548" width="5" customWidth="1"/>
    <col min="549" max="549" width="1.33203125" customWidth="1"/>
    <col min="769" max="769" width="0.6640625" customWidth="1"/>
    <col min="770" max="770" width="3.88671875" customWidth="1"/>
    <col min="771" max="771" width="4" customWidth="1"/>
    <col min="772" max="772" width="2.44140625" customWidth="1"/>
    <col min="773" max="773" width="1.6640625" customWidth="1"/>
    <col min="774" max="774" width="11" customWidth="1"/>
    <col min="775" max="775" width="2.5546875" customWidth="1"/>
    <col min="776" max="776" width="3" customWidth="1"/>
    <col min="777" max="778" width="3.109375" customWidth="1"/>
    <col min="779" max="779" width="2.44140625" customWidth="1"/>
    <col min="780" max="780" width="2.88671875" customWidth="1"/>
    <col min="781" max="781" width="0.6640625" customWidth="1"/>
    <col min="782" max="782" width="5.33203125" customWidth="1"/>
    <col min="783" max="783" width="10.5546875" customWidth="1"/>
    <col min="784" max="784" width="5.109375" customWidth="1"/>
    <col min="785" max="785" width="7.44140625" customWidth="1"/>
    <col min="786" max="786" width="6.6640625" customWidth="1"/>
    <col min="787" max="787" width="4.33203125" customWidth="1"/>
    <col min="788" max="788" width="2" customWidth="1"/>
    <col min="789" max="790" width="2.6640625" customWidth="1"/>
    <col min="791" max="792" width="2.109375" customWidth="1"/>
    <col min="793" max="793" width="4.6640625" customWidth="1"/>
    <col min="794" max="794" width="1.6640625" customWidth="1"/>
    <col min="795" max="795" width="6.6640625" customWidth="1"/>
    <col min="796" max="797" width="1.88671875" customWidth="1"/>
    <col min="798" max="798" width="3" customWidth="1"/>
    <col min="799" max="799" width="4" customWidth="1"/>
    <col min="800" max="800" width="4.33203125" customWidth="1"/>
    <col min="801" max="801" width="1.109375" customWidth="1"/>
    <col min="802" max="803" width="4.33203125" customWidth="1"/>
    <col min="804" max="804" width="5" customWidth="1"/>
    <col min="805" max="805" width="1.33203125" customWidth="1"/>
    <col min="1025" max="1025" width="0.6640625" customWidth="1"/>
    <col min="1026" max="1026" width="3.88671875" customWidth="1"/>
    <col min="1027" max="1027" width="4" customWidth="1"/>
    <col min="1028" max="1028" width="2.44140625" customWidth="1"/>
    <col min="1029" max="1029" width="1.6640625" customWidth="1"/>
    <col min="1030" max="1030" width="11" customWidth="1"/>
    <col min="1031" max="1031" width="2.5546875" customWidth="1"/>
    <col min="1032" max="1032" width="3" customWidth="1"/>
    <col min="1033" max="1034" width="3.109375" customWidth="1"/>
    <col min="1035" max="1035" width="2.44140625" customWidth="1"/>
    <col min="1036" max="1036" width="2.88671875" customWidth="1"/>
    <col min="1037" max="1037" width="0.6640625" customWidth="1"/>
    <col min="1038" max="1038" width="5.33203125" customWidth="1"/>
    <col min="1039" max="1039" width="10.5546875" customWidth="1"/>
    <col min="1040" max="1040" width="5.109375" customWidth="1"/>
    <col min="1041" max="1041" width="7.44140625" customWidth="1"/>
    <col min="1042" max="1042" width="6.6640625" customWidth="1"/>
    <col min="1043" max="1043" width="4.33203125" customWidth="1"/>
    <col min="1044" max="1044" width="2" customWidth="1"/>
    <col min="1045" max="1046" width="2.6640625" customWidth="1"/>
    <col min="1047" max="1048" width="2.109375" customWidth="1"/>
    <col min="1049" max="1049" width="4.6640625" customWidth="1"/>
    <col min="1050" max="1050" width="1.6640625" customWidth="1"/>
    <col min="1051" max="1051" width="6.6640625" customWidth="1"/>
    <col min="1052" max="1053" width="1.88671875" customWidth="1"/>
    <col min="1054" max="1054" width="3" customWidth="1"/>
    <col min="1055" max="1055" width="4" customWidth="1"/>
    <col min="1056" max="1056" width="4.33203125" customWidth="1"/>
    <col min="1057" max="1057" width="1.109375" customWidth="1"/>
    <col min="1058" max="1059" width="4.33203125" customWidth="1"/>
    <col min="1060" max="1060" width="5" customWidth="1"/>
    <col min="1061" max="1061" width="1.33203125" customWidth="1"/>
    <col min="1281" max="1281" width="0.6640625" customWidth="1"/>
    <col min="1282" max="1282" width="3.88671875" customWidth="1"/>
    <col min="1283" max="1283" width="4" customWidth="1"/>
    <col min="1284" max="1284" width="2.44140625" customWidth="1"/>
    <col min="1285" max="1285" width="1.6640625" customWidth="1"/>
    <col min="1286" max="1286" width="11" customWidth="1"/>
    <col min="1287" max="1287" width="2.5546875" customWidth="1"/>
    <col min="1288" max="1288" width="3" customWidth="1"/>
    <col min="1289" max="1290" width="3.109375" customWidth="1"/>
    <col min="1291" max="1291" width="2.44140625" customWidth="1"/>
    <col min="1292" max="1292" width="2.88671875" customWidth="1"/>
    <col min="1293" max="1293" width="0.6640625" customWidth="1"/>
    <col min="1294" max="1294" width="5.33203125" customWidth="1"/>
    <col min="1295" max="1295" width="10.5546875" customWidth="1"/>
    <col min="1296" max="1296" width="5.109375" customWidth="1"/>
    <col min="1297" max="1297" width="7.44140625" customWidth="1"/>
    <col min="1298" max="1298" width="6.6640625" customWidth="1"/>
    <col min="1299" max="1299" width="4.33203125" customWidth="1"/>
    <col min="1300" max="1300" width="2" customWidth="1"/>
    <col min="1301" max="1302" width="2.6640625" customWidth="1"/>
    <col min="1303" max="1304" width="2.109375" customWidth="1"/>
    <col min="1305" max="1305" width="4.6640625" customWidth="1"/>
    <col min="1306" max="1306" width="1.6640625" customWidth="1"/>
    <col min="1307" max="1307" width="6.6640625" customWidth="1"/>
    <col min="1308" max="1309" width="1.88671875" customWidth="1"/>
    <col min="1310" max="1310" width="3" customWidth="1"/>
    <col min="1311" max="1311" width="4" customWidth="1"/>
    <col min="1312" max="1312" width="4.33203125" customWidth="1"/>
    <col min="1313" max="1313" width="1.109375" customWidth="1"/>
    <col min="1314" max="1315" width="4.33203125" customWidth="1"/>
    <col min="1316" max="1316" width="5" customWidth="1"/>
    <col min="1317" max="1317" width="1.33203125" customWidth="1"/>
    <col min="1537" max="1537" width="0.6640625" customWidth="1"/>
    <col min="1538" max="1538" width="3.88671875" customWidth="1"/>
    <col min="1539" max="1539" width="4" customWidth="1"/>
    <col min="1540" max="1540" width="2.44140625" customWidth="1"/>
    <col min="1541" max="1541" width="1.6640625" customWidth="1"/>
    <col min="1542" max="1542" width="11" customWidth="1"/>
    <col min="1543" max="1543" width="2.5546875" customWidth="1"/>
    <col min="1544" max="1544" width="3" customWidth="1"/>
    <col min="1545" max="1546" width="3.109375" customWidth="1"/>
    <col min="1547" max="1547" width="2.44140625" customWidth="1"/>
    <col min="1548" max="1548" width="2.88671875" customWidth="1"/>
    <col min="1549" max="1549" width="0.6640625" customWidth="1"/>
    <col min="1550" max="1550" width="5.33203125" customWidth="1"/>
    <col min="1551" max="1551" width="10.5546875" customWidth="1"/>
    <col min="1552" max="1552" width="5.109375" customWidth="1"/>
    <col min="1553" max="1553" width="7.44140625" customWidth="1"/>
    <col min="1554" max="1554" width="6.6640625" customWidth="1"/>
    <col min="1555" max="1555" width="4.33203125" customWidth="1"/>
    <col min="1556" max="1556" width="2" customWidth="1"/>
    <col min="1557" max="1558" width="2.6640625" customWidth="1"/>
    <col min="1559" max="1560" width="2.109375" customWidth="1"/>
    <col min="1561" max="1561" width="4.6640625" customWidth="1"/>
    <col min="1562" max="1562" width="1.6640625" customWidth="1"/>
    <col min="1563" max="1563" width="6.6640625" customWidth="1"/>
    <col min="1564" max="1565" width="1.88671875" customWidth="1"/>
    <col min="1566" max="1566" width="3" customWidth="1"/>
    <col min="1567" max="1567" width="4" customWidth="1"/>
    <col min="1568" max="1568" width="4.33203125" customWidth="1"/>
    <col min="1569" max="1569" width="1.109375" customWidth="1"/>
    <col min="1570" max="1571" width="4.33203125" customWidth="1"/>
    <col min="1572" max="1572" width="5" customWidth="1"/>
    <col min="1573" max="1573" width="1.33203125" customWidth="1"/>
    <col min="1793" max="1793" width="0.6640625" customWidth="1"/>
    <col min="1794" max="1794" width="3.88671875" customWidth="1"/>
    <col min="1795" max="1795" width="4" customWidth="1"/>
    <col min="1796" max="1796" width="2.44140625" customWidth="1"/>
    <col min="1797" max="1797" width="1.6640625" customWidth="1"/>
    <col min="1798" max="1798" width="11" customWidth="1"/>
    <col min="1799" max="1799" width="2.5546875" customWidth="1"/>
    <col min="1800" max="1800" width="3" customWidth="1"/>
    <col min="1801" max="1802" width="3.109375" customWidth="1"/>
    <col min="1803" max="1803" width="2.44140625" customWidth="1"/>
    <col min="1804" max="1804" width="2.88671875" customWidth="1"/>
    <col min="1805" max="1805" width="0.6640625" customWidth="1"/>
    <col min="1806" max="1806" width="5.33203125" customWidth="1"/>
    <col min="1807" max="1807" width="10.5546875" customWidth="1"/>
    <col min="1808" max="1808" width="5.109375" customWidth="1"/>
    <col min="1809" max="1809" width="7.44140625" customWidth="1"/>
    <col min="1810" max="1810" width="6.6640625" customWidth="1"/>
    <col min="1811" max="1811" width="4.33203125" customWidth="1"/>
    <col min="1812" max="1812" width="2" customWidth="1"/>
    <col min="1813" max="1814" width="2.6640625" customWidth="1"/>
    <col min="1815" max="1816" width="2.109375" customWidth="1"/>
    <col min="1817" max="1817" width="4.6640625" customWidth="1"/>
    <col min="1818" max="1818" width="1.6640625" customWidth="1"/>
    <col min="1819" max="1819" width="6.6640625" customWidth="1"/>
    <col min="1820" max="1821" width="1.88671875" customWidth="1"/>
    <col min="1822" max="1822" width="3" customWidth="1"/>
    <col min="1823" max="1823" width="4" customWidth="1"/>
    <col min="1824" max="1824" width="4.33203125" customWidth="1"/>
    <col min="1825" max="1825" width="1.109375" customWidth="1"/>
    <col min="1826" max="1827" width="4.33203125" customWidth="1"/>
    <col min="1828" max="1828" width="5" customWidth="1"/>
    <col min="1829" max="1829" width="1.33203125" customWidth="1"/>
    <col min="2049" max="2049" width="0.6640625" customWidth="1"/>
    <col min="2050" max="2050" width="3.88671875" customWidth="1"/>
    <col min="2051" max="2051" width="4" customWidth="1"/>
    <col min="2052" max="2052" width="2.44140625" customWidth="1"/>
    <col min="2053" max="2053" width="1.6640625" customWidth="1"/>
    <col min="2054" max="2054" width="11" customWidth="1"/>
    <col min="2055" max="2055" width="2.5546875" customWidth="1"/>
    <col min="2056" max="2056" width="3" customWidth="1"/>
    <col min="2057" max="2058" width="3.109375" customWidth="1"/>
    <col min="2059" max="2059" width="2.44140625" customWidth="1"/>
    <col min="2060" max="2060" width="2.88671875" customWidth="1"/>
    <col min="2061" max="2061" width="0.6640625" customWidth="1"/>
    <col min="2062" max="2062" width="5.33203125" customWidth="1"/>
    <col min="2063" max="2063" width="10.5546875" customWidth="1"/>
    <col min="2064" max="2064" width="5.109375" customWidth="1"/>
    <col min="2065" max="2065" width="7.44140625" customWidth="1"/>
    <col min="2066" max="2066" width="6.6640625" customWidth="1"/>
    <col min="2067" max="2067" width="4.33203125" customWidth="1"/>
    <col min="2068" max="2068" width="2" customWidth="1"/>
    <col min="2069" max="2070" width="2.6640625" customWidth="1"/>
    <col min="2071" max="2072" width="2.109375" customWidth="1"/>
    <col min="2073" max="2073" width="4.6640625" customWidth="1"/>
    <col min="2074" max="2074" width="1.6640625" customWidth="1"/>
    <col min="2075" max="2075" width="6.6640625" customWidth="1"/>
    <col min="2076" max="2077" width="1.88671875" customWidth="1"/>
    <col min="2078" max="2078" width="3" customWidth="1"/>
    <col min="2079" max="2079" width="4" customWidth="1"/>
    <col min="2080" max="2080" width="4.33203125" customWidth="1"/>
    <col min="2081" max="2081" width="1.109375" customWidth="1"/>
    <col min="2082" max="2083" width="4.33203125" customWidth="1"/>
    <col min="2084" max="2084" width="5" customWidth="1"/>
    <col min="2085" max="2085" width="1.33203125" customWidth="1"/>
    <col min="2305" max="2305" width="0.6640625" customWidth="1"/>
    <col min="2306" max="2306" width="3.88671875" customWidth="1"/>
    <col min="2307" max="2307" width="4" customWidth="1"/>
    <col min="2308" max="2308" width="2.44140625" customWidth="1"/>
    <col min="2309" max="2309" width="1.6640625" customWidth="1"/>
    <col min="2310" max="2310" width="11" customWidth="1"/>
    <col min="2311" max="2311" width="2.5546875" customWidth="1"/>
    <col min="2312" max="2312" width="3" customWidth="1"/>
    <col min="2313" max="2314" width="3.109375" customWidth="1"/>
    <col min="2315" max="2315" width="2.44140625" customWidth="1"/>
    <col min="2316" max="2316" width="2.88671875" customWidth="1"/>
    <col min="2317" max="2317" width="0.6640625" customWidth="1"/>
    <col min="2318" max="2318" width="5.33203125" customWidth="1"/>
    <col min="2319" max="2319" width="10.5546875" customWidth="1"/>
    <col min="2320" max="2320" width="5.109375" customWidth="1"/>
    <col min="2321" max="2321" width="7.44140625" customWidth="1"/>
    <col min="2322" max="2322" width="6.6640625" customWidth="1"/>
    <col min="2323" max="2323" width="4.33203125" customWidth="1"/>
    <col min="2324" max="2324" width="2" customWidth="1"/>
    <col min="2325" max="2326" width="2.6640625" customWidth="1"/>
    <col min="2327" max="2328" width="2.109375" customWidth="1"/>
    <col min="2329" max="2329" width="4.6640625" customWidth="1"/>
    <col min="2330" max="2330" width="1.6640625" customWidth="1"/>
    <col min="2331" max="2331" width="6.6640625" customWidth="1"/>
    <col min="2332" max="2333" width="1.88671875" customWidth="1"/>
    <col min="2334" max="2334" width="3" customWidth="1"/>
    <col min="2335" max="2335" width="4" customWidth="1"/>
    <col min="2336" max="2336" width="4.33203125" customWidth="1"/>
    <col min="2337" max="2337" width="1.109375" customWidth="1"/>
    <col min="2338" max="2339" width="4.33203125" customWidth="1"/>
    <col min="2340" max="2340" width="5" customWidth="1"/>
    <col min="2341" max="2341" width="1.33203125" customWidth="1"/>
    <col min="2561" max="2561" width="0.6640625" customWidth="1"/>
    <col min="2562" max="2562" width="3.88671875" customWidth="1"/>
    <col min="2563" max="2563" width="4" customWidth="1"/>
    <col min="2564" max="2564" width="2.44140625" customWidth="1"/>
    <col min="2565" max="2565" width="1.6640625" customWidth="1"/>
    <col min="2566" max="2566" width="11" customWidth="1"/>
    <col min="2567" max="2567" width="2.5546875" customWidth="1"/>
    <col min="2568" max="2568" width="3" customWidth="1"/>
    <col min="2569" max="2570" width="3.109375" customWidth="1"/>
    <col min="2571" max="2571" width="2.44140625" customWidth="1"/>
    <col min="2572" max="2572" width="2.88671875" customWidth="1"/>
    <col min="2573" max="2573" width="0.6640625" customWidth="1"/>
    <col min="2574" max="2574" width="5.33203125" customWidth="1"/>
    <col min="2575" max="2575" width="10.5546875" customWidth="1"/>
    <col min="2576" max="2576" width="5.109375" customWidth="1"/>
    <col min="2577" max="2577" width="7.44140625" customWidth="1"/>
    <col min="2578" max="2578" width="6.6640625" customWidth="1"/>
    <col min="2579" max="2579" width="4.33203125" customWidth="1"/>
    <col min="2580" max="2580" width="2" customWidth="1"/>
    <col min="2581" max="2582" width="2.6640625" customWidth="1"/>
    <col min="2583" max="2584" width="2.109375" customWidth="1"/>
    <col min="2585" max="2585" width="4.6640625" customWidth="1"/>
    <col min="2586" max="2586" width="1.6640625" customWidth="1"/>
    <col min="2587" max="2587" width="6.6640625" customWidth="1"/>
    <col min="2588" max="2589" width="1.88671875" customWidth="1"/>
    <col min="2590" max="2590" width="3" customWidth="1"/>
    <col min="2591" max="2591" width="4" customWidth="1"/>
    <col min="2592" max="2592" width="4.33203125" customWidth="1"/>
    <col min="2593" max="2593" width="1.109375" customWidth="1"/>
    <col min="2594" max="2595" width="4.33203125" customWidth="1"/>
    <col min="2596" max="2596" width="5" customWidth="1"/>
    <col min="2597" max="2597" width="1.33203125" customWidth="1"/>
    <col min="2817" max="2817" width="0.6640625" customWidth="1"/>
    <col min="2818" max="2818" width="3.88671875" customWidth="1"/>
    <col min="2819" max="2819" width="4" customWidth="1"/>
    <col min="2820" max="2820" width="2.44140625" customWidth="1"/>
    <col min="2821" max="2821" width="1.6640625" customWidth="1"/>
    <col min="2822" max="2822" width="11" customWidth="1"/>
    <col min="2823" max="2823" width="2.5546875" customWidth="1"/>
    <col min="2824" max="2824" width="3" customWidth="1"/>
    <col min="2825" max="2826" width="3.109375" customWidth="1"/>
    <col min="2827" max="2827" width="2.44140625" customWidth="1"/>
    <col min="2828" max="2828" width="2.88671875" customWidth="1"/>
    <col min="2829" max="2829" width="0.6640625" customWidth="1"/>
    <col min="2830" max="2830" width="5.33203125" customWidth="1"/>
    <col min="2831" max="2831" width="10.5546875" customWidth="1"/>
    <col min="2832" max="2832" width="5.109375" customWidth="1"/>
    <col min="2833" max="2833" width="7.44140625" customWidth="1"/>
    <col min="2834" max="2834" width="6.6640625" customWidth="1"/>
    <col min="2835" max="2835" width="4.33203125" customWidth="1"/>
    <col min="2836" max="2836" width="2" customWidth="1"/>
    <col min="2837" max="2838" width="2.6640625" customWidth="1"/>
    <col min="2839" max="2840" width="2.109375" customWidth="1"/>
    <col min="2841" max="2841" width="4.6640625" customWidth="1"/>
    <col min="2842" max="2842" width="1.6640625" customWidth="1"/>
    <col min="2843" max="2843" width="6.6640625" customWidth="1"/>
    <col min="2844" max="2845" width="1.88671875" customWidth="1"/>
    <col min="2846" max="2846" width="3" customWidth="1"/>
    <col min="2847" max="2847" width="4" customWidth="1"/>
    <col min="2848" max="2848" width="4.33203125" customWidth="1"/>
    <col min="2849" max="2849" width="1.109375" customWidth="1"/>
    <col min="2850" max="2851" width="4.33203125" customWidth="1"/>
    <col min="2852" max="2852" width="5" customWidth="1"/>
    <col min="2853" max="2853" width="1.33203125" customWidth="1"/>
    <col min="3073" max="3073" width="0.6640625" customWidth="1"/>
    <col min="3074" max="3074" width="3.88671875" customWidth="1"/>
    <col min="3075" max="3075" width="4" customWidth="1"/>
    <col min="3076" max="3076" width="2.44140625" customWidth="1"/>
    <col min="3077" max="3077" width="1.6640625" customWidth="1"/>
    <col min="3078" max="3078" width="11" customWidth="1"/>
    <col min="3079" max="3079" width="2.5546875" customWidth="1"/>
    <col min="3080" max="3080" width="3" customWidth="1"/>
    <col min="3081" max="3082" width="3.109375" customWidth="1"/>
    <col min="3083" max="3083" width="2.44140625" customWidth="1"/>
    <col min="3084" max="3084" width="2.88671875" customWidth="1"/>
    <col min="3085" max="3085" width="0.6640625" customWidth="1"/>
    <col min="3086" max="3086" width="5.33203125" customWidth="1"/>
    <col min="3087" max="3087" width="10.5546875" customWidth="1"/>
    <col min="3088" max="3088" width="5.109375" customWidth="1"/>
    <col min="3089" max="3089" width="7.44140625" customWidth="1"/>
    <col min="3090" max="3090" width="6.6640625" customWidth="1"/>
    <col min="3091" max="3091" width="4.33203125" customWidth="1"/>
    <col min="3092" max="3092" width="2" customWidth="1"/>
    <col min="3093" max="3094" width="2.6640625" customWidth="1"/>
    <col min="3095" max="3096" width="2.109375" customWidth="1"/>
    <col min="3097" max="3097" width="4.6640625" customWidth="1"/>
    <col min="3098" max="3098" width="1.6640625" customWidth="1"/>
    <col min="3099" max="3099" width="6.6640625" customWidth="1"/>
    <col min="3100" max="3101" width="1.88671875" customWidth="1"/>
    <col min="3102" max="3102" width="3" customWidth="1"/>
    <col min="3103" max="3103" width="4" customWidth="1"/>
    <col min="3104" max="3104" width="4.33203125" customWidth="1"/>
    <col min="3105" max="3105" width="1.109375" customWidth="1"/>
    <col min="3106" max="3107" width="4.33203125" customWidth="1"/>
    <col min="3108" max="3108" width="5" customWidth="1"/>
    <col min="3109" max="3109" width="1.33203125" customWidth="1"/>
    <col min="3329" max="3329" width="0.6640625" customWidth="1"/>
    <col min="3330" max="3330" width="3.88671875" customWidth="1"/>
    <col min="3331" max="3331" width="4" customWidth="1"/>
    <col min="3332" max="3332" width="2.44140625" customWidth="1"/>
    <col min="3333" max="3333" width="1.6640625" customWidth="1"/>
    <col min="3334" max="3334" width="11" customWidth="1"/>
    <col min="3335" max="3335" width="2.5546875" customWidth="1"/>
    <col min="3336" max="3336" width="3" customWidth="1"/>
    <col min="3337" max="3338" width="3.109375" customWidth="1"/>
    <col min="3339" max="3339" width="2.44140625" customWidth="1"/>
    <col min="3340" max="3340" width="2.88671875" customWidth="1"/>
    <col min="3341" max="3341" width="0.6640625" customWidth="1"/>
    <col min="3342" max="3342" width="5.33203125" customWidth="1"/>
    <col min="3343" max="3343" width="10.5546875" customWidth="1"/>
    <col min="3344" max="3344" width="5.109375" customWidth="1"/>
    <col min="3345" max="3345" width="7.44140625" customWidth="1"/>
    <col min="3346" max="3346" width="6.6640625" customWidth="1"/>
    <col min="3347" max="3347" width="4.33203125" customWidth="1"/>
    <col min="3348" max="3348" width="2" customWidth="1"/>
    <col min="3349" max="3350" width="2.6640625" customWidth="1"/>
    <col min="3351" max="3352" width="2.109375" customWidth="1"/>
    <col min="3353" max="3353" width="4.6640625" customWidth="1"/>
    <col min="3354" max="3354" width="1.6640625" customWidth="1"/>
    <col min="3355" max="3355" width="6.6640625" customWidth="1"/>
    <col min="3356" max="3357" width="1.88671875" customWidth="1"/>
    <col min="3358" max="3358" width="3" customWidth="1"/>
    <col min="3359" max="3359" width="4" customWidth="1"/>
    <col min="3360" max="3360" width="4.33203125" customWidth="1"/>
    <col min="3361" max="3361" width="1.109375" customWidth="1"/>
    <col min="3362" max="3363" width="4.33203125" customWidth="1"/>
    <col min="3364" max="3364" width="5" customWidth="1"/>
    <col min="3365" max="3365" width="1.33203125" customWidth="1"/>
    <col min="3585" max="3585" width="0.6640625" customWidth="1"/>
    <col min="3586" max="3586" width="3.88671875" customWidth="1"/>
    <col min="3587" max="3587" width="4" customWidth="1"/>
    <col min="3588" max="3588" width="2.44140625" customWidth="1"/>
    <col min="3589" max="3589" width="1.6640625" customWidth="1"/>
    <col min="3590" max="3590" width="11" customWidth="1"/>
    <col min="3591" max="3591" width="2.5546875" customWidth="1"/>
    <col min="3592" max="3592" width="3" customWidth="1"/>
    <col min="3593" max="3594" width="3.109375" customWidth="1"/>
    <col min="3595" max="3595" width="2.44140625" customWidth="1"/>
    <col min="3596" max="3596" width="2.88671875" customWidth="1"/>
    <col min="3597" max="3597" width="0.6640625" customWidth="1"/>
    <col min="3598" max="3598" width="5.33203125" customWidth="1"/>
    <col min="3599" max="3599" width="10.5546875" customWidth="1"/>
    <col min="3600" max="3600" width="5.109375" customWidth="1"/>
    <col min="3601" max="3601" width="7.44140625" customWidth="1"/>
    <col min="3602" max="3602" width="6.6640625" customWidth="1"/>
    <col min="3603" max="3603" width="4.33203125" customWidth="1"/>
    <col min="3604" max="3604" width="2" customWidth="1"/>
    <col min="3605" max="3606" width="2.6640625" customWidth="1"/>
    <col min="3607" max="3608" width="2.109375" customWidth="1"/>
    <col min="3609" max="3609" width="4.6640625" customWidth="1"/>
    <col min="3610" max="3610" width="1.6640625" customWidth="1"/>
    <col min="3611" max="3611" width="6.6640625" customWidth="1"/>
    <col min="3612" max="3613" width="1.88671875" customWidth="1"/>
    <col min="3614" max="3614" width="3" customWidth="1"/>
    <col min="3615" max="3615" width="4" customWidth="1"/>
    <col min="3616" max="3616" width="4.33203125" customWidth="1"/>
    <col min="3617" max="3617" width="1.109375" customWidth="1"/>
    <col min="3618" max="3619" width="4.33203125" customWidth="1"/>
    <col min="3620" max="3620" width="5" customWidth="1"/>
    <col min="3621" max="3621" width="1.33203125" customWidth="1"/>
    <col min="3841" max="3841" width="0.6640625" customWidth="1"/>
    <col min="3842" max="3842" width="3.88671875" customWidth="1"/>
    <col min="3843" max="3843" width="4" customWidth="1"/>
    <col min="3844" max="3844" width="2.44140625" customWidth="1"/>
    <col min="3845" max="3845" width="1.6640625" customWidth="1"/>
    <col min="3846" max="3846" width="11" customWidth="1"/>
    <col min="3847" max="3847" width="2.5546875" customWidth="1"/>
    <col min="3848" max="3848" width="3" customWidth="1"/>
    <col min="3849" max="3850" width="3.109375" customWidth="1"/>
    <col min="3851" max="3851" width="2.44140625" customWidth="1"/>
    <col min="3852" max="3852" width="2.88671875" customWidth="1"/>
    <col min="3853" max="3853" width="0.6640625" customWidth="1"/>
    <col min="3854" max="3854" width="5.33203125" customWidth="1"/>
    <col min="3855" max="3855" width="10.5546875" customWidth="1"/>
    <col min="3856" max="3856" width="5.109375" customWidth="1"/>
    <col min="3857" max="3857" width="7.44140625" customWidth="1"/>
    <col min="3858" max="3858" width="6.6640625" customWidth="1"/>
    <col min="3859" max="3859" width="4.33203125" customWidth="1"/>
    <col min="3860" max="3860" width="2" customWidth="1"/>
    <col min="3861" max="3862" width="2.6640625" customWidth="1"/>
    <col min="3863" max="3864" width="2.109375" customWidth="1"/>
    <col min="3865" max="3865" width="4.6640625" customWidth="1"/>
    <col min="3866" max="3866" width="1.6640625" customWidth="1"/>
    <col min="3867" max="3867" width="6.6640625" customWidth="1"/>
    <col min="3868" max="3869" width="1.88671875" customWidth="1"/>
    <col min="3870" max="3870" width="3" customWidth="1"/>
    <col min="3871" max="3871" width="4" customWidth="1"/>
    <col min="3872" max="3872" width="4.33203125" customWidth="1"/>
    <col min="3873" max="3873" width="1.109375" customWidth="1"/>
    <col min="3874" max="3875" width="4.33203125" customWidth="1"/>
    <col min="3876" max="3876" width="5" customWidth="1"/>
    <col min="3877" max="3877" width="1.33203125" customWidth="1"/>
    <col min="4097" max="4097" width="0.6640625" customWidth="1"/>
    <col min="4098" max="4098" width="3.88671875" customWidth="1"/>
    <col min="4099" max="4099" width="4" customWidth="1"/>
    <col min="4100" max="4100" width="2.44140625" customWidth="1"/>
    <col min="4101" max="4101" width="1.6640625" customWidth="1"/>
    <col min="4102" max="4102" width="11" customWidth="1"/>
    <col min="4103" max="4103" width="2.5546875" customWidth="1"/>
    <col min="4104" max="4104" width="3" customWidth="1"/>
    <col min="4105" max="4106" width="3.109375" customWidth="1"/>
    <col min="4107" max="4107" width="2.44140625" customWidth="1"/>
    <col min="4108" max="4108" width="2.88671875" customWidth="1"/>
    <col min="4109" max="4109" width="0.6640625" customWidth="1"/>
    <col min="4110" max="4110" width="5.33203125" customWidth="1"/>
    <col min="4111" max="4111" width="10.5546875" customWidth="1"/>
    <col min="4112" max="4112" width="5.109375" customWidth="1"/>
    <col min="4113" max="4113" width="7.44140625" customWidth="1"/>
    <col min="4114" max="4114" width="6.6640625" customWidth="1"/>
    <col min="4115" max="4115" width="4.33203125" customWidth="1"/>
    <col min="4116" max="4116" width="2" customWidth="1"/>
    <col min="4117" max="4118" width="2.6640625" customWidth="1"/>
    <col min="4119" max="4120" width="2.109375" customWidth="1"/>
    <col min="4121" max="4121" width="4.6640625" customWidth="1"/>
    <col min="4122" max="4122" width="1.6640625" customWidth="1"/>
    <col min="4123" max="4123" width="6.6640625" customWidth="1"/>
    <col min="4124" max="4125" width="1.88671875" customWidth="1"/>
    <col min="4126" max="4126" width="3" customWidth="1"/>
    <col min="4127" max="4127" width="4" customWidth="1"/>
    <col min="4128" max="4128" width="4.33203125" customWidth="1"/>
    <col min="4129" max="4129" width="1.109375" customWidth="1"/>
    <col min="4130" max="4131" width="4.33203125" customWidth="1"/>
    <col min="4132" max="4132" width="5" customWidth="1"/>
    <col min="4133" max="4133" width="1.33203125" customWidth="1"/>
    <col min="4353" max="4353" width="0.6640625" customWidth="1"/>
    <col min="4354" max="4354" width="3.88671875" customWidth="1"/>
    <col min="4355" max="4355" width="4" customWidth="1"/>
    <col min="4356" max="4356" width="2.44140625" customWidth="1"/>
    <col min="4357" max="4357" width="1.6640625" customWidth="1"/>
    <col min="4358" max="4358" width="11" customWidth="1"/>
    <col min="4359" max="4359" width="2.5546875" customWidth="1"/>
    <col min="4360" max="4360" width="3" customWidth="1"/>
    <col min="4361" max="4362" width="3.109375" customWidth="1"/>
    <col min="4363" max="4363" width="2.44140625" customWidth="1"/>
    <col min="4364" max="4364" width="2.88671875" customWidth="1"/>
    <col min="4365" max="4365" width="0.6640625" customWidth="1"/>
    <col min="4366" max="4366" width="5.33203125" customWidth="1"/>
    <col min="4367" max="4367" width="10.5546875" customWidth="1"/>
    <col min="4368" max="4368" width="5.109375" customWidth="1"/>
    <col min="4369" max="4369" width="7.44140625" customWidth="1"/>
    <col min="4370" max="4370" width="6.6640625" customWidth="1"/>
    <col min="4371" max="4371" width="4.33203125" customWidth="1"/>
    <col min="4372" max="4372" width="2" customWidth="1"/>
    <col min="4373" max="4374" width="2.6640625" customWidth="1"/>
    <col min="4375" max="4376" width="2.109375" customWidth="1"/>
    <col min="4377" max="4377" width="4.6640625" customWidth="1"/>
    <col min="4378" max="4378" width="1.6640625" customWidth="1"/>
    <col min="4379" max="4379" width="6.6640625" customWidth="1"/>
    <col min="4380" max="4381" width="1.88671875" customWidth="1"/>
    <col min="4382" max="4382" width="3" customWidth="1"/>
    <col min="4383" max="4383" width="4" customWidth="1"/>
    <col min="4384" max="4384" width="4.33203125" customWidth="1"/>
    <col min="4385" max="4385" width="1.109375" customWidth="1"/>
    <col min="4386" max="4387" width="4.33203125" customWidth="1"/>
    <col min="4388" max="4388" width="5" customWidth="1"/>
    <col min="4389" max="4389" width="1.33203125" customWidth="1"/>
    <col min="4609" max="4609" width="0.6640625" customWidth="1"/>
    <col min="4610" max="4610" width="3.88671875" customWidth="1"/>
    <col min="4611" max="4611" width="4" customWidth="1"/>
    <col min="4612" max="4612" width="2.44140625" customWidth="1"/>
    <col min="4613" max="4613" width="1.6640625" customWidth="1"/>
    <col min="4614" max="4614" width="11" customWidth="1"/>
    <col min="4615" max="4615" width="2.5546875" customWidth="1"/>
    <col min="4616" max="4616" width="3" customWidth="1"/>
    <col min="4617" max="4618" width="3.109375" customWidth="1"/>
    <col min="4619" max="4619" width="2.44140625" customWidth="1"/>
    <col min="4620" max="4620" width="2.88671875" customWidth="1"/>
    <col min="4621" max="4621" width="0.6640625" customWidth="1"/>
    <col min="4622" max="4622" width="5.33203125" customWidth="1"/>
    <col min="4623" max="4623" width="10.5546875" customWidth="1"/>
    <col min="4624" max="4624" width="5.109375" customWidth="1"/>
    <col min="4625" max="4625" width="7.44140625" customWidth="1"/>
    <col min="4626" max="4626" width="6.6640625" customWidth="1"/>
    <col min="4627" max="4627" width="4.33203125" customWidth="1"/>
    <col min="4628" max="4628" width="2" customWidth="1"/>
    <col min="4629" max="4630" width="2.6640625" customWidth="1"/>
    <col min="4631" max="4632" width="2.109375" customWidth="1"/>
    <col min="4633" max="4633" width="4.6640625" customWidth="1"/>
    <col min="4634" max="4634" width="1.6640625" customWidth="1"/>
    <col min="4635" max="4635" width="6.6640625" customWidth="1"/>
    <col min="4636" max="4637" width="1.88671875" customWidth="1"/>
    <col min="4638" max="4638" width="3" customWidth="1"/>
    <col min="4639" max="4639" width="4" customWidth="1"/>
    <col min="4640" max="4640" width="4.33203125" customWidth="1"/>
    <col min="4641" max="4641" width="1.109375" customWidth="1"/>
    <col min="4642" max="4643" width="4.33203125" customWidth="1"/>
    <col min="4644" max="4644" width="5" customWidth="1"/>
    <col min="4645" max="4645" width="1.33203125" customWidth="1"/>
    <col min="4865" max="4865" width="0.6640625" customWidth="1"/>
    <col min="4866" max="4866" width="3.88671875" customWidth="1"/>
    <col min="4867" max="4867" width="4" customWidth="1"/>
    <col min="4868" max="4868" width="2.44140625" customWidth="1"/>
    <col min="4869" max="4869" width="1.6640625" customWidth="1"/>
    <col min="4870" max="4870" width="11" customWidth="1"/>
    <col min="4871" max="4871" width="2.5546875" customWidth="1"/>
    <col min="4872" max="4872" width="3" customWidth="1"/>
    <col min="4873" max="4874" width="3.109375" customWidth="1"/>
    <col min="4875" max="4875" width="2.44140625" customWidth="1"/>
    <col min="4876" max="4876" width="2.88671875" customWidth="1"/>
    <col min="4877" max="4877" width="0.6640625" customWidth="1"/>
    <col min="4878" max="4878" width="5.33203125" customWidth="1"/>
    <col min="4879" max="4879" width="10.5546875" customWidth="1"/>
    <col min="4880" max="4880" width="5.109375" customWidth="1"/>
    <col min="4881" max="4881" width="7.44140625" customWidth="1"/>
    <col min="4882" max="4882" width="6.6640625" customWidth="1"/>
    <col min="4883" max="4883" width="4.33203125" customWidth="1"/>
    <col min="4884" max="4884" width="2" customWidth="1"/>
    <col min="4885" max="4886" width="2.6640625" customWidth="1"/>
    <col min="4887" max="4888" width="2.109375" customWidth="1"/>
    <col min="4889" max="4889" width="4.6640625" customWidth="1"/>
    <col min="4890" max="4890" width="1.6640625" customWidth="1"/>
    <col min="4891" max="4891" width="6.6640625" customWidth="1"/>
    <col min="4892" max="4893" width="1.88671875" customWidth="1"/>
    <col min="4894" max="4894" width="3" customWidth="1"/>
    <col min="4895" max="4895" width="4" customWidth="1"/>
    <col min="4896" max="4896" width="4.33203125" customWidth="1"/>
    <col min="4897" max="4897" width="1.109375" customWidth="1"/>
    <col min="4898" max="4899" width="4.33203125" customWidth="1"/>
    <col min="4900" max="4900" width="5" customWidth="1"/>
    <col min="4901" max="4901" width="1.33203125" customWidth="1"/>
    <col min="5121" max="5121" width="0.6640625" customWidth="1"/>
    <col min="5122" max="5122" width="3.88671875" customWidth="1"/>
    <col min="5123" max="5123" width="4" customWidth="1"/>
    <col min="5124" max="5124" width="2.44140625" customWidth="1"/>
    <col min="5125" max="5125" width="1.6640625" customWidth="1"/>
    <col min="5126" max="5126" width="11" customWidth="1"/>
    <col min="5127" max="5127" width="2.5546875" customWidth="1"/>
    <col min="5128" max="5128" width="3" customWidth="1"/>
    <col min="5129" max="5130" width="3.109375" customWidth="1"/>
    <col min="5131" max="5131" width="2.44140625" customWidth="1"/>
    <col min="5132" max="5132" width="2.88671875" customWidth="1"/>
    <col min="5133" max="5133" width="0.6640625" customWidth="1"/>
    <col min="5134" max="5134" width="5.33203125" customWidth="1"/>
    <col min="5135" max="5135" width="10.5546875" customWidth="1"/>
    <col min="5136" max="5136" width="5.109375" customWidth="1"/>
    <col min="5137" max="5137" width="7.44140625" customWidth="1"/>
    <col min="5138" max="5138" width="6.6640625" customWidth="1"/>
    <col min="5139" max="5139" width="4.33203125" customWidth="1"/>
    <col min="5140" max="5140" width="2" customWidth="1"/>
    <col min="5141" max="5142" width="2.6640625" customWidth="1"/>
    <col min="5143" max="5144" width="2.109375" customWidth="1"/>
    <col min="5145" max="5145" width="4.6640625" customWidth="1"/>
    <col min="5146" max="5146" width="1.6640625" customWidth="1"/>
    <col min="5147" max="5147" width="6.6640625" customWidth="1"/>
    <col min="5148" max="5149" width="1.88671875" customWidth="1"/>
    <col min="5150" max="5150" width="3" customWidth="1"/>
    <col min="5151" max="5151" width="4" customWidth="1"/>
    <col min="5152" max="5152" width="4.33203125" customWidth="1"/>
    <col min="5153" max="5153" width="1.109375" customWidth="1"/>
    <col min="5154" max="5155" width="4.33203125" customWidth="1"/>
    <col min="5156" max="5156" width="5" customWidth="1"/>
    <col min="5157" max="5157" width="1.33203125" customWidth="1"/>
    <col min="5377" max="5377" width="0.6640625" customWidth="1"/>
    <col min="5378" max="5378" width="3.88671875" customWidth="1"/>
    <col min="5379" max="5379" width="4" customWidth="1"/>
    <col min="5380" max="5380" width="2.44140625" customWidth="1"/>
    <col min="5381" max="5381" width="1.6640625" customWidth="1"/>
    <col min="5382" max="5382" width="11" customWidth="1"/>
    <col min="5383" max="5383" width="2.5546875" customWidth="1"/>
    <col min="5384" max="5384" width="3" customWidth="1"/>
    <col min="5385" max="5386" width="3.109375" customWidth="1"/>
    <col min="5387" max="5387" width="2.44140625" customWidth="1"/>
    <col min="5388" max="5388" width="2.88671875" customWidth="1"/>
    <col min="5389" max="5389" width="0.6640625" customWidth="1"/>
    <col min="5390" max="5390" width="5.33203125" customWidth="1"/>
    <col min="5391" max="5391" width="10.5546875" customWidth="1"/>
    <col min="5392" max="5392" width="5.109375" customWidth="1"/>
    <col min="5393" max="5393" width="7.44140625" customWidth="1"/>
    <col min="5394" max="5394" width="6.6640625" customWidth="1"/>
    <col min="5395" max="5395" width="4.33203125" customWidth="1"/>
    <col min="5396" max="5396" width="2" customWidth="1"/>
    <col min="5397" max="5398" width="2.6640625" customWidth="1"/>
    <col min="5399" max="5400" width="2.109375" customWidth="1"/>
    <col min="5401" max="5401" width="4.6640625" customWidth="1"/>
    <col min="5402" max="5402" width="1.6640625" customWidth="1"/>
    <col min="5403" max="5403" width="6.6640625" customWidth="1"/>
    <col min="5404" max="5405" width="1.88671875" customWidth="1"/>
    <col min="5406" max="5406" width="3" customWidth="1"/>
    <col min="5407" max="5407" width="4" customWidth="1"/>
    <col min="5408" max="5408" width="4.33203125" customWidth="1"/>
    <col min="5409" max="5409" width="1.109375" customWidth="1"/>
    <col min="5410" max="5411" width="4.33203125" customWidth="1"/>
    <col min="5412" max="5412" width="5" customWidth="1"/>
    <col min="5413" max="5413" width="1.33203125" customWidth="1"/>
    <col min="5633" max="5633" width="0.6640625" customWidth="1"/>
    <col min="5634" max="5634" width="3.88671875" customWidth="1"/>
    <col min="5635" max="5635" width="4" customWidth="1"/>
    <col min="5636" max="5636" width="2.44140625" customWidth="1"/>
    <col min="5637" max="5637" width="1.6640625" customWidth="1"/>
    <col min="5638" max="5638" width="11" customWidth="1"/>
    <col min="5639" max="5639" width="2.5546875" customWidth="1"/>
    <col min="5640" max="5640" width="3" customWidth="1"/>
    <col min="5641" max="5642" width="3.109375" customWidth="1"/>
    <col min="5643" max="5643" width="2.44140625" customWidth="1"/>
    <col min="5644" max="5644" width="2.88671875" customWidth="1"/>
    <col min="5645" max="5645" width="0.6640625" customWidth="1"/>
    <col min="5646" max="5646" width="5.33203125" customWidth="1"/>
    <col min="5647" max="5647" width="10.5546875" customWidth="1"/>
    <col min="5648" max="5648" width="5.109375" customWidth="1"/>
    <col min="5649" max="5649" width="7.44140625" customWidth="1"/>
    <col min="5650" max="5650" width="6.6640625" customWidth="1"/>
    <col min="5651" max="5651" width="4.33203125" customWidth="1"/>
    <col min="5652" max="5652" width="2" customWidth="1"/>
    <col min="5653" max="5654" width="2.6640625" customWidth="1"/>
    <col min="5655" max="5656" width="2.109375" customWidth="1"/>
    <col min="5657" max="5657" width="4.6640625" customWidth="1"/>
    <col min="5658" max="5658" width="1.6640625" customWidth="1"/>
    <col min="5659" max="5659" width="6.6640625" customWidth="1"/>
    <col min="5660" max="5661" width="1.88671875" customWidth="1"/>
    <col min="5662" max="5662" width="3" customWidth="1"/>
    <col min="5663" max="5663" width="4" customWidth="1"/>
    <col min="5664" max="5664" width="4.33203125" customWidth="1"/>
    <col min="5665" max="5665" width="1.109375" customWidth="1"/>
    <col min="5666" max="5667" width="4.33203125" customWidth="1"/>
    <col min="5668" max="5668" width="5" customWidth="1"/>
    <col min="5669" max="5669" width="1.33203125" customWidth="1"/>
    <col min="5889" max="5889" width="0.6640625" customWidth="1"/>
    <col min="5890" max="5890" width="3.88671875" customWidth="1"/>
    <col min="5891" max="5891" width="4" customWidth="1"/>
    <col min="5892" max="5892" width="2.44140625" customWidth="1"/>
    <col min="5893" max="5893" width="1.6640625" customWidth="1"/>
    <col min="5894" max="5894" width="11" customWidth="1"/>
    <col min="5895" max="5895" width="2.5546875" customWidth="1"/>
    <col min="5896" max="5896" width="3" customWidth="1"/>
    <col min="5897" max="5898" width="3.109375" customWidth="1"/>
    <col min="5899" max="5899" width="2.44140625" customWidth="1"/>
    <col min="5900" max="5900" width="2.88671875" customWidth="1"/>
    <col min="5901" max="5901" width="0.6640625" customWidth="1"/>
    <col min="5902" max="5902" width="5.33203125" customWidth="1"/>
    <col min="5903" max="5903" width="10.5546875" customWidth="1"/>
    <col min="5904" max="5904" width="5.109375" customWidth="1"/>
    <col min="5905" max="5905" width="7.44140625" customWidth="1"/>
    <col min="5906" max="5906" width="6.6640625" customWidth="1"/>
    <col min="5907" max="5907" width="4.33203125" customWidth="1"/>
    <col min="5908" max="5908" width="2" customWidth="1"/>
    <col min="5909" max="5910" width="2.6640625" customWidth="1"/>
    <col min="5911" max="5912" width="2.109375" customWidth="1"/>
    <col min="5913" max="5913" width="4.6640625" customWidth="1"/>
    <col min="5914" max="5914" width="1.6640625" customWidth="1"/>
    <col min="5915" max="5915" width="6.6640625" customWidth="1"/>
    <col min="5916" max="5917" width="1.88671875" customWidth="1"/>
    <col min="5918" max="5918" width="3" customWidth="1"/>
    <col min="5919" max="5919" width="4" customWidth="1"/>
    <col min="5920" max="5920" width="4.33203125" customWidth="1"/>
    <col min="5921" max="5921" width="1.109375" customWidth="1"/>
    <col min="5922" max="5923" width="4.33203125" customWidth="1"/>
    <col min="5924" max="5924" width="5" customWidth="1"/>
    <col min="5925" max="5925" width="1.33203125" customWidth="1"/>
    <col min="6145" max="6145" width="0.6640625" customWidth="1"/>
    <col min="6146" max="6146" width="3.88671875" customWidth="1"/>
    <col min="6147" max="6147" width="4" customWidth="1"/>
    <col min="6148" max="6148" width="2.44140625" customWidth="1"/>
    <col min="6149" max="6149" width="1.6640625" customWidth="1"/>
    <col min="6150" max="6150" width="11" customWidth="1"/>
    <col min="6151" max="6151" width="2.5546875" customWidth="1"/>
    <col min="6152" max="6152" width="3" customWidth="1"/>
    <col min="6153" max="6154" width="3.109375" customWidth="1"/>
    <col min="6155" max="6155" width="2.44140625" customWidth="1"/>
    <col min="6156" max="6156" width="2.88671875" customWidth="1"/>
    <col min="6157" max="6157" width="0.6640625" customWidth="1"/>
    <col min="6158" max="6158" width="5.33203125" customWidth="1"/>
    <col min="6159" max="6159" width="10.5546875" customWidth="1"/>
    <col min="6160" max="6160" width="5.109375" customWidth="1"/>
    <col min="6161" max="6161" width="7.44140625" customWidth="1"/>
    <col min="6162" max="6162" width="6.6640625" customWidth="1"/>
    <col min="6163" max="6163" width="4.33203125" customWidth="1"/>
    <col min="6164" max="6164" width="2" customWidth="1"/>
    <col min="6165" max="6166" width="2.6640625" customWidth="1"/>
    <col min="6167" max="6168" width="2.109375" customWidth="1"/>
    <col min="6169" max="6169" width="4.6640625" customWidth="1"/>
    <col min="6170" max="6170" width="1.6640625" customWidth="1"/>
    <col min="6171" max="6171" width="6.6640625" customWidth="1"/>
    <col min="6172" max="6173" width="1.88671875" customWidth="1"/>
    <col min="6174" max="6174" width="3" customWidth="1"/>
    <col min="6175" max="6175" width="4" customWidth="1"/>
    <col min="6176" max="6176" width="4.33203125" customWidth="1"/>
    <col min="6177" max="6177" width="1.109375" customWidth="1"/>
    <col min="6178" max="6179" width="4.33203125" customWidth="1"/>
    <col min="6180" max="6180" width="5" customWidth="1"/>
    <col min="6181" max="6181" width="1.33203125" customWidth="1"/>
    <col min="6401" max="6401" width="0.6640625" customWidth="1"/>
    <col min="6402" max="6402" width="3.88671875" customWidth="1"/>
    <col min="6403" max="6403" width="4" customWidth="1"/>
    <col min="6404" max="6404" width="2.44140625" customWidth="1"/>
    <col min="6405" max="6405" width="1.6640625" customWidth="1"/>
    <col min="6406" max="6406" width="11" customWidth="1"/>
    <col min="6407" max="6407" width="2.5546875" customWidth="1"/>
    <col min="6408" max="6408" width="3" customWidth="1"/>
    <col min="6409" max="6410" width="3.109375" customWidth="1"/>
    <col min="6411" max="6411" width="2.44140625" customWidth="1"/>
    <col min="6412" max="6412" width="2.88671875" customWidth="1"/>
    <col min="6413" max="6413" width="0.6640625" customWidth="1"/>
    <col min="6414" max="6414" width="5.33203125" customWidth="1"/>
    <col min="6415" max="6415" width="10.5546875" customWidth="1"/>
    <col min="6416" max="6416" width="5.109375" customWidth="1"/>
    <col min="6417" max="6417" width="7.44140625" customWidth="1"/>
    <col min="6418" max="6418" width="6.6640625" customWidth="1"/>
    <col min="6419" max="6419" width="4.33203125" customWidth="1"/>
    <col min="6420" max="6420" width="2" customWidth="1"/>
    <col min="6421" max="6422" width="2.6640625" customWidth="1"/>
    <col min="6423" max="6424" width="2.109375" customWidth="1"/>
    <col min="6425" max="6425" width="4.6640625" customWidth="1"/>
    <col min="6426" max="6426" width="1.6640625" customWidth="1"/>
    <col min="6427" max="6427" width="6.6640625" customWidth="1"/>
    <col min="6428" max="6429" width="1.88671875" customWidth="1"/>
    <col min="6430" max="6430" width="3" customWidth="1"/>
    <col min="6431" max="6431" width="4" customWidth="1"/>
    <col min="6432" max="6432" width="4.33203125" customWidth="1"/>
    <col min="6433" max="6433" width="1.109375" customWidth="1"/>
    <col min="6434" max="6435" width="4.33203125" customWidth="1"/>
    <col min="6436" max="6436" width="5" customWidth="1"/>
    <col min="6437" max="6437" width="1.33203125" customWidth="1"/>
    <col min="6657" max="6657" width="0.6640625" customWidth="1"/>
    <col min="6658" max="6658" width="3.88671875" customWidth="1"/>
    <col min="6659" max="6659" width="4" customWidth="1"/>
    <col min="6660" max="6660" width="2.44140625" customWidth="1"/>
    <col min="6661" max="6661" width="1.6640625" customWidth="1"/>
    <col min="6662" max="6662" width="11" customWidth="1"/>
    <col min="6663" max="6663" width="2.5546875" customWidth="1"/>
    <col min="6664" max="6664" width="3" customWidth="1"/>
    <col min="6665" max="6666" width="3.109375" customWidth="1"/>
    <col min="6667" max="6667" width="2.44140625" customWidth="1"/>
    <col min="6668" max="6668" width="2.88671875" customWidth="1"/>
    <col min="6669" max="6669" width="0.6640625" customWidth="1"/>
    <col min="6670" max="6670" width="5.33203125" customWidth="1"/>
    <col min="6671" max="6671" width="10.5546875" customWidth="1"/>
    <col min="6672" max="6672" width="5.109375" customWidth="1"/>
    <col min="6673" max="6673" width="7.44140625" customWidth="1"/>
    <col min="6674" max="6674" width="6.6640625" customWidth="1"/>
    <col min="6675" max="6675" width="4.33203125" customWidth="1"/>
    <col min="6676" max="6676" width="2" customWidth="1"/>
    <col min="6677" max="6678" width="2.6640625" customWidth="1"/>
    <col min="6679" max="6680" width="2.109375" customWidth="1"/>
    <col min="6681" max="6681" width="4.6640625" customWidth="1"/>
    <col min="6682" max="6682" width="1.6640625" customWidth="1"/>
    <col min="6683" max="6683" width="6.6640625" customWidth="1"/>
    <col min="6684" max="6685" width="1.88671875" customWidth="1"/>
    <col min="6686" max="6686" width="3" customWidth="1"/>
    <col min="6687" max="6687" width="4" customWidth="1"/>
    <col min="6688" max="6688" width="4.33203125" customWidth="1"/>
    <col min="6689" max="6689" width="1.109375" customWidth="1"/>
    <col min="6690" max="6691" width="4.33203125" customWidth="1"/>
    <col min="6692" max="6692" width="5" customWidth="1"/>
    <col min="6693" max="6693" width="1.33203125" customWidth="1"/>
    <col min="6913" max="6913" width="0.6640625" customWidth="1"/>
    <col min="6914" max="6914" width="3.88671875" customWidth="1"/>
    <col min="6915" max="6915" width="4" customWidth="1"/>
    <col min="6916" max="6916" width="2.44140625" customWidth="1"/>
    <col min="6917" max="6917" width="1.6640625" customWidth="1"/>
    <col min="6918" max="6918" width="11" customWidth="1"/>
    <col min="6919" max="6919" width="2.5546875" customWidth="1"/>
    <col min="6920" max="6920" width="3" customWidth="1"/>
    <col min="6921" max="6922" width="3.109375" customWidth="1"/>
    <col min="6923" max="6923" width="2.44140625" customWidth="1"/>
    <col min="6924" max="6924" width="2.88671875" customWidth="1"/>
    <col min="6925" max="6925" width="0.6640625" customWidth="1"/>
    <col min="6926" max="6926" width="5.33203125" customWidth="1"/>
    <col min="6927" max="6927" width="10.5546875" customWidth="1"/>
    <col min="6928" max="6928" width="5.109375" customWidth="1"/>
    <col min="6929" max="6929" width="7.44140625" customWidth="1"/>
    <col min="6930" max="6930" width="6.6640625" customWidth="1"/>
    <col min="6931" max="6931" width="4.33203125" customWidth="1"/>
    <col min="6932" max="6932" width="2" customWidth="1"/>
    <col min="6933" max="6934" width="2.6640625" customWidth="1"/>
    <col min="6935" max="6936" width="2.109375" customWidth="1"/>
    <col min="6937" max="6937" width="4.6640625" customWidth="1"/>
    <col min="6938" max="6938" width="1.6640625" customWidth="1"/>
    <col min="6939" max="6939" width="6.6640625" customWidth="1"/>
    <col min="6940" max="6941" width="1.88671875" customWidth="1"/>
    <col min="6942" max="6942" width="3" customWidth="1"/>
    <col min="6943" max="6943" width="4" customWidth="1"/>
    <col min="6944" max="6944" width="4.33203125" customWidth="1"/>
    <col min="6945" max="6945" width="1.109375" customWidth="1"/>
    <col min="6946" max="6947" width="4.33203125" customWidth="1"/>
    <col min="6948" max="6948" width="5" customWidth="1"/>
    <col min="6949" max="6949" width="1.33203125" customWidth="1"/>
    <col min="7169" max="7169" width="0.6640625" customWidth="1"/>
    <col min="7170" max="7170" width="3.88671875" customWidth="1"/>
    <col min="7171" max="7171" width="4" customWidth="1"/>
    <col min="7172" max="7172" width="2.44140625" customWidth="1"/>
    <col min="7173" max="7173" width="1.6640625" customWidth="1"/>
    <col min="7174" max="7174" width="11" customWidth="1"/>
    <col min="7175" max="7175" width="2.5546875" customWidth="1"/>
    <col min="7176" max="7176" width="3" customWidth="1"/>
    <col min="7177" max="7178" width="3.109375" customWidth="1"/>
    <col min="7179" max="7179" width="2.44140625" customWidth="1"/>
    <col min="7180" max="7180" width="2.88671875" customWidth="1"/>
    <col min="7181" max="7181" width="0.6640625" customWidth="1"/>
    <col min="7182" max="7182" width="5.33203125" customWidth="1"/>
    <col min="7183" max="7183" width="10.5546875" customWidth="1"/>
    <col min="7184" max="7184" width="5.109375" customWidth="1"/>
    <col min="7185" max="7185" width="7.44140625" customWidth="1"/>
    <col min="7186" max="7186" width="6.6640625" customWidth="1"/>
    <col min="7187" max="7187" width="4.33203125" customWidth="1"/>
    <col min="7188" max="7188" width="2" customWidth="1"/>
    <col min="7189" max="7190" width="2.6640625" customWidth="1"/>
    <col min="7191" max="7192" width="2.109375" customWidth="1"/>
    <col min="7193" max="7193" width="4.6640625" customWidth="1"/>
    <col min="7194" max="7194" width="1.6640625" customWidth="1"/>
    <col min="7195" max="7195" width="6.6640625" customWidth="1"/>
    <col min="7196" max="7197" width="1.88671875" customWidth="1"/>
    <col min="7198" max="7198" width="3" customWidth="1"/>
    <col min="7199" max="7199" width="4" customWidth="1"/>
    <col min="7200" max="7200" width="4.33203125" customWidth="1"/>
    <col min="7201" max="7201" width="1.109375" customWidth="1"/>
    <col min="7202" max="7203" width="4.33203125" customWidth="1"/>
    <col min="7204" max="7204" width="5" customWidth="1"/>
    <col min="7205" max="7205" width="1.33203125" customWidth="1"/>
    <col min="7425" max="7425" width="0.6640625" customWidth="1"/>
    <col min="7426" max="7426" width="3.88671875" customWidth="1"/>
    <col min="7427" max="7427" width="4" customWidth="1"/>
    <col min="7428" max="7428" width="2.44140625" customWidth="1"/>
    <col min="7429" max="7429" width="1.6640625" customWidth="1"/>
    <col min="7430" max="7430" width="11" customWidth="1"/>
    <col min="7431" max="7431" width="2.5546875" customWidth="1"/>
    <col min="7432" max="7432" width="3" customWidth="1"/>
    <col min="7433" max="7434" width="3.109375" customWidth="1"/>
    <col min="7435" max="7435" width="2.44140625" customWidth="1"/>
    <col min="7436" max="7436" width="2.88671875" customWidth="1"/>
    <col min="7437" max="7437" width="0.6640625" customWidth="1"/>
    <col min="7438" max="7438" width="5.33203125" customWidth="1"/>
    <col min="7439" max="7439" width="10.5546875" customWidth="1"/>
    <col min="7440" max="7440" width="5.109375" customWidth="1"/>
    <col min="7441" max="7441" width="7.44140625" customWidth="1"/>
    <col min="7442" max="7442" width="6.6640625" customWidth="1"/>
    <col min="7443" max="7443" width="4.33203125" customWidth="1"/>
    <col min="7444" max="7444" width="2" customWidth="1"/>
    <col min="7445" max="7446" width="2.6640625" customWidth="1"/>
    <col min="7447" max="7448" width="2.109375" customWidth="1"/>
    <col min="7449" max="7449" width="4.6640625" customWidth="1"/>
    <col min="7450" max="7450" width="1.6640625" customWidth="1"/>
    <col min="7451" max="7451" width="6.6640625" customWidth="1"/>
    <col min="7452" max="7453" width="1.88671875" customWidth="1"/>
    <col min="7454" max="7454" width="3" customWidth="1"/>
    <col min="7455" max="7455" width="4" customWidth="1"/>
    <col min="7456" max="7456" width="4.33203125" customWidth="1"/>
    <col min="7457" max="7457" width="1.109375" customWidth="1"/>
    <col min="7458" max="7459" width="4.33203125" customWidth="1"/>
    <col min="7460" max="7460" width="5" customWidth="1"/>
    <col min="7461" max="7461" width="1.33203125" customWidth="1"/>
    <col min="7681" max="7681" width="0.6640625" customWidth="1"/>
    <col min="7682" max="7682" width="3.88671875" customWidth="1"/>
    <col min="7683" max="7683" width="4" customWidth="1"/>
    <col min="7684" max="7684" width="2.44140625" customWidth="1"/>
    <col min="7685" max="7685" width="1.6640625" customWidth="1"/>
    <col min="7686" max="7686" width="11" customWidth="1"/>
    <col min="7687" max="7687" width="2.5546875" customWidth="1"/>
    <col min="7688" max="7688" width="3" customWidth="1"/>
    <col min="7689" max="7690" width="3.109375" customWidth="1"/>
    <col min="7691" max="7691" width="2.44140625" customWidth="1"/>
    <col min="7692" max="7692" width="2.88671875" customWidth="1"/>
    <col min="7693" max="7693" width="0.6640625" customWidth="1"/>
    <col min="7694" max="7694" width="5.33203125" customWidth="1"/>
    <col min="7695" max="7695" width="10.5546875" customWidth="1"/>
    <col min="7696" max="7696" width="5.109375" customWidth="1"/>
    <col min="7697" max="7697" width="7.44140625" customWidth="1"/>
    <col min="7698" max="7698" width="6.6640625" customWidth="1"/>
    <col min="7699" max="7699" width="4.33203125" customWidth="1"/>
    <col min="7700" max="7700" width="2" customWidth="1"/>
    <col min="7701" max="7702" width="2.6640625" customWidth="1"/>
    <col min="7703" max="7704" width="2.109375" customWidth="1"/>
    <col min="7705" max="7705" width="4.6640625" customWidth="1"/>
    <col min="7706" max="7706" width="1.6640625" customWidth="1"/>
    <col min="7707" max="7707" width="6.6640625" customWidth="1"/>
    <col min="7708" max="7709" width="1.88671875" customWidth="1"/>
    <col min="7710" max="7710" width="3" customWidth="1"/>
    <col min="7711" max="7711" width="4" customWidth="1"/>
    <col min="7712" max="7712" width="4.33203125" customWidth="1"/>
    <col min="7713" max="7713" width="1.109375" customWidth="1"/>
    <col min="7714" max="7715" width="4.33203125" customWidth="1"/>
    <col min="7716" max="7716" width="5" customWidth="1"/>
    <col min="7717" max="7717" width="1.33203125" customWidth="1"/>
    <col min="7937" max="7937" width="0.6640625" customWidth="1"/>
    <col min="7938" max="7938" width="3.88671875" customWidth="1"/>
    <col min="7939" max="7939" width="4" customWidth="1"/>
    <col min="7940" max="7940" width="2.44140625" customWidth="1"/>
    <col min="7941" max="7941" width="1.6640625" customWidth="1"/>
    <col min="7942" max="7942" width="11" customWidth="1"/>
    <col min="7943" max="7943" width="2.5546875" customWidth="1"/>
    <col min="7944" max="7944" width="3" customWidth="1"/>
    <col min="7945" max="7946" width="3.109375" customWidth="1"/>
    <col min="7947" max="7947" width="2.44140625" customWidth="1"/>
    <col min="7948" max="7948" width="2.88671875" customWidth="1"/>
    <col min="7949" max="7949" width="0.6640625" customWidth="1"/>
    <col min="7950" max="7950" width="5.33203125" customWidth="1"/>
    <col min="7951" max="7951" width="10.5546875" customWidth="1"/>
    <col min="7952" max="7952" width="5.109375" customWidth="1"/>
    <col min="7953" max="7953" width="7.44140625" customWidth="1"/>
    <col min="7954" max="7954" width="6.6640625" customWidth="1"/>
    <col min="7955" max="7955" width="4.33203125" customWidth="1"/>
    <col min="7956" max="7956" width="2" customWidth="1"/>
    <col min="7957" max="7958" width="2.6640625" customWidth="1"/>
    <col min="7959" max="7960" width="2.109375" customWidth="1"/>
    <col min="7961" max="7961" width="4.6640625" customWidth="1"/>
    <col min="7962" max="7962" width="1.6640625" customWidth="1"/>
    <col min="7963" max="7963" width="6.6640625" customWidth="1"/>
    <col min="7964" max="7965" width="1.88671875" customWidth="1"/>
    <col min="7966" max="7966" width="3" customWidth="1"/>
    <col min="7967" max="7967" width="4" customWidth="1"/>
    <col min="7968" max="7968" width="4.33203125" customWidth="1"/>
    <col min="7969" max="7969" width="1.109375" customWidth="1"/>
    <col min="7970" max="7971" width="4.33203125" customWidth="1"/>
    <col min="7972" max="7972" width="5" customWidth="1"/>
    <col min="7973" max="7973" width="1.33203125" customWidth="1"/>
    <col min="8193" max="8193" width="0.6640625" customWidth="1"/>
    <col min="8194" max="8194" width="3.88671875" customWidth="1"/>
    <col min="8195" max="8195" width="4" customWidth="1"/>
    <col min="8196" max="8196" width="2.44140625" customWidth="1"/>
    <col min="8197" max="8197" width="1.6640625" customWidth="1"/>
    <col min="8198" max="8198" width="11" customWidth="1"/>
    <col min="8199" max="8199" width="2.5546875" customWidth="1"/>
    <col min="8200" max="8200" width="3" customWidth="1"/>
    <col min="8201" max="8202" width="3.109375" customWidth="1"/>
    <col min="8203" max="8203" width="2.44140625" customWidth="1"/>
    <col min="8204" max="8204" width="2.88671875" customWidth="1"/>
    <col min="8205" max="8205" width="0.6640625" customWidth="1"/>
    <col min="8206" max="8206" width="5.33203125" customWidth="1"/>
    <col min="8207" max="8207" width="10.5546875" customWidth="1"/>
    <col min="8208" max="8208" width="5.109375" customWidth="1"/>
    <col min="8209" max="8209" width="7.44140625" customWidth="1"/>
    <col min="8210" max="8210" width="6.6640625" customWidth="1"/>
    <col min="8211" max="8211" width="4.33203125" customWidth="1"/>
    <col min="8212" max="8212" width="2" customWidth="1"/>
    <col min="8213" max="8214" width="2.6640625" customWidth="1"/>
    <col min="8215" max="8216" width="2.109375" customWidth="1"/>
    <col min="8217" max="8217" width="4.6640625" customWidth="1"/>
    <col min="8218" max="8218" width="1.6640625" customWidth="1"/>
    <col min="8219" max="8219" width="6.6640625" customWidth="1"/>
    <col min="8220" max="8221" width="1.88671875" customWidth="1"/>
    <col min="8222" max="8222" width="3" customWidth="1"/>
    <col min="8223" max="8223" width="4" customWidth="1"/>
    <col min="8224" max="8224" width="4.33203125" customWidth="1"/>
    <col min="8225" max="8225" width="1.109375" customWidth="1"/>
    <col min="8226" max="8227" width="4.33203125" customWidth="1"/>
    <col min="8228" max="8228" width="5" customWidth="1"/>
    <col min="8229" max="8229" width="1.33203125" customWidth="1"/>
    <col min="8449" max="8449" width="0.6640625" customWidth="1"/>
    <col min="8450" max="8450" width="3.88671875" customWidth="1"/>
    <col min="8451" max="8451" width="4" customWidth="1"/>
    <col min="8452" max="8452" width="2.44140625" customWidth="1"/>
    <col min="8453" max="8453" width="1.6640625" customWidth="1"/>
    <col min="8454" max="8454" width="11" customWidth="1"/>
    <col min="8455" max="8455" width="2.5546875" customWidth="1"/>
    <col min="8456" max="8456" width="3" customWidth="1"/>
    <col min="8457" max="8458" width="3.109375" customWidth="1"/>
    <col min="8459" max="8459" width="2.44140625" customWidth="1"/>
    <col min="8460" max="8460" width="2.88671875" customWidth="1"/>
    <col min="8461" max="8461" width="0.6640625" customWidth="1"/>
    <col min="8462" max="8462" width="5.33203125" customWidth="1"/>
    <col min="8463" max="8463" width="10.5546875" customWidth="1"/>
    <col min="8464" max="8464" width="5.109375" customWidth="1"/>
    <col min="8465" max="8465" width="7.44140625" customWidth="1"/>
    <col min="8466" max="8466" width="6.6640625" customWidth="1"/>
    <col min="8467" max="8467" width="4.33203125" customWidth="1"/>
    <col min="8468" max="8468" width="2" customWidth="1"/>
    <col min="8469" max="8470" width="2.6640625" customWidth="1"/>
    <col min="8471" max="8472" width="2.109375" customWidth="1"/>
    <col min="8473" max="8473" width="4.6640625" customWidth="1"/>
    <col min="8474" max="8474" width="1.6640625" customWidth="1"/>
    <col min="8475" max="8475" width="6.6640625" customWidth="1"/>
    <col min="8476" max="8477" width="1.88671875" customWidth="1"/>
    <col min="8478" max="8478" width="3" customWidth="1"/>
    <col min="8479" max="8479" width="4" customWidth="1"/>
    <col min="8480" max="8480" width="4.33203125" customWidth="1"/>
    <col min="8481" max="8481" width="1.109375" customWidth="1"/>
    <col min="8482" max="8483" width="4.33203125" customWidth="1"/>
    <col min="8484" max="8484" width="5" customWidth="1"/>
    <col min="8485" max="8485" width="1.33203125" customWidth="1"/>
    <col min="8705" max="8705" width="0.6640625" customWidth="1"/>
    <col min="8706" max="8706" width="3.88671875" customWidth="1"/>
    <col min="8707" max="8707" width="4" customWidth="1"/>
    <col min="8708" max="8708" width="2.44140625" customWidth="1"/>
    <col min="8709" max="8709" width="1.6640625" customWidth="1"/>
    <col min="8710" max="8710" width="11" customWidth="1"/>
    <col min="8711" max="8711" width="2.5546875" customWidth="1"/>
    <col min="8712" max="8712" width="3" customWidth="1"/>
    <col min="8713" max="8714" width="3.109375" customWidth="1"/>
    <col min="8715" max="8715" width="2.44140625" customWidth="1"/>
    <col min="8716" max="8716" width="2.88671875" customWidth="1"/>
    <col min="8717" max="8717" width="0.6640625" customWidth="1"/>
    <col min="8718" max="8718" width="5.33203125" customWidth="1"/>
    <col min="8719" max="8719" width="10.5546875" customWidth="1"/>
    <col min="8720" max="8720" width="5.109375" customWidth="1"/>
    <col min="8721" max="8721" width="7.44140625" customWidth="1"/>
    <col min="8722" max="8722" width="6.6640625" customWidth="1"/>
    <col min="8723" max="8723" width="4.33203125" customWidth="1"/>
    <col min="8724" max="8724" width="2" customWidth="1"/>
    <col min="8725" max="8726" width="2.6640625" customWidth="1"/>
    <col min="8727" max="8728" width="2.109375" customWidth="1"/>
    <col min="8729" max="8729" width="4.6640625" customWidth="1"/>
    <col min="8730" max="8730" width="1.6640625" customWidth="1"/>
    <col min="8731" max="8731" width="6.6640625" customWidth="1"/>
    <col min="8732" max="8733" width="1.88671875" customWidth="1"/>
    <col min="8734" max="8734" width="3" customWidth="1"/>
    <col min="8735" max="8735" width="4" customWidth="1"/>
    <col min="8736" max="8736" width="4.33203125" customWidth="1"/>
    <col min="8737" max="8737" width="1.109375" customWidth="1"/>
    <col min="8738" max="8739" width="4.33203125" customWidth="1"/>
    <col min="8740" max="8740" width="5" customWidth="1"/>
    <col min="8741" max="8741" width="1.33203125" customWidth="1"/>
    <col min="8961" max="8961" width="0.6640625" customWidth="1"/>
    <col min="8962" max="8962" width="3.88671875" customWidth="1"/>
    <col min="8963" max="8963" width="4" customWidth="1"/>
    <col min="8964" max="8964" width="2.44140625" customWidth="1"/>
    <col min="8965" max="8965" width="1.6640625" customWidth="1"/>
    <col min="8966" max="8966" width="11" customWidth="1"/>
    <col min="8967" max="8967" width="2.5546875" customWidth="1"/>
    <col min="8968" max="8968" width="3" customWidth="1"/>
    <col min="8969" max="8970" width="3.109375" customWidth="1"/>
    <col min="8971" max="8971" width="2.44140625" customWidth="1"/>
    <col min="8972" max="8972" width="2.88671875" customWidth="1"/>
    <col min="8973" max="8973" width="0.6640625" customWidth="1"/>
    <col min="8974" max="8974" width="5.33203125" customWidth="1"/>
    <col min="8975" max="8975" width="10.5546875" customWidth="1"/>
    <col min="8976" max="8976" width="5.109375" customWidth="1"/>
    <col min="8977" max="8977" width="7.44140625" customWidth="1"/>
    <col min="8978" max="8978" width="6.6640625" customWidth="1"/>
    <col min="8979" max="8979" width="4.33203125" customWidth="1"/>
    <col min="8980" max="8980" width="2" customWidth="1"/>
    <col min="8981" max="8982" width="2.6640625" customWidth="1"/>
    <col min="8983" max="8984" width="2.109375" customWidth="1"/>
    <col min="8985" max="8985" width="4.6640625" customWidth="1"/>
    <col min="8986" max="8986" width="1.6640625" customWidth="1"/>
    <col min="8987" max="8987" width="6.6640625" customWidth="1"/>
    <col min="8988" max="8989" width="1.88671875" customWidth="1"/>
    <col min="8990" max="8990" width="3" customWidth="1"/>
    <col min="8991" max="8991" width="4" customWidth="1"/>
    <col min="8992" max="8992" width="4.33203125" customWidth="1"/>
    <col min="8993" max="8993" width="1.109375" customWidth="1"/>
    <col min="8994" max="8995" width="4.33203125" customWidth="1"/>
    <col min="8996" max="8996" width="5" customWidth="1"/>
    <col min="8997" max="8997" width="1.33203125" customWidth="1"/>
    <col min="9217" max="9217" width="0.6640625" customWidth="1"/>
    <col min="9218" max="9218" width="3.88671875" customWidth="1"/>
    <col min="9219" max="9219" width="4" customWidth="1"/>
    <col min="9220" max="9220" width="2.44140625" customWidth="1"/>
    <col min="9221" max="9221" width="1.6640625" customWidth="1"/>
    <col min="9222" max="9222" width="11" customWidth="1"/>
    <col min="9223" max="9223" width="2.5546875" customWidth="1"/>
    <col min="9224" max="9224" width="3" customWidth="1"/>
    <col min="9225" max="9226" width="3.109375" customWidth="1"/>
    <col min="9227" max="9227" width="2.44140625" customWidth="1"/>
    <col min="9228" max="9228" width="2.88671875" customWidth="1"/>
    <col min="9229" max="9229" width="0.6640625" customWidth="1"/>
    <col min="9230" max="9230" width="5.33203125" customWidth="1"/>
    <col min="9231" max="9231" width="10.5546875" customWidth="1"/>
    <col min="9232" max="9232" width="5.109375" customWidth="1"/>
    <col min="9233" max="9233" width="7.44140625" customWidth="1"/>
    <col min="9234" max="9234" width="6.6640625" customWidth="1"/>
    <col min="9235" max="9235" width="4.33203125" customWidth="1"/>
    <col min="9236" max="9236" width="2" customWidth="1"/>
    <col min="9237" max="9238" width="2.6640625" customWidth="1"/>
    <col min="9239" max="9240" width="2.109375" customWidth="1"/>
    <col min="9241" max="9241" width="4.6640625" customWidth="1"/>
    <col min="9242" max="9242" width="1.6640625" customWidth="1"/>
    <col min="9243" max="9243" width="6.6640625" customWidth="1"/>
    <col min="9244" max="9245" width="1.88671875" customWidth="1"/>
    <col min="9246" max="9246" width="3" customWidth="1"/>
    <col min="9247" max="9247" width="4" customWidth="1"/>
    <col min="9248" max="9248" width="4.33203125" customWidth="1"/>
    <col min="9249" max="9249" width="1.109375" customWidth="1"/>
    <col min="9250" max="9251" width="4.33203125" customWidth="1"/>
    <col min="9252" max="9252" width="5" customWidth="1"/>
    <col min="9253" max="9253" width="1.33203125" customWidth="1"/>
    <col min="9473" max="9473" width="0.6640625" customWidth="1"/>
    <col min="9474" max="9474" width="3.88671875" customWidth="1"/>
    <col min="9475" max="9475" width="4" customWidth="1"/>
    <col min="9476" max="9476" width="2.44140625" customWidth="1"/>
    <col min="9477" max="9477" width="1.6640625" customWidth="1"/>
    <col min="9478" max="9478" width="11" customWidth="1"/>
    <col min="9479" max="9479" width="2.5546875" customWidth="1"/>
    <col min="9480" max="9480" width="3" customWidth="1"/>
    <col min="9481" max="9482" width="3.109375" customWidth="1"/>
    <col min="9483" max="9483" width="2.44140625" customWidth="1"/>
    <col min="9484" max="9484" width="2.88671875" customWidth="1"/>
    <col min="9485" max="9485" width="0.6640625" customWidth="1"/>
    <col min="9486" max="9486" width="5.33203125" customWidth="1"/>
    <col min="9487" max="9487" width="10.5546875" customWidth="1"/>
    <col min="9488" max="9488" width="5.109375" customWidth="1"/>
    <col min="9489" max="9489" width="7.44140625" customWidth="1"/>
    <col min="9490" max="9490" width="6.6640625" customWidth="1"/>
    <col min="9491" max="9491" width="4.33203125" customWidth="1"/>
    <col min="9492" max="9492" width="2" customWidth="1"/>
    <col min="9493" max="9494" width="2.6640625" customWidth="1"/>
    <col min="9495" max="9496" width="2.109375" customWidth="1"/>
    <col min="9497" max="9497" width="4.6640625" customWidth="1"/>
    <col min="9498" max="9498" width="1.6640625" customWidth="1"/>
    <col min="9499" max="9499" width="6.6640625" customWidth="1"/>
    <col min="9500" max="9501" width="1.88671875" customWidth="1"/>
    <col min="9502" max="9502" width="3" customWidth="1"/>
    <col min="9503" max="9503" width="4" customWidth="1"/>
    <col min="9504" max="9504" width="4.33203125" customWidth="1"/>
    <col min="9505" max="9505" width="1.109375" customWidth="1"/>
    <col min="9506" max="9507" width="4.33203125" customWidth="1"/>
    <col min="9508" max="9508" width="5" customWidth="1"/>
    <col min="9509" max="9509" width="1.33203125" customWidth="1"/>
    <col min="9729" max="9729" width="0.6640625" customWidth="1"/>
    <col min="9730" max="9730" width="3.88671875" customWidth="1"/>
    <col min="9731" max="9731" width="4" customWidth="1"/>
    <col min="9732" max="9732" width="2.44140625" customWidth="1"/>
    <col min="9733" max="9733" width="1.6640625" customWidth="1"/>
    <col min="9734" max="9734" width="11" customWidth="1"/>
    <col min="9735" max="9735" width="2.5546875" customWidth="1"/>
    <col min="9736" max="9736" width="3" customWidth="1"/>
    <col min="9737" max="9738" width="3.109375" customWidth="1"/>
    <col min="9739" max="9739" width="2.44140625" customWidth="1"/>
    <col min="9740" max="9740" width="2.88671875" customWidth="1"/>
    <col min="9741" max="9741" width="0.6640625" customWidth="1"/>
    <col min="9742" max="9742" width="5.33203125" customWidth="1"/>
    <col min="9743" max="9743" width="10.5546875" customWidth="1"/>
    <col min="9744" max="9744" width="5.109375" customWidth="1"/>
    <col min="9745" max="9745" width="7.44140625" customWidth="1"/>
    <col min="9746" max="9746" width="6.6640625" customWidth="1"/>
    <col min="9747" max="9747" width="4.33203125" customWidth="1"/>
    <col min="9748" max="9748" width="2" customWidth="1"/>
    <col min="9749" max="9750" width="2.6640625" customWidth="1"/>
    <col min="9751" max="9752" width="2.109375" customWidth="1"/>
    <col min="9753" max="9753" width="4.6640625" customWidth="1"/>
    <col min="9754" max="9754" width="1.6640625" customWidth="1"/>
    <col min="9755" max="9755" width="6.6640625" customWidth="1"/>
    <col min="9756" max="9757" width="1.88671875" customWidth="1"/>
    <col min="9758" max="9758" width="3" customWidth="1"/>
    <col min="9759" max="9759" width="4" customWidth="1"/>
    <col min="9760" max="9760" width="4.33203125" customWidth="1"/>
    <col min="9761" max="9761" width="1.109375" customWidth="1"/>
    <col min="9762" max="9763" width="4.33203125" customWidth="1"/>
    <col min="9764" max="9764" width="5" customWidth="1"/>
    <col min="9765" max="9765" width="1.33203125" customWidth="1"/>
    <col min="9985" max="9985" width="0.6640625" customWidth="1"/>
    <col min="9986" max="9986" width="3.88671875" customWidth="1"/>
    <col min="9987" max="9987" width="4" customWidth="1"/>
    <col min="9988" max="9988" width="2.44140625" customWidth="1"/>
    <col min="9989" max="9989" width="1.6640625" customWidth="1"/>
    <col min="9990" max="9990" width="11" customWidth="1"/>
    <col min="9991" max="9991" width="2.5546875" customWidth="1"/>
    <col min="9992" max="9992" width="3" customWidth="1"/>
    <col min="9993" max="9994" width="3.109375" customWidth="1"/>
    <col min="9995" max="9995" width="2.44140625" customWidth="1"/>
    <col min="9996" max="9996" width="2.88671875" customWidth="1"/>
    <col min="9997" max="9997" width="0.6640625" customWidth="1"/>
    <col min="9998" max="9998" width="5.33203125" customWidth="1"/>
    <col min="9999" max="9999" width="10.5546875" customWidth="1"/>
    <col min="10000" max="10000" width="5.109375" customWidth="1"/>
    <col min="10001" max="10001" width="7.44140625" customWidth="1"/>
    <col min="10002" max="10002" width="6.6640625" customWidth="1"/>
    <col min="10003" max="10003" width="4.33203125" customWidth="1"/>
    <col min="10004" max="10004" width="2" customWidth="1"/>
    <col min="10005" max="10006" width="2.6640625" customWidth="1"/>
    <col min="10007" max="10008" width="2.109375" customWidth="1"/>
    <col min="10009" max="10009" width="4.6640625" customWidth="1"/>
    <col min="10010" max="10010" width="1.6640625" customWidth="1"/>
    <col min="10011" max="10011" width="6.6640625" customWidth="1"/>
    <col min="10012" max="10013" width="1.88671875" customWidth="1"/>
    <col min="10014" max="10014" width="3" customWidth="1"/>
    <col min="10015" max="10015" width="4" customWidth="1"/>
    <col min="10016" max="10016" width="4.33203125" customWidth="1"/>
    <col min="10017" max="10017" width="1.109375" customWidth="1"/>
    <col min="10018" max="10019" width="4.33203125" customWidth="1"/>
    <col min="10020" max="10020" width="5" customWidth="1"/>
    <col min="10021" max="10021" width="1.33203125" customWidth="1"/>
    <col min="10241" max="10241" width="0.6640625" customWidth="1"/>
    <col min="10242" max="10242" width="3.88671875" customWidth="1"/>
    <col min="10243" max="10243" width="4" customWidth="1"/>
    <col min="10244" max="10244" width="2.44140625" customWidth="1"/>
    <col min="10245" max="10245" width="1.6640625" customWidth="1"/>
    <col min="10246" max="10246" width="11" customWidth="1"/>
    <col min="10247" max="10247" width="2.5546875" customWidth="1"/>
    <col min="10248" max="10248" width="3" customWidth="1"/>
    <col min="10249" max="10250" width="3.109375" customWidth="1"/>
    <col min="10251" max="10251" width="2.44140625" customWidth="1"/>
    <col min="10252" max="10252" width="2.88671875" customWidth="1"/>
    <col min="10253" max="10253" width="0.6640625" customWidth="1"/>
    <col min="10254" max="10254" width="5.33203125" customWidth="1"/>
    <col min="10255" max="10255" width="10.5546875" customWidth="1"/>
    <col min="10256" max="10256" width="5.109375" customWidth="1"/>
    <col min="10257" max="10257" width="7.44140625" customWidth="1"/>
    <col min="10258" max="10258" width="6.6640625" customWidth="1"/>
    <col min="10259" max="10259" width="4.33203125" customWidth="1"/>
    <col min="10260" max="10260" width="2" customWidth="1"/>
    <col min="10261" max="10262" width="2.6640625" customWidth="1"/>
    <col min="10263" max="10264" width="2.109375" customWidth="1"/>
    <col min="10265" max="10265" width="4.6640625" customWidth="1"/>
    <col min="10266" max="10266" width="1.6640625" customWidth="1"/>
    <col min="10267" max="10267" width="6.6640625" customWidth="1"/>
    <col min="10268" max="10269" width="1.88671875" customWidth="1"/>
    <col min="10270" max="10270" width="3" customWidth="1"/>
    <col min="10271" max="10271" width="4" customWidth="1"/>
    <col min="10272" max="10272" width="4.33203125" customWidth="1"/>
    <col min="10273" max="10273" width="1.109375" customWidth="1"/>
    <col min="10274" max="10275" width="4.33203125" customWidth="1"/>
    <col min="10276" max="10276" width="5" customWidth="1"/>
    <col min="10277" max="10277" width="1.33203125" customWidth="1"/>
    <col min="10497" max="10497" width="0.6640625" customWidth="1"/>
    <col min="10498" max="10498" width="3.88671875" customWidth="1"/>
    <col min="10499" max="10499" width="4" customWidth="1"/>
    <col min="10500" max="10500" width="2.44140625" customWidth="1"/>
    <col min="10501" max="10501" width="1.6640625" customWidth="1"/>
    <col min="10502" max="10502" width="11" customWidth="1"/>
    <col min="10503" max="10503" width="2.5546875" customWidth="1"/>
    <col min="10504" max="10504" width="3" customWidth="1"/>
    <col min="10505" max="10506" width="3.109375" customWidth="1"/>
    <col min="10507" max="10507" width="2.44140625" customWidth="1"/>
    <col min="10508" max="10508" width="2.88671875" customWidth="1"/>
    <col min="10509" max="10509" width="0.6640625" customWidth="1"/>
    <col min="10510" max="10510" width="5.33203125" customWidth="1"/>
    <col min="10511" max="10511" width="10.5546875" customWidth="1"/>
    <col min="10512" max="10512" width="5.109375" customWidth="1"/>
    <col min="10513" max="10513" width="7.44140625" customWidth="1"/>
    <col min="10514" max="10514" width="6.6640625" customWidth="1"/>
    <col min="10515" max="10515" width="4.33203125" customWidth="1"/>
    <col min="10516" max="10516" width="2" customWidth="1"/>
    <col min="10517" max="10518" width="2.6640625" customWidth="1"/>
    <col min="10519" max="10520" width="2.109375" customWidth="1"/>
    <col min="10521" max="10521" width="4.6640625" customWidth="1"/>
    <col min="10522" max="10522" width="1.6640625" customWidth="1"/>
    <col min="10523" max="10523" width="6.6640625" customWidth="1"/>
    <col min="10524" max="10525" width="1.88671875" customWidth="1"/>
    <col min="10526" max="10526" width="3" customWidth="1"/>
    <col min="10527" max="10527" width="4" customWidth="1"/>
    <col min="10528" max="10528" width="4.33203125" customWidth="1"/>
    <col min="10529" max="10529" width="1.109375" customWidth="1"/>
    <col min="10530" max="10531" width="4.33203125" customWidth="1"/>
    <col min="10532" max="10532" width="5" customWidth="1"/>
    <col min="10533" max="10533" width="1.33203125" customWidth="1"/>
    <col min="10753" max="10753" width="0.6640625" customWidth="1"/>
    <col min="10754" max="10754" width="3.88671875" customWidth="1"/>
    <col min="10755" max="10755" width="4" customWidth="1"/>
    <col min="10756" max="10756" width="2.44140625" customWidth="1"/>
    <col min="10757" max="10757" width="1.6640625" customWidth="1"/>
    <col min="10758" max="10758" width="11" customWidth="1"/>
    <col min="10759" max="10759" width="2.5546875" customWidth="1"/>
    <col min="10760" max="10760" width="3" customWidth="1"/>
    <col min="10761" max="10762" width="3.109375" customWidth="1"/>
    <col min="10763" max="10763" width="2.44140625" customWidth="1"/>
    <col min="10764" max="10764" width="2.88671875" customWidth="1"/>
    <col min="10765" max="10765" width="0.6640625" customWidth="1"/>
    <col min="10766" max="10766" width="5.33203125" customWidth="1"/>
    <col min="10767" max="10767" width="10.5546875" customWidth="1"/>
    <col min="10768" max="10768" width="5.109375" customWidth="1"/>
    <col min="10769" max="10769" width="7.44140625" customWidth="1"/>
    <col min="10770" max="10770" width="6.6640625" customWidth="1"/>
    <col min="10771" max="10771" width="4.33203125" customWidth="1"/>
    <col min="10772" max="10772" width="2" customWidth="1"/>
    <col min="10773" max="10774" width="2.6640625" customWidth="1"/>
    <col min="10775" max="10776" width="2.109375" customWidth="1"/>
    <col min="10777" max="10777" width="4.6640625" customWidth="1"/>
    <col min="10778" max="10778" width="1.6640625" customWidth="1"/>
    <col min="10779" max="10779" width="6.6640625" customWidth="1"/>
    <col min="10780" max="10781" width="1.88671875" customWidth="1"/>
    <col min="10782" max="10782" width="3" customWidth="1"/>
    <col min="10783" max="10783" width="4" customWidth="1"/>
    <col min="10784" max="10784" width="4.33203125" customWidth="1"/>
    <col min="10785" max="10785" width="1.109375" customWidth="1"/>
    <col min="10786" max="10787" width="4.33203125" customWidth="1"/>
    <col min="10788" max="10788" width="5" customWidth="1"/>
    <col min="10789" max="10789" width="1.33203125" customWidth="1"/>
    <col min="11009" max="11009" width="0.6640625" customWidth="1"/>
    <col min="11010" max="11010" width="3.88671875" customWidth="1"/>
    <col min="11011" max="11011" width="4" customWidth="1"/>
    <col min="11012" max="11012" width="2.44140625" customWidth="1"/>
    <col min="11013" max="11013" width="1.6640625" customWidth="1"/>
    <col min="11014" max="11014" width="11" customWidth="1"/>
    <col min="11015" max="11015" width="2.5546875" customWidth="1"/>
    <col min="11016" max="11016" width="3" customWidth="1"/>
    <col min="11017" max="11018" width="3.109375" customWidth="1"/>
    <col min="11019" max="11019" width="2.44140625" customWidth="1"/>
    <col min="11020" max="11020" width="2.88671875" customWidth="1"/>
    <col min="11021" max="11021" width="0.6640625" customWidth="1"/>
    <col min="11022" max="11022" width="5.33203125" customWidth="1"/>
    <col min="11023" max="11023" width="10.5546875" customWidth="1"/>
    <col min="11024" max="11024" width="5.109375" customWidth="1"/>
    <col min="11025" max="11025" width="7.44140625" customWidth="1"/>
    <col min="11026" max="11026" width="6.6640625" customWidth="1"/>
    <col min="11027" max="11027" width="4.33203125" customWidth="1"/>
    <col min="11028" max="11028" width="2" customWidth="1"/>
    <col min="11029" max="11030" width="2.6640625" customWidth="1"/>
    <col min="11031" max="11032" width="2.109375" customWidth="1"/>
    <col min="11033" max="11033" width="4.6640625" customWidth="1"/>
    <col min="11034" max="11034" width="1.6640625" customWidth="1"/>
    <col min="11035" max="11035" width="6.6640625" customWidth="1"/>
    <col min="11036" max="11037" width="1.88671875" customWidth="1"/>
    <col min="11038" max="11038" width="3" customWidth="1"/>
    <col min="11039" max="11039" width="4" customWidth="1"/>
    <col min="11040" max="11040" width="4.33203125" customWidth="1"/>
    <col min="11041" max="11041" width="1.109375" customWidth="1"/>
    <col min="11042" max="11043" width="4.33203125" customWidth="1"/>
    <col min="11044" max="11044" width="5" customWidth="1"/>
    <col min="11045" max="11045" width="1.33203125" customWidth="1"/>
    <col min="11265" max="11265" width="0.6640625" customWidth="1"/>
    <col min="11266" max="11266" width="3.88671875" customWidth="1"/>
    <col min="11267" max="11267" width="4" customWidth="1"/>
    <col min="11268" max="11268" width="2.44140625" customWidth="1"/>
    <col min="11269" max="11269" width="1.6640625" customWidth="1"/>
    <col min="11270" max="11270" width="11" customWidth="1"/>
    <col min="11271" max="11271" width="2.5546875" customWidth="1"/>
    <col min="11272" max="11272" width="3" customWidth="1"/>
    <col min="11273" max="11274" width="3.109375" customWidth="1"/>
    <col min="11275" max="11275" width="2.44140625" customWidth="1"/>
    <col min="11276" max="11276" width="2.88671875" customWidth="1"/>
    <col min="11277" max="11277" width="0.6640625" customWidth="1"/>
    <col min="11278" max="11278" width="5.33203125" customWidth="1"/>
    <col min="11279" max="11279" width="10.5546875" customWidth="1"/>
    <col min="11280" max="11280" width="5.109375" customWidth="1"/>
    <col min="11281" max="11281" width="7.44140625" customWidth="1"/>
    <col min="11282" max="11282" width="6.6640625" customWidth="1"/>
    <col min="11283" max="11283" width="4.33203125" customWidth="1"/>
    <col min="11284" max="11284" width="2" customWidth="1"/>
    <col min="11285" max="11286" width="2.6640625" customWidth="1"/>
    <col min="11287" max="11288" width="2.109375" customWidth="1"/>
    <col min="11289" max="11289" width="4.6640625" customWidth="1"/>
    <col min="11290" max="11290" width="1.6640625" customWidth="1"/>
    <col min="11291" max="11291" width="6.6640625" customWidth="1"/>
    <col min="11292" max="11293" width="1.88671875" customWidth="1"/>
    <col min="11294" max="11294" width="3" customWidth="1"/>
    <col min="11295" max="11295" width="4" customWidth="1"/>
    <col min="11296" max="11296" width="4.33203125" customWidth="1"/>
    <col min="11297" max="11297" width="1.109375" customWidth="1"/>
    <col min="11298" max="11299" width="4.33203125" customWidth="1"/>
    <col min="11300" max="11300" width="5" customWidth="1"/>
    <col min="11301" max="11301" width="1.33203125" customWidth="1"/>
    <col min="11521" max="11521" width="0.6640625" customWidth="1"/>
    <col min="11522" max="11522" width="3.88671875" customWidth="1"/>
    <col min="11523" max="11523" width="4" customWidth="1"/>
    <col min="11524" max="11524" width="2.44140625" customWidth="1"/>
    <col min="11525" max="11525" width="1.6640625" customWidth="1"/>
    <col min="11526" max="11526" width="11" customWidth="1"/>
    <col min="11527" max="11527" width="2.5546875" customWidth="1"/>
    <col min="11528" max="11528" width="3" customWidth="1"/>
    <col min="11529" max="11530" width="3.109375" customWidth="1"/>
    <col min="11531" max="11531" width="2.44140625" customWidth="1"/>
    <col min="11532" max="11532" width="2.88671875" customWidth="1"/>
    <col min="11533" max="11533" width="0.6640625" customWidth="1"/>
    <col min="11534" max="11534" width="5.33203125" customWidth="1"/>
    <col min="11535" max="11535" width="10.5546875" customWidth="1"/>
    <col min="11536" max="11536" width="5.109375" customWidth="1"/>
    <col min="11537" max="11537" width="7.44140625" customWidth="1"/>
    <col min="11538" max="11538" width="6.6640625" customWidth="1"/>
    <col min="11539" max="11539" width="4.33203125" customWidth="1"/>
    <col min="11540" max="11540" width="2" customWidth="1"/>
    <col min="11541" max="11542" width="2.6640625" customWidth="1"/>
    <col min="11543" max="11544" width="2.109375" customWidth="1"/>
    <col min="11545" max="11545" width="4.6640625" customWidth="1"/>
    <col min="11546" max="11546" width="1.6640625" customWidth="1"/>
    <col min="11547" max="11547" width="6.6640625" customWidth="1"/>
    <col min="11548" max="11549" width="1.88671875" customWidth="1"/>
    <col min="11550" max="11550" width="3" customWidth="1"/>
    <col min="11551" max="11551" width="4" customWidth="1"/>
    <col min="11552" max="11552" width="4.33203125" customWidth="1"/>
    <col min="11553" max="11553" width="1.109375" customWidth="1"/>
    <col min="11554" max="11555" width="4.33203125" customWidth="1"/>
    <col min="11556" max="11556" width="5" customWidth="1"/>
    <col min="11557" max="11557" width="1.33203125" customWidth="1"/>
    <col min="11777" max="11777" width="0.6640625" customWidth="1"/>
    <col min="11778" max="11778" width="3.88671875" customWidth="1"/>
    <col min="11779" max="11779" width="4" customWidth="1"/>
    <col min="11780" max="11780" width="2.44140625" customWidth="1"/>
    <col min="11781" max="11781" width="1.6640625" customWidth="1"/>
    <col min="11782" max="11782" width="11" customWidth="1"/>
    <col min="11783" max="11783" width="2.5546875" customWidth="1"/>
    <col min="11784" max="11784" width="3" customWidth="1"/>
    <col min="11785" max="11786" width="3.109375" customWidth="1"/>
    <col min="11787" max="11787" width="2.44140625" customWidth="1"/>
    <col min="11788" max="11788" width="2.88671875" customWidth="1"/>
    <col min="11789" max="11789" width="0.6640625" customWidth="1"/>
    <col min="11790" max="11790" width="5.33203125" customWidth="1"/>
    <col min="11791" max="11791" width="10.5546875" customWidth="1"/>
    <col min="11792" max="11792" width="5.109375" customWidth="1"/>
    <col min="11793" max="11793" width="7.44140625" customWidth="1"/>
    <col min="11794" max="11794" width="6.6640625" customWidth="1"/>
    <col min="11795" max="11795" width="4.33203125" customWidth="1"/>
    <col min="11796" max="11796" width="2" customWidth="1"/>
    <col min="11797" max="11798" width="2.6640625" customWidth="1"/>
    <col min="11799" max="11800" width="2.109375" customWidth="1"/>
    <col min="11801" max="11801" width="4.6640625" customWidth="1"/>
    <col min="11802" max="11802" width="1.6640625" customWidth="1"/>
    <col min="11803" max="11803" width="6.6640625" customWidth="1"/>
    <col min="11804" max="11805" width="1.88671875" customWidth="1"/>
    <col min="11806" max="11806" width="3" customWidth="1"/>
    <col min="11807" max="11807" width="4" customWidth="1"/>
    <col min="11808" max="11808" width="4.33203125" customWidth="1"/>
    <col min="11809" max="11809" width="1.109375" customWidth="1"/>
    <col min="11810" max="11811" width="4.33203125" customWidth="1"/>
    <col min="11812" max="11812" width="5" customWidth="1"/>
    <col min="11813" max="11813" width="1.33203125" customWidth="1"/>
    <col min="12033" max="12033" width="0.6640625" customWidth="1"/>
    <col min="12034" max="12034" width="3.88671875" customWidth="1"/>
    <col min="12035" max="12035" width="4" customWidth="1"/>
    <col min="12036" max="12036" width="2.44140625" customWidth="1"/>
    <col min="12037" max="12037" width="1.6640625" customWidth="1"/>
    <col min="12038" max="12038" width="11" customWidth="1"/>
    <col min="12039" max="12039" width="2.5546875" customWidth="1"/>
    <col min="12040" max="12040" width="3" customWidth="1"/>
    <col min="12041" max="12042" width="3.109375" customWidth="1"/>
    <col min="12043" max="12043" width="2.44140625" customWidth="1"/>
    <col min="12044" max="12044" width="2.88671875" customWidth="1"/>
    <col min="12045" max="12045" width="0.6640625" customWidth="1"/>
    <col min="12046" max="12046" width="5.33203125" customWidth="1"/>
    <col min="12047" max="12047" width="10.5546875" customWidth="1"/>
    <col min="12048" max="12048" width="5.109375" customWidth="1"/>
    <col min="12049" max="12049" width="7.44140625" customWidth="1"/>
    <col min="12050" max="12050" width="6.6640625" customWidth="1"/>
    <col min="12051" max="12051" width="4.33203125" customWidth="1"/>
    <col min="12052" max="12052" width="2" customWidth="1"/>
    <col min="12053" max="12054" width="2.6640625" customWidth="1"/>
    <col min="12055" max="12056" width="2.109375" customWidth="1"/>
    <col min="12057" max="12057" width="4.6640625" customWidth="1"/>
    <col min="12058" max="12058" width="1.6640625" customWidth="1"/>
    <col min="12059" max="12059" width="6.6640625" customWidth="1"/>
    <col min="12060" max="12061" width="1.88671875" customWidth="1"/>
    <col min="12062" max="12062" width="3" customWidth="1"/>
    <col min="12063" max="12063" width="4" customWidth="1"/>
    <col min="12064" max="12064" width="4.33203125" customWidth="1"/>
    <col min="12065" max="12065" width="1.109375" customWidth="1"/>
    <col min="12066" max="12067" width="4.33203125" customWidth="1"/>
    <col min="12068" max="12068" width="5" customWidth="1"/>
    <col min="12069" max="12069" width="1.33203125" customWidth="1"/>
    <col min="12289" max="12289" width="0.6640625" customWidth="1"/>
    <col min="12290" max="12290" width="3.88671875" customWidth="1"/>
    <col min="12291" max="12291" width="4" customWidth="1"/>
    <col min="12292" max="12292" width="2.44140625" customWidth="1"/>
    <col min="12293" max="12293" width="1.6640625" customWidth="1"/>
    <col min="12294" max="12294" width="11" customWidth="1"/>
    <col min="12295" max="12295" width="2.5546875" customWidth="1"/>
    <col min="12296" max="12296" width="3" customWidth="1"/>
    <col min="12297" max="12298" width="3.109375" customWidth="1"/>
    <col min="12299" max="12299" width="2.44140625" customWidth="1"/>
    <col min="12300" max="12300" width="2.88671875" customWidth="1"/>
    <col min="12301" max="12301" width="0.6640625" customWidth="1"/>
    <col min="12302" max="12302" width="5.33203125" customWidth="1"/>
    <col min="12303" max="12303" width="10.5546875" customWidth="1"/>
    <col min="12304" max="12304" width="5.109375" customWidth="1"/>
    <col min="12305" max="12305" width="7.44140625" customWidth="1"/>
    <col min="12306" max="12306" width="6.6640625" customWidth="1"/>
    <col min="12307" max="12307" width="4.33203125" customWidth="1"/>
    <col min="12308" max="12308" width="2" customWidth="1"/>
    <col min="12309" max="12310" width="2.6640625" customWidth="1"/>
    <col min="12311" max="12312" width="2.109375" customWidth="1"/>
    <col min="12313" max="12313" width="4.6640625" customWidth="1"/>
    <col min="12314" max="12314" width="1.6640625" customWidth="1"/>
    <col min="12315" max="12315" width="6.6640625" customWidth="1"/>
    <col min="12316" max="12317" width="1.88671875" customWidth="1"/>
    <col min="12318" max="12318" width="3" customWidth="1"/>
    <col min="12319" max="12319" width="4" customWidth="1"/>
    <col min="12320" max="12320" width="4.33203125" customWidth="1"/>
    <col min="12321" max="12321" width="1.109375" customWidth="1"/>
    <col min="12322" max="12323" width="4.33203125" customWidth="1"/>
    <col min="12324" max="12324" width="5" customWidth="1"/>
    <col min="12325" max="12325" width="1.33203125" customWidth="1"/>
    <col min="12545" max="12545" width="0.6640625" customWidth="1"/>
    <col min="12546" max="12546" width="3.88671875" customWidth="1"/>
    <col min="12547" max="12547" width="4" customWidth="1"/>
    <col min="12548" max="12548" width="2.44140625" customWidth="1"/>
    <col min="12549" max="12549" width="1.6640625" customWidth="1"/>
    <col min="12550" max="12550" width="11" customWidth="1"/>
    <col min="12551" max="12551" width="2.5546875" customWidth="1"/>
    <col min="12552" max="12552" width="3" customWidth="1"/>
    <col min="12553" max="12554" width="3.109375" customWidth="1"/>
    <col min="12555" max="12555" width="2.44140625" customWidth="1"/>
    <col min="12556" max="12556" width="2.88671875" customWidth="1"/>
    <col min="12557" max="12557" width="0.6640625" customWidth="1"/>
    <col min="12558" max="12558" width="5.33203125" customWidth="1"/>
    <col min="12559" max="12559" width="10.5546875" customWidth="1"/>
    <col min="12560" max="12560" width="5.109375" customWidth="1"/>
    <col min="12561" max="12561" width="7.44140625" customWidth="1"/>
    <col min="12562" max="12562" width="6.6640625" customWidth="1"/>
    <col min="12563" max="12563" width="4.33203125" customWidth="1"/>
    <col min="12564" max="12564" width="2" customWidth="1"/>
    <col min="12565" max="12566" width="2.6640625" customWidth="1"/>
    <col min="12567" max="12568" width="2.109375" customWidth="1"/>
    <col min="12569" max="12569" width="4.6640625" customWidth="1"/>
    <col min="12570" max="12570" width="1.6640625" customWidth="1"/>
    <col min="12571" max="12571" width="6.6640625" customWidth="1"/>
    <col min="12572" max="12573" width="1.88671875" customWidth="1"/>
    <col min="12574" max="12574" width="3" customWidth="1"/>
    <col min="12575" max="12575" width="4" customWidth="1"/>
    <col min="12576" max="12576" width="4.33203125" customWidth="1"/>
    <col min="12577" max="12577" width="1.109375" customWidth="1"/>
    <col min="12578" max="12579" width="4.33203125" customWidth="1"/>
    <col min="12580" max="12580" width="5" customWidth="1"/>
    <col min="12581" max="12581" width="1.33203125" customWidth="1"/>
    <col min="12801" max="12801" width="0.6640625" customWidth="1"/>
    <col min="12802" max="12802" width="3.88671875" customWidth="1"/>
    <col min="12803" max="12803" width="4" customWidth="1"/>
    <col min="12804" max="12804" width="2.44140625" customWidth="1"/>
    <col min="12805" max="12805" width="1.6640625" customWidth="1"/>
    <col min="12806" max="12806" width="11" customWidth="1"/>
    <col min="12807" max="12807" width="2.5546875" customWidth="1"/>
    <col min="12808" max="12808" width="3" customWidth="1"/>
    <col min="12809" max="12810" width="3.109375" customWidth="1"/>
    <col min="12811" max="12811" width="2.44140625" customWidth="1"/>
    <col min="12812" max="12812" width="2.88671875" customWidth="1"/>
    <col min="12813" max="12813" width="0.6640625" customWidth="1"/>
    <col min="12814" max="12814" width="5.33203125" customWidth="1"/>
    <col min="12815" max="12815" width="10.5546875" customWidth="1"/>
    <col min="12816" max="12816" width="5.109375" customWidth="1"/>
    <col min="12817" max="12817" width="7.44140625" customWidth="1"/>
    <col min="12818" max="12818" width="6.6640625" customWidth="1"/>
    <col min="12819" max="12819" width="4.33203125" customWidth="1"/>
    <col min="12820" max="12820" width="2" customWidth="1"/>
    <col min="12821" max="12822" width="2.6640625" customWidth="1"/>
    <col min="12823" max="12824" width="2.109375" customWidth="1"/>
    <col min="12825" max="12825" width="4.6640625" customWidth="1"/>
    <col min="12826" max="12826" width="1.6640625" customWidth="1"/>
    <col min="12827" max="12827" width="6.6640625" customWidth="1"/>
    <col min="12828" max="12829" width="1.88671875" customWidth="1"/>
    <col min="12830" max="12830" width="3" customWidth="1"/>
    <col min="12831" max="12831" width="4" customWidth="1"/>
    <col min="12832" max="12832" width="4.33203125" customWidth="1"/>
    <col min="12833" max="12833" width="1.109375" customWidth="1"/>
    <col min="12834" max="12835" width="4.33203125" customWidth="1"/>
    <col min="12836" max="12836" width="5" customWidth="1"/>
    <col min="12837" max="12837" width="1.33203125" customWidth="1"/>
    <col min="13057" max="13057" width="0.6640625" customWidth="1"/>
    <col min="13058" max="13058" width="3.88671875" customWidth="1"/>
    <col min="13059" max="13059" width="4" customWidth="1"/>
    <col min="13060" max="13060" width="2.44140625" customWidth="1"/>
    <col min="13061" max="13061" width="1.6640625" customWidth="1"/>
    <col min="13062" max="13062" width="11" customWidth="1"/>
    <col min="13063" max="13063" width="2.5546875" customWidth="1"/>
    <col min="13064" max="13064" width="3" customWidth="1"/>
    <col min="13065" max="13066" width="3.109375" customWidth="1"/>
    <col min="13067" max="13067" width="2.44140625" customWidth="1"/>
    <col min="13068" max="13068" width="2.88671875" customWidth="1"/>
    <col min="13069" max="13069" width="0.6640625" customWidth="1"/>
    <col min="13070" max="13070" width="5.33203125" customWidth="1"/>
    <col min="13071" max="13071" width="10.5546875" customWidth="1"/>
    <col min="13072" max="13072" width="5.109375" customWidth="1"/>
    <col min="13073" max="13073" width="7.44140625" customWidth="1"/>
    <col min="13074" max="13074" width="6.6640625" customWidth="1"/>
    <col min="13075" max="13075" width="4.33203125" customWidth="1"/>
    <col min="13076" max="13076" width="2" customWidth="1"/>
    <col min="13077" max="13078" width="2.6640625" customWidth="1"/>
    <col min="13079" max="13080" width="2.109375" customWidth="1"/>
    <col min="13081" max="13081" width="4.6640625" customWidth="1"/>
    <col min="13082" max="13082" width="1.6640625" customWidth="1"/>
    <col min="13083" max="13083" width="6.6640625" customWidth="1"/>
    <col min="13084" max="13085" width="1.88671875" customWidth="1"/>
    <col min="13086" max="13086" width="3" customWidth="1"/>
    <col min="13087" max="13087" width="4" customWidth="1"/>
    <col min="13088" max="13088" width="4.33203125" customWidth="1"/>
    <col min="13089" max="13089" width="1.109375" customWidth="1"/>
    <col min="13090" max="13091" width="4.33203125" customWidth="1"/>
    <col min="13092" max="13092" width="5" customWidth="1"/>
    <col min="13093" max="13093" width="1.33203125" customWidth="1"/>
    <col min="13313" max="13313" width="0.6640625" customWidth="1"/>
    <col min="13314" max="13314" width="3.88671875" customWidth="1"/>
    <col min="13315" max="13315" width="4" customWidth="1"/>
    <col min="13316" max="13316" width="2.44140625" customWidth="1"/>
    <col min="13317" max="13317" width="1.6640625" customWidth="1"/>
    <col min="13318" max="13318" width="11" customWidth="1"/>
    <col min="13319" max="13319" width="2.5546875" customWidth="1"/>
    <col min="13320" max="13320" width="3" customWidth="1"/>
    <col min="13321" max="13322" width="3.109375" customWidth="1"/>
    <col min="13323" max="13323" width="2.44140625" customWidth="1"/>
    <col min="13324" max="13324" width="2.88671875" customWidth="1"/>
    <col min="13325" max="13325" width="0.6640625" customWidth="1"/>
    <col min="13326" max="13326" width="5.33203125" customWidth="1"/>
    <col min="13327" max="13327" width="10.5546875" customWidth="1"/>
    <col min="13328" max="13328" width="5.109375" customWidth="1"/>
    <col min="13329" max="13329" width="7.44140625" customWidth="1"/>
    <col min="13330" max="13330" width="6.6640625" customWidth="1"/>
    <col min="13331" max="13331" width="4.33203125" customWidth="1"/>
    <col min="13332" max="13332" width="2" customWidth="1"/>
    <col min="13333" max="13334" width="2.6640625" customWidth="1"/>
    <col min="13335" max="13336" width="2.109375" customWidth="1"/>
    <col min="13337" max="13337" width="4.6640625" customWidth="1"/>
    <col min="13338" max="13338" width="1.6640625" customWidth="1"/>
    <col min="13339" max="13339" width="6.6640625" customWidth="1"/>
    <col min="13340" max="13341" width="1.88671875" customWidth="1"/>
    <col min="13342" max="13342" width="3" customWidth="1"/>
    <col min="13343" max="13343" width="4" customWidth="1"/>
    <col min="13344" max="13344" width="4.33203125" customWidth="1"/>
    <col min="13345" max="13345" width="1.109375" customWidth="1"/>
    <col min="13346" max="13347" width="4.33203125" customWidth="1"/>
    <col min="13348" max="13348" width="5" customWidth="1"/>
    <col min="13349" max="13349" width="1.33203125" customWidth="1"/>
    <col min="13569" max="13569" width="0.6640625" customWidth="1"/>
    <col min="13570" max="13570" width="3.88671875" customWidth="1"/>
    <col min="13571" max="13571" width="4" customWidth="1"/>
    <col min="13572" max="13572" width="2.44140625" customWidth="1"/>
    <col min="13573" max="13573" width="1.6640625" customWidth="1"/>
    <col min="13574" max="13574" width="11" customWidth="1"/>
    <col min="13575" max="13575" width="2.5546875" customWidth="1"/>
    <col min="13576" max="13576" width="3" customWidth="1"/>
    <col min="13577" max="13578" width="3.109375" customWidth="1"/>
    <col min="13579" max="13579" width="2.44140625" customWidth="1"/>
    <col min="13580" max="13580" width="2.88671875" customWidth="1"/>
    <col min="13581" max="13581" width="0.6640625" customWidth="1"/>
    <col min="13582" max="13582" width="5.33203125" customWidth="1"/>
    <col min="13583" max="13583" width="10.5546875" customWidth="1"/>
    <col min="13584" max="13584" width="5.109375" customWidth="1"/>
    <col min="13585" max="13585" width="7.44140625" customWidth="1"/>
    <col min="13586" max="13586" width="6.6640625" customWidth="1"/>
    <col min="13587" max="13587" width="4.33203125" customWidth="1"/>
    <col min="13588" max="13588" width="2" customWidth="1"/>
    <col min="13589" max="13590" width="2.6640625" customWidth="1"/>
    <col min="13591" max="13592" width="2.109375" customWidth="1"/>
    <col min="13593" max="13593" width="4.6640625" customWidth="1"/>
    <col min="13594" max="13594" width="1.6640625" customWidth="1"/>
    <col min="13595" max="13595" width="6.6640625" customWidth="1"/>
    <col min="13596" max="13597" width="1.88671875" customWidth="1"/>
    <col min="13598" max="13598" width="3" customWidth="1"/>
    <col min="13599" max="13599" width="4" customWidth="1"/>
    <col min="13600" max="13600" width="4.33203125" customWidth="1"/>
    <col min="13601" max="13601" width="1.109375" customWidth="1"/>
    <col min="13602" max="13603" width="4.33203125" customWidth="1"/>
    <col min="13604" max="13604" width="5" customWidth="1"/>
    <col min="13605" max="13605" width="1.33203125" customWidth="1"/>
    <col min="13825" max="13825" width="0.6640625" customWidth="1"/>
    <col min="13826" max="13826" width="3.88671875" customWidth="1"/>
    <col min="13827" max="13827" width="4" customWidth="1"/>
    <col min="13828" max="13828" width="2.44140625" customWidth="1"/>
    <col min="13829" max="13829" width="1.6640625" customWidth="1"/>
    <col min="13830" max="13830" width="11" customWidth="1"/>
    <col min="13831" max="13831" width="2.5546875" customWidth="1"/>
    <col min="13832" max="13832" width="3" customWidth="1"/>
    <col min="13833" max="13834" width="3.109375" customWidth="1"/>
    <col min="13835" max="13835" width="2.44140625" customWidth="1"/>
    <col min="13836" max="13836" width="2.88671875" customWidth="1"/>
    <col min="13837" max="13837" width="0.6640625" customWidth="1"/>
    <col min="13838" max="13838" width="5.33203125" customWidth="1"/>
    <col min="13839" max="13839" width="10.5546875" customWidth="1"/>
    <col min="13840" max="13840" width="5.109375" customWidth="1"/>
    <col min="13841" max="13841" width="7.44140625" customWidth="1"/>
    <col min="13842" max="13842" width="6.6640625" customWidth="1"/>
    <col min="13843" max="13843" width="4.33203125" customWidth="1"/>
    <col min="13844" max="13844" width="2" customWidth="1"/>
    <col min="13845" max="13846" width="2.6640625" customWidth="1"/>
    <col min="13847" max="13848" width="2.109375" customWidth="1"/>
    <col min="13849" max="13849" width="4.6640625" customWidth="1"/>
    <col min="13850" max="13850" width="1.6640625" customWidth="1"/>
    <col min="13851" max="13851" width="6.6640625" customWidth="1"/>
    <col min="13852" max="13853" width="1.88671875" customWidth="1"/>
    <col min="13854" max="13854" width="3" customWidth="1"/>
    <col min="13855" max="13855" width="4" customWidth="1"/>
    <col min="13856" max="13856" width="4.33203125" customWidth="1"/>
    <col min="13857" max="13857" width="1.109375" customWidth="1"/>
    <col min="13858" max="13859" width="4.33203125" customWidth="1"/>
    <col min="13860" max="13860" width="5" customWidth="1"/>
    <col min="13861" max="13861" width="1.33203125" customWidth="1"/>
    <col min="14081" max="14081" width="0.6640625" customWidth="1"/>
    <col min="14082" max="14082" width="3.88671875" customWidth="1"/>
    <col min="14083" max="14083" width="4" customWidth="1"/>
    <col min="14084" max="14084" width="2.44140625" customWidth="1"/>
    <col min="14085" max="14085" width="1.6640625" customWidth="1"/>
    <col min="14086" max="14086" width="11" customWidth="1"/>
    <col min="14087" max="14087" width="2.5546875" customWidth="1"/>
    <col min="14088" max="14088" width="3" customWidth="1"/>
    <col min="14089" max="14090" width="3.109375" customWidth="1"/>
    <col min="14091" max="14091" width="2.44140625" customWidth="1"/>
    <col min="14092" max="14092" width="2.88671875" customWidth="1"/>
    <col min="14093" max="14093" width="0.6640625" customWidth="1"/>
    <col min="14094" max="14094" width="5.33203125" customWidth="1"/>
    <col min="14095" max="14095" width="10.5546875" customWidth="1"/>
    <col min="14096" max="14096" width="5.109375" customWidth="1"/>
    <col min="14097" max="14097" width="7.44140625" customWidth="1"/>
    <col min="14098" max="14098" width="6.6640625" customWidth="1"/>
    <col min="14099" max="14099" width="4.33203125" customWidth="1"/>
    <col min="14100" max="14100" width="2" customWidth="1"/>
    <col min="14101" max="14102" width="2.6640625" customWidth="1"/>
    <col min="14103" max="14104" width="2.109375" customWidth="1"/>
    <col min="14105" max="14105" width="4.6640625" customWidth="1"/>
    <col min="14106" max="14106" width="1.6640625" customWidth="1"/>
    <col min="14107" max="14107" width="6.6640625" customWidth="1"/>
    <col min="14108" max="14109" width="1.88671875" customWidth="1"/>
    <col min="14110" max="14110" width="3" customWidth="1"/>
    <col min="14111" max="14111" width="4" customWidth="1"/>
    <col min="14112" max="14112" width="4.33203125" customWidth="1"/>
    <col min="14113" max="14113" width="1.109375" customWidth="1"/>
    <col min="14114" max="14115" width="4.33203125" customWidth="1"/>
    <col min="14116" max="14116" width="5" customWidth="1"/>
    <col min="14117" max="14117" width="1.33203125" customWidth="1"/>
    <col min="14337" max="14337" width="0.6640625" customWidth="1"/>
    <col min="14338" max="14338" width="3.88671875" customWidth="1"/>
    <col min="14339" max="14339" width="4" customWidth="1"/>
    <col min="14340" max="14340" width="2.44140625" customWidth="1"/>
    <col min="14341" max="14341" width="1.6640625" customWidth="1"/>
    <col min="14342" max="14342" width="11" customWidth="1"/>
    <col min="14343" max="14343" width="2.5546875" customWidth="1"/>
    <col min="14344" max="14344" width="3" customWidth="1"/>
    <col min="14345" max="14346" width="3.109375" customWidth="1"/>
    <col min="14347" max="14347" width="2.44140625" customWidth="1"/>
    <col min="14348" max="14348" width="2.88671875" customWidth="1"/>
    <col min="14349" max="14349" width="0.6640625" customWidth="1"/>
    <col min="14350" max="14350" width="5.33203125" customWidth="1"/>
    <col min="14351" max="14351" width="10.5546875" customWidth="1"/>
    <col min="14352" max="14352" width="5.109375" customWidth="1"/>
    <col min="14353" max="14353" width="7.44140625" customWidth="1"/>
    <col min="14354" max="14354" width="6.6640625" customWidth="1"/>
    <col min="14355" max="14355" width="4.33203125" customWidth="1"/>
    <col min="14356" max="14356" width="2" customWidth="1"/>
    <col min="14357" max="14358" width="2.6640625" customWidth="1"/>
    <col min="14359" max="14360" width="2.109375" customWidth="1"/>
    <col min="14361" max="14361" width="4.6640625" customWidth="1"/>
    <col min="14362" max="14362" width="1.6640625" customWidth="1"/>
    <col min="14363" max="14363" width="6.6640625" customWidth="1"/>
    <col min="14364" max="14365" width="1.88671875" customWidth="1"/>
    <col min="14366" max="14366" width="3" customWidth="1"/>
    <col min="14367" max="14367" width="4" customWidth="1"/>
    <col min="14368" max="14368" width="4.33203125" customWidth="1"/>
    <col min="14369" max="14369" width="1.109375" customWidth="1"/>
    <col min="14370" max="14371" width="4.33203125" customWidth="1"/>
    <col min="14372" max="14372" width="5" customWidth="1"/>
    <col min="14373" max="14373" width="1.33203125" customWidth="1"/>
    <col min="14593" max="14593" width="0.6640625" customWidth="1"/>
    <col min="14594" max="14594" width="3.88671875" customWidth="1"/>
    <col min="14595" max="14595" width="4" customWidth="1"/>
    <col min="14596" max="14596" width="2.44140625" customWidth="1"/>
    <col min="14597" max="14597" width="1.6640625" customWidth="1"/>
    <col min="14598" max="14598" width="11" customWidth="1"/>
    <col min="14599" max="14599" width="2.5546875" customWidth="1"/>
    <col min="14600" max="14600" width="3" customWidth="1"/>
    <col min="14601" max="14602" width="3.109375" customWidth="1"/>
    <col min="14603" max="14603" width="2.44140625" customWidth="1"/>
    <col min="14604" max="14604" width="2.88671875" customWidth="1"/>
    <col min="14605" max="14605" width="0.6640625" customWidth="1"/>
    <col min="14606" max="14606" width="5.33203125" customWidth="1"/>
    <col min="14607" max="14607" width="10.5546875" customWidth="1"/>
    <col min="14608" max="14608" width="5.109375" customWidth="1"/>
    <col min="14609" max="14609" width="7.44140625" customWidth="1"/>
    <col min="14610" max="14610" width="6.6640625" customWidth="1"/>
    <col min="14611" max="14611" width="4.33203125" customWidth="1"/>
    <col min="14612" max="14612" width="2" customWidth="1"/>
    <col min="14613" max="14614" width="2.6640625" customWidth="1"/>
    <col min="14615" max="14616" width="2.109375" customWidth="1"/>
    <col min="14617" max="14617" width="4.6640625" customWidth="1"/>
    <col min="14618" max="14618" width="1.6640625" customWidth="1"/>
    <col min="14619" max="14619" width="6.6640625" customWidth="1"/>
    <col min="14620" max="14621" width="1.88671875" customWidth="1"/>
    <col min="14622" max="14622" width="3" customWidth="1"/>
    <col min="14623" max="14623" width="4" customWidth="1"/>
    <col min="14624" max="14624" width="4.33203125" customWidth="1"/>
    <col min="14625" max="14625" width="1.109375" customWidth="1"/>
    <col min="14626" max="14627" width="4.33203125" customWidth="1"/>
    <col min="14628" max="14628" width="5" customWidth="1"/>
    <col min="14629" max="14629" width="1.33203125" customWidth="1"/>
    <col min="14849" max="14849" width="0.6640625" customWidth="1"/>
    <col min="14850" max="14850" width="3.88671875" customWidth="1"/>
    <col min="14851" max="14851" width="4" customWidth="1"/>
    <col min="14852" max="14852" width="2.44140625" customWidth="1"/>
    <col min="14853" max="14853" width="1.6640625" customWidth="1"/>
    <col min="14854" max="14854" width="11" customWidth="1"/>
    <col min="14855" max="14855" width="2.5546875" customWidth="1"/>
    <col min="14856" max="14856" width="3" customWidth="1"/>
    <col min="14857" max="14858" width="3.109375" customWidth="1"/>
    <col min="14859" max="14859" width="2.44140625" customWidth="1"/>
    <col min="14860" max="14860" width="2.88671875" customWidth="1"/>
    <col min="14861" max="14861" width="0.6640625" customWidth="1"/>
    <col min="14862" max="14862" width="5.33203125" customWidth="1"/>
    <col min="14863" max="14863" width="10.5546875" customWidth="1"/>
    <col min="14864" max="14864" width="5.109375" customWidth="1"/>
    <col min="14865" max="14865" width="7.44140625" customWidth="1"/>
    <col min="14866" max="14866" width="6.6640625" customWidth="1"/>
    <col min="14867" max="14867" width="4.33203125" customWidth="1"/>
    <col min="14868" max="14868" width="2" customWidth="1"/>
    <col min="14869" max="14870" width="2.6640625" customWidth="1"/>
    <col min="14871" max="14872" width="2.109375" customWidth="1"/>
    <col min="14873" max="14873" width="4.6640625" customWidth="1"/>
    <col min="14874" max="14874" width="1.6640625" customWidth="1"/>
    <col min="14875" max="14875" width="6.6640625" customWidth="1"/>
    <col min="14876" max="14877" width="1.88671875" customWidth="1"/>
    <col min="14878" max="14878" width="3" customWidth="1"/>
    <col min="14879" max="14879" width="4" customWidth="1"/>
    <col min="14880" max="14880" width="4.33203125" customWidth="1"/>
    <col min="14881" max="14881" width="1.109375" customWidth="1"/>
    <col min="14882" max="14883" width="4.33203125" customWidth="1"/>
    <col min="14884" max="14884" width="5" customWidth="1"/>
    <col min="14885" max="14885" width="1.33203125" customWidth="1"/>
    <col min="15105" max="15105" width="0.6640625" customWidth="1"/>
    <col min="15106" max="15106" width="3.88671875" customWidth="1"/>
    <col min="15107" max="15107" width="4" customWidth="1"/>
    <col min="15108" max="15108" width="2.44140625" customWidth="1"/>
    <col min="15109" max="15109" width="1.6640625" customWidth="1"/>
    <col min="15110" max="15110" width="11" customWidth="1"/>
    <col min="15111" max="15111" width="2.5546875" customWidth="1"/>
    <col min="15112" max="15112" width="3" customWidth="1"/>
    <col min="15113" max="15114" width="3.109375" customWidth="1"/>
    <col min="15115" max="15115" width="2.44140625" customWidth="1"/>
    <col min="15116" max="15116" width="2.88671875" customWidth="1"/>
    <col min="15117" max="15117" width="0.6640625" customWidth="1"/>
    <col min="15118" max="15118" width="5.33203125" customWidth="1"/>
    <col min="15119" max="15119" width="10.5546875" customWidth="1"/>
    <col min="15120" max="15120" width="5.109375" customWidth="1"/>
    <col min="15121" max="15121" width="7.44140625" customWidth="1"/>
    <col min="15122" max="15122" width="6.6640625" customWidth="1"/>
    <col min="15123" max="15123" width="4.33203125" customWidth="1"/>
    <col min="15124" max="15124" width="2" customWidth="1"/>
    <col min="15125" max="15126" width="2.6640625" customWidth="1"/>
    <col min="15127" max="15128" width="2.109375" customWidth="1"/>
    <col min="15129" max="15129" width="4.6640625" customWidth="1"/>
    <col min="15130" max="15130" width="1.6640625" customWidth="1"/>
    <col min="15131" max="15131" width="6.6640625" customWidth="1"/>
    <col min="15132" max="15133" width="1.88671875" customWidth="1"/>
    <col min="15134" max="15134" width="3" customWidth="1"/>
    <col min="15135" max="15135" width="4" customWidth="1"/>
    <col min="15136" max="15136" width="4.33203125" customWidth="1"/>
    <col min="15137" max="15137" width="1.109375" customWidth="1"/>
    <col min="15138" max="15139" width="4.33203125" customWidth="1"/>
    <col min="15140" max="15140" width="5" customWidth="1"/>
    <col min="15141" max="15141" width="1.33203125" customWidth="1"/>
    <col min="15361" max="15361" width="0.6640625" customWidth="1"/>
    <col min="15362" max="15362" width="3.88671875" customWidth="1"/>
    <col min="15363" max="15363" width="4" customWidth="1"/>
    <col min="15364" max="15364" width="2.44140625" customWidth="1"/>
    <col min="15365" max="15365" width="1.6640625" customWidth="1"/>
    <col min="15366" max="15366" width="11" customWidth="1"/>
    <col min="15367" max="15367" width="2.5546875" customWidth="1"/>
    <col min="15368" max="15368" width="3" customWidth="1"/>
    <col min="15369" max="15370" width="3.109375" customWidth="1"/>
    <col min="15371" max="15371" width="2.44140625" customWidth="1"/>
    <col min="15372" max="15372" width="2.88671875" customWidth="1"/>
    <col min="15373" max="15373" width="0.6640625" customWidth="1"/>
    <col min="15374" max="15374" width="5.33203125" customWidth="1"/>
    <col min="15375" max="15375" width="10.5546875" customWidth="1"/>
    <col min="15376" max="15376" width="5.109375" customWidth="1"/>
    <col min="15377" max="15377" width="7.44140625" customWidth="1"/>
    <col min="15378" max="15378" width="6.6640625" customWidth="1"/>
    <col min="15379" max="15379" width="4.33203125" customWidth="1"/>
    <col min="15380" max="15380" width="2" customWidth="1"/>
    <col min="15381" max="15382" width="2.6640625" customWidth="1"/>
    <col min="15383" max="15384" width="2.109375" customWidth="1"/>
    <col min="15385" max="15385" width="4.6640625" customWidth="1"/>
    <col min="15386" max="15386" width="1.6640625" customWidth="1"/>
    <col min="15387" max="15387" width="6.6640625" customWidth="1"/>
    <col min="15388" max="15389" width="1.88671875" customWidth="1"/>
    <col min="15390" max="15390" width="3" customWidth="1"/>
    <col min="15391" max="15391" width="4" customWidth="1"/>
    <col min="15392" max="15392" width="4.33203125" customWidth="1"/>
    <col min="15393" max="15393" width="1.109375" customWidth="1"/>
    <col min="15394" max="15395" width="4.33203125" customWidth="1"/>
    <col min="15396" max="15396" width="5" customWidth="1"/>
    <col min="15397" max="15397" width="1.33203125" customWidth="1"/>
    <col min="15617" max="15617" width="0.6640625" customWidth="1"/>
    <col min="15618" max="15618" width="3.88671875" customWidth="1"/>
    <col min="15619" max="15619" width="4" customWidth="1"/>
    <col min="15620" max="15620" width="2.44140625" customWidth="1"/>
    <col min="15621" max="15621" width="1.6640625" customWidth="1"/>
    <col min="15622" max="15622" width="11" customWidth="1"/>
    <col min="15623" max="15623" width="2.5546875" customWidth="1"/>
    <col min="15624" max="15624" width="3" customWidth="1"/>
    <col min="15625" max="15626" width="3.109375" customWidth="1"/>
    <col min="15627" max="15627" width="2.44140625" customWidth="1"/>
    <col min="15628" max="15628" width="2.88671875" customWidth="1"/>
    <col min="15629" max="15629" width="0.6640625" customWidth="1"/>
    <col min="15630" max="15630" width="5.33203125" customWidth="1"/>
    <col min="15631" max="15631" width="10.5546875" customWidth="1"/>
    <col min="15632" max="15632" width="5.109375" customWidth="1"/>
    <col min="15633" max="15633" width="7.44140625" customWidth="1"/>
    <col min="15634" max="15634" width="6.6640625" customWidth="1"/>
    <col min="15635" max="15635" width="4.33203125" customWidth="1"/>
    <col min="15636" max="15636" width="2" customWidth="1"/>
    <col min="15637" max="15638" width="2.6640625" customWidth="1"/>
    <col min="15639" max="15640" width="2.109375" customWidth="1"/>
    <col min="15641" max="15641" width="4.6640625" customWidth="1"/>
    <col min="15642" max="15642" width="1.6640625" customWidth="1"/>
    <col min="15643" max="15643" width="6.6640625" customWidth="1"/>
    <col min="15644" max="15645" width="1.88671875" customWidth="1"/>
    <col min="15646" max="15646" width="3" customWidth="1"/>
    <col min="15647" max="15647" width="4" customWidth="1"/>
    <col min="15648" max="15648" width="4.33203125" customWidth="1"/>
    <col min="15649" max="15649" width="1.109375" customWidth="1"/>
    <col min="15650" max="15651" width="4.33203125" customWidth="1"/>
    <col min="15652" max="15652" width="5" customWidth="1"/>
    <col min="15653" max="15653" width="1.33203125" customWidth="1"/>
    <col min="15873" max="15873" width="0.6640625" customWidth="1"/>
    <col min="15874" max="15874" width="3.88671875" customWidth="1"/>
    <col min="15875" max="15875" width="4" customWidth="1"/>
    <col min="15876" max="15876" width="2.44140625" customWidth="1"/>
    <col min="15877" max="15877" width="1.6640625" customWidth="1"/>
    <col min="15878" max="15878" width="11" customWidth="1"/>
    <col min="15879" max="15879" width="2.5546875" customWidth="1"/>
    <col min="15880" max="15880" width="3" customWidth="1"/>
    <col min="15881" max="15882" width="3.109375" customWidth="1"/>
    <col min="15883" max="15883" width="2.44140625" customWidth="1"/>
    <col min="15884" max="15884" width="2.88671875" customWidth="1"/>
    <col min="15885" max="15885" width="0.6640625" customWidth="1"/>
    <col min="15886" max="15886" width="5.33203125" customWidth="1"/>
    <col min="15887" max="15887" width="10.5546875" customWidth="1"/>
    <col min="15888" max="15888" width="5.109375" customWidth="1"/>
    <col min="15889" max="15889" width="7.44140625" customWidth="1"/>
    <col min="15890" max="15890" width="6.6640625" customWidth="1"/>
    <col min="15891" max="15891" width="4.33203125" customWidth="1"/>
    <col min="15892" max="15892" width="2" customWidth="1"/>
    <col min="15893" max="15894" width="2.6640625" customWidth="1"/>
    <col min="15895" max="15896" width="2.109375" customWidth="1"/>
    <col min="15897" max="15897" width="4.6640625" customWidth="1"/>
    <col min="15898" max="15898" width="1.6640625" customWidth="1"/>
    <col min="15899" max="15899" width="6.6640625" customWidth="1"/>
    <col min="15900" max="15901" width="1.88671875" customWidth="1"/>
    <col min="15902" max="15902" width="3" customWidth="1"/>
    <col min="15903" max="15903" width="4" customWidth="1"/>
    <col min="15904" max="15904" width="4.33203125" customWidth="1"/>
    <col min="15905" max="15905" width="1.109375" customWidth="1"/>
    <col min="15906" max="15907" width="4.33203125" customWidth="1"/>
    <col min="15908" max="15908" width="5" customWidth="1"/>
    <col min="15909" max="15909" width="1.33203125" customWidth="1"/>
    <col min="16129" max="16129" width="0.6640625" customWidth="1"/>
    <col min="16130" max="16130" width="3.88671875" customWidth="1"/>
    <col min="16131" max="16131" width="4" customWidth="1"/>
    <col min="16132" max="16132" width="2.44140625" customWidth="1"/>
    <col min="16133" max="16133" width="1.6640625" customWidth="1"/>
    <col min="16134" max="16134" width="11" customWidth="1"/>
    <col min="16135" max="16135" width="2.5546875" customWidth="1"/>
    <col min="16136" max="16136" width="3" customWidth="1"/>
    <col min="16137" max="16138" width="3.109375" customWidth="1"/>
    <col min="16139" max="16139" width="2.44140625" customWidth="1"/>
    <col min="16140" max="16140" width="2.88671875" customWidth="1"/>
    <col min="16141" max="16141" width="0.6640625" customWidth="1"/>
    <col min="16142" max="16142" width="5.33203125" customWidth="1"/>
    <col min="16143" max="16143" width="10.5546875" customWidth="1"/>
    <col min="16144" max="16144" width="5.109375" customWidth="1"/>
    <col min="16145" max="16145" width="7.44140625" customWidth="1"/>
    <col min="16146" max="16146" width="6.6640625" customWidth="1"/>
    <col min="16147" max="16147" width="4.33203125" customWidth="1"/>
    <col min="16148" max="16148" width="2" customWidth="1"/>
    <col min="16149" max="16150" width="2.6640625" customWidth="1"/>
    <col min="16151" max="16152" width="2.109375" customWidth="1"/>
    <col min="16153" max="16153" width="4.6640625" customWidth="1"/>
    <col min="16154" max="16154" width="1.6640625" customWidth="1"/>
    <col min="16155" max="16155" width="6.6640625" customWidth="1"/>
    <col min="16156" max="16157" width="1.88671875" customWidth="1"/>
    <col min="16158" max="16158" width="3" customWidth="1"/>
    <col min="16159" max="16159" width="4" customWidth="1"/>
    <col min="16160" max="16160" width="4.33203125" customWidth="1"/>
    <col min="16161" max="16161" width="1.109375" customWidth="1"/>
    <col min="16162" max="16163" width="4.33203125" customWidth="1"/>
    <col min="16164" max="16164" width="5" customWidth="1"/>
    <col min="16165" max="16165" width="1.33203125" customWidth="1"/>
  </cols>
  <sheetData>
    <row r="1" spans="1:37" ht="13.5" customHeight="1">
      <c r="A1" s="595"/>
      <c r="B1" s="595"/>
      <c r="C1" s="595"/>
      <c r="D1" s="595"/>
      <c r="E1" s="595"/>
      <c r="F1" s="595"/>
      <c r="G1" s="595"/>
      <c r="H1" s="595"/>
      <c r="I1" s="595"/>
      <c r="J1" s="595"/>
      <c r="K1" s="595"/>
      <c r="L1" s="595"/>
      <c r="M1" s="595"/>
      <c r="N1" s="595"/>
      <c r="O1" s="595"/>
      <c r="P1" s="595"/>
      <c r="Q1" s="812"/>
      <c r="R1" s="812"/>
      <c r="S1" s="812"/>
      <c r="T1" s="595"/>
      <c r="U1" s="595"/>
      <c r="V1" s="595"/>
      <c r="W1" s="595"/>
      <c r="X1" s="595"/>
      <c r="Y1" s="595"/>
      <c r="Z1" s="595"/>
      <c r="AA1" s="595"/>
      <c r="AB1" s="595"/>
      <c r="AC1" s="595"/>
      <c r="AD1" s="595"/>
      <c r="AE1" s="595"/>
      <c r="AF1" s="595"/>
      <c r="AG1" s="595"/>
      <c r="AH1" s="3434" t="str">
        <f>'addl. exc.comments'!AH1</f>
        <v>700-010-84</v>
      </c>
      <c r="AI1" s="3435"/>
      <c r="AJ1" s="3435"/>
      <c r="AK1" s="595"/>
    </row>
    <row r="2" spans="1:37" ht="12.75" customHeight="1">
      <c r="A2" s="595"/>
      <c r="B2" s="595"/>
      <c r="C2" s="595"/>
      <c r="D2" s="1833" t="s">
        <v>933</v>
      </c>
      <c r="E2" s="1833"/>
      <c r="F2" s="1833"/>
      <c r="G2" s="1833"/>
      <c r="H2" s="1833"/>
      <c r="I2" s="1833"/>
      <c r="J2" s="1833"/>
      <c r="K2" s="1833"/>
      <c r="L2" s="1833"/>
      <c r="M2" s="1833"/>
      <c r="N2" s="1833"/>
      <c r="O2" s="1833"/>
      <c r="P2" s="1833"/>
      <c r="Q2" s="1833"/>
      <c r="R2" s="1833"/>
      <c r="S2" s="1833"/>
      <c r="T2" s="1833"/>
      <c r="U2" s="1833"/>
      <c r="V2" s="1833"/>
      <c r="W2" s="1833"/>
      <c r="X2" s="1833"/>
      <c r="Y2" s="1833"/>
      <c r="Z2" s="1833"/>
      <c r="AA2" s="1833"/>
      <c r="AB2" s="1833"/>
      <c r="AC2" s="1833"/>
      <c r="AD2" s="1833"/>
      <c r="AE2" s="1833"/>
      <c r="AF2" s="1833"/>
      <c r="AG2" s="869"/>
      <c r="AH2" s="3436" t="s">
        <v>8</v>
      </c>
      <c r="AI2" s="3437"/>
      <c r="AJ2" s="3437"/>
      <c r="AK2" s="595"/>
    </row>
    <row r="3" spans="1:37" ht="21.75" customHeight="1">
      <c r="A3" s="595"/>
      <c r="B3" s="595"/>
      <c r="C3" s="595"/>
      <c r="D3" s="1834" t="s">
        <v>965</v>
      </c>
      <c r="E3" s="1835"/>
      <c r="F3" s="1835"/>
      <c r="G3" s="1835"/>
      <c r="H3" s="1835"/>
      <c r="I3" s="1835"/>
      <c r="J3" s="1835"/>
      <c r="K3" s="1835"/>
      <c r="L3" s="1835"/>
      <c r="M3" s="1835"/>
      <c r="N3" s="1835"/>
      <c r="O3" s="1835"/>
      <c r="P3" s="1835"/>
      <c r="Q3" s="1835"/>
      <c r="R3" s="1835"/>
      <c r="S3" s="1835"/>
      <c r="T3" s="1835"/>
      <c r="U3" s="1835"/>
      <c r="V3" s="1835"/>
      <c r="W3" s="1835"/>
      <c r="X3" s="1835"/>
      <c r="Y3" s="1835"/>
      <c r="Z3" s="1835"/>
      <c r="AA3" s="1835"/>
      <c r="AB3" s="1835"/>
      <c r="AC3" s="1835"/>
      <c r="AD3" s="1835"/>
      <c r="AE3" s="1835"/>
      <c r="AF3" s="1835"/>
      <c r="AG3" s="596"/>
      <c r="AH3" s="931"/>
      <c r="AI3" s="3438">
        <f>'addl.exc. comments #2'!AI3</f>
        <v>45222</v>
      </c>
      <c r="AJ3" s="3439"/>
      <c r="AK3" s="595"/>
    </row>
    <row r="4" spans="1:37" ht="15" customHeight="1" thickBot="1">
      <c r="A4" s="595"/>
      <c r="B4" s="595"/>
      <c r="C4" s="595"/>
      <c r="D4" s="595"/>
      <c r="E4" s="1838"/>
      <c r="F4" s="1838"/>
      <c r="G4" s="1838"/>
      <c r="H4" s="1838"/>
      <c r="I4" s="1838"/>
      <c r="J4" s="1838"/>
      <c r="K4" s="1838"/>
      <c r="L4" s="1838"/>
      <c r="M4" s="1838"/>
      <c r="N4" s="1838"/>
      <c r="O4" s="1838"/>
      <c r="P4" s="1838"/>
      <c r="Q4" s="1838"/>
      <c r="R4" s="1838"/>
      <c r="S4" s="1838"/>
      <c r="T4" s="1838"/>
      <c r="U4" s="1838"/>
      <c r="V4" s="1838"/>
      <c r="W4" s="1838"/>
      <c r="X4" s="1838"/>
      <c r="Y4" s="1838"/>
      <c r="Z4" s="1838"/>
      <c r="AA4" s="1838"/>
      <c r="AB4" s="1838"/>
      <c r="AC4" s="1838"/>
      <c r="AD4" s="1838"/>
      <c r="AE4" s="1838"/>
      <c r="AF4" s="1838"/>
      <c r="AG4" s="872"/>
      <c r="AH4" s="872"/>
      <c r="AI4" s="846"/>
      <c r="AJ4" s="595"/>
      <c r="AK4" s="595"/>
    </row>
    <row r="5" spans="1:37" ht="18" customHeight="1" thickTop="1">
      <c r="A5" s="595"/>
      <c r="B5" s="845"/>
      <c r="C5" s="876"/>
      <c r="D5" s="876"/>
      <c r="E5" s="876"/>
      <c r="F5" s="876"/>
      <c r="G5" s="876"/>
      <c r="H5" s="876"/>
      <c r="I5" s="876"/>
      <c r="J5" s="876"/>
      <c r="K5" s="876"/>
      <c r="L5" s="876"/>
      <c r="M5" s="876"/>
      <c r="N5" s="876"/>
      <c r="O5" s="876"/>
      <c r="P5" s="876"/>
      <c r="Q5" s="877"/>
      <c r="R5" s="877"/>
      <c r="S5" s="877"/>
      <c r="T5" s="876"/>
      <c r="U5" s="876"/>
      <c r="V5" s="876"/>
      <c r="W5" s="876"/>
      <c r="X5" s="876"/>
      <c r="Y5" s="876"/>
      <c r="Z5" s="876"/>
      <c r="AA5" s="876"/>
      <c r="AB5" s="876"/>
      <c r="AC5" s="876"/>
      <c r="AD5" s="876"/>
      <c r="AE5" s="876"/>
      <c r="AF5" s="876"/>
      <c r="AG5" s="876"/>
      <c r="AH5" s="876"/>
      <c r="AI5" s="876"/>
      <c r="AJ5" s="878"/>
      <c r="AK5" s="595"/>
    </row>
    <row r="6" spans="1:37" ht="18" customHeight="1" thickBot="1">
      <c r="A6" s="595"/>
      <c r="B6" s="841"/>
      <c r="C6" s="840"/>
      <c r="D6" s="840"/>
      <c r="E6" s="840"/>
      <c r="F6" s="840"/>
      <c r="G6" s="840"/>
      <c r="H6" s="840"/>
      <c r="I6" s="840"/>
      <c r="J6" s="840"/>
      <c r="K6" s="840"/>
      <c r="L6" s="840"/>
      <c r="M6" s="840"/>
      <c r="N6" s="840"/>
      <c r="O6" s="840"/>
      <c r="P6" s="840"/>
      <c r="Q6" s="873"/>
      <c r="R6" s="873"/>
      <c r="S6" s="873"/>
      <c r="T6" s="840"/>
      <c r="U6" s="1843" t="s">
        <v>10</v>
      </c>
      <c r="V6" s="1843"/>
      <c r="W6" s="1843"/>
      <c r="X6" s="1843"/>
      <c r="Y6" s="1843"/>
      <c r="Z6" s="1841"/>
      <c r="AA6" s="1841"/>
      <c r="AB6" s="871"/>
      <c r="AC6" s="871"/>
      <c r="AD6" s="3413"/>
      <c r="AE6" s="3413"/>
      <c r="AF6" s="1850" t="s">
        <v>981</v>
      </c>
      <c r="AG6" s="1850"/>
      <c r="AH6" s="3413"/>
      <c r="AI6" s="3413"/>
      <c r="AJ6" s="827"/>
      <c r="AK6" s="595"/>
    </row>
    <row r="7" spans="1:37" ht="18" customHeight="1" thickBot="1">
      <c r="A7" s="595"/>
      <c r="B7" s="841"/>
      <c r="C7" s="1843" t="s">
        <v>669</v>
      </c>
      <c r="D7" s="1843"/>
      <c r="E7" s="1843"/>
      <c r="F7" s="1843"/>
      <c r="G7" s="3433" t="str">
        <f>IF('DS Log Pg 1'!D7="","",'DS Log Pg 1'!D7)</f>
        <v/>
      </c>
      <c r="H7" s="3433"/>
      <c r="I7" s="3433"/>
      <c r="J7" s="3433"/>
      <c r="K7" s="3433"/>
      <c r="L7" s="3433"/>
      <c r="M7" s="3433"/>
      <c r="N7" s="3433"/>
      <c r="O7" s="3433"/>
      <c r="P7" s="3433"/>
      <c r="Q7" s="3433"/>
      <c r="R7" s="3433"/>
      <c r="S7" s="3433"/>
      <c r="T7" s="873"/>
      <c r="U7" s="1843" t="s">
        <v>670</v>
      </c>
      <c r="V7" s="1843"/>
      <c r="W7" s="1843"/>
      <c r="X7" s="1843"/>
      <c r="Y7" s="1843"/>
      <c r="Z7" s="1843"/>
      <c r="AA7" s="1843"/>
      <c r="AB7" s="870"/>
      <c r="AC7" s="870"/>
      <c r="AD7" s="3432" t="str">
        <f>IF('DS Log Pg 1'!S7="","",'DS Log Pg 1'!S7)</f>
        <v/>
      </c>
      <c r="AE7" s="3432"/>
      <c r="AF7" s="3432"/>
      <c r="AG7" s="3432"/>
      <c r="AH7" s="3432"/>
      <c r="AI7" s="3432"/>
      <c r="AJ7" s="827"/>
      <c r="AK7" s="595"/>
    </row>
    <row r="8" spans="1:37" ht="18" customHeight="1" thickBot="1">
      <c r="A8" s="595"/>
      <c r="B8" s="841"/>
      <c r="C8" s="1843" t="s">
        <v>931</v>
      </c>
      <c r="D8" s="1843"/>
      <c r="E8" s="1843"/>
      <c r="F8" s="1843"/>
      <c r="G8" s="3433" t="str">
        <f>IF('DS Log Pg 1'!D8="","",'DS Log Pg 1'!D8)</f>
        <v/>
      </c>
      <c r="H8" s="3433"/>
      <c r="I8" s="3433"/>
      <c r="J8" s="3433"/>
      <c r="K8" s="3433"/>
      <c r="L8" s="3433"/>
      <c r="M8" s="3433"/>
      <c r="N8" s="3433"/>
      <c r="O8" s="3433"/>
      <c r="P8" s="3433"/>
      <c r="Q8" s="3433"/>
      <c r="R8" s="3433"/>
      <c r="S8" s="3433"/>
      <c r="T8" s="873"/>
      <c r="U8" s="1841" t="s">
        <v>671</v>
      </c>
      <c r="V8" s="1841"/>
      <c r="W8" s="1841"/>
      <c r="X8" s="1841"/>
      <c r="Y8" s="1841"/>
      <c r="Z8" s="1841"/>
      <c r="AA8" s="1841"/>
      <c r="AB8" s="871"/>
      <c r="AC8" s="871"/>
      <c r="AD8" s="3432" t="str">
        <f>IF('DS Log Pg 1'!S8="","",'DS Log Pg 1'!S8)</f>
        <v/>
      </c>
      <c r="AE8" s="3432"/>
      <c r="AF8" s="3432"/>
      <c r="AG8" s="3432"/>
      <c r="AH8" s="3432"/>
      <c r="AI8" s="3432"/>
      <c r="AJ8" s="827"/>
      <c r="AK8" s="595"/>
    </row>
    <row r="9" spans="1:37" ht="18" customHeight="1" thickBot="1">
      <c r="A9" s="595"/>
      <c r="B9" s="841"/>
      <c r="C9" s="1843" t="s">
        <v>672</v>
      </c>
      <c r="D9" s="1843"/>
      <c r="E9" s="1843"/>
      <c r="F9" s="1843"/>
      <c r="G9" s="3433" t="str">
        <f>IF('DS Log Pg 1'!D9="","",'DS Log Pg 1'!D9)</f>
        <v/>
      </c>
      <c r="H9" s="3433"/>
      <c r="I9" s="3433"/>
      <c r="J9" s="3433"/>
      <c r="K9" s="3433"/>
      <c r="L9" s="3433"/>
      <c r="M9" s="3433"/>
      <c r="N9" s="3433"/>
      <c r="O9" s="3433"/>
      <c r="P9" s="3433"/>
      <c r="Q9" s="3433"/>
      <c r="R9" s="3433"/>
      <c r="S9" s="3433"/>
      <c r="T9" s="840"/>
      <c r="U9" s="1841" t="s">
        <v>673</v>
      </c>
      <c r="V9" s="1841"/>
      <c r="W9" s="1841"/>
      <c r="X9" s="1841"/>
      <c r="Y9" s="1841"/>
      <c r="Z9" s="1841"/>
      <c r="AA9" s="1841"/>
      <c r="AB9" s="871"/>
      <c r="AC9" s="871"/>
      <c r="AD9" s="3431" t="str">
        <f>IF('DS Log Pg 1'!S9="","",'DS Log Pg 1'!S9)</f>
        <v/>
      </c>
      <c r="AE9" s="3431"/>
      <c r="AF9" s="3431"/>
      <c r="AG9" s="3431"/>
      <c r="AH9" s="3431"/>
      <c r="AI9" s="3431"/>
      <c r="AJ9" s="827"/>
      <c r="AK9" s="595"/>
    </row>
    <row r="10" spans="1:37" ht="18" customHeight="1" thickBot="1">
      <c r="A10" s="595"/>
      <c r="B10" s="841"/>
      <c r="C10" s="1843" t="s">
        <v>930</v>
      </c>
      <c r="D10" s="1843"/>
      <c r="E10" s="1843"/>
      <c r="F10" s="1843"/>
      <c r="G10" s="3428"/>
      <c r="H10" s="3428"/>
      <c r="I10" s="3428"/>
      <c r="J10" s="3428"/>
      <c r="K10" s="3428"/>
      <c r="L10" s="3428"/>
      <c r="M10" s="3428"/>
      <c r="N10" s="873" t="s">
        <v>674</v>
      </c>
      <c r="O10" s="3429"/>
      <c r="P10" s="3429"/>
      <c r="Q10" s="839" t="s">
        <v>675</v>
      </c>
      <c r="R10" s="3430"/>
      <c r="S10" s="3430"/>
      <c r="T10" s="840"/>
      <c r="U10" s="1841" t="s">
        <v>676</v>
      </c>
      <c r="V10" s="1841"/>
      <c r="W10" s="1841"/>
      <c r="X10" s="1841"/>
      <c r="Y10" s="1841"/>
      <c r="Z10" s="1841"/>
      <c r="AA10" s="1841"/>
      <c r="AB10" s="871"/>
      <c r="AC10" s="871"/>
      <c r="AD10" s="3431" t="str">
        <f>IF('DS Log Pg 1'!S10="","",'DS Log Pg 1'!S10)</f>
        <v/>
      </c>
      <c r="AE10" s="3431"/>
      <c r="AF10" s="3431"/>
      <c r="AG10" s="3431"/>
      <c r="AH10" s="3431"/>
      <c r="AI10" s="3431"/>
      <c r="AJ10" s="827"/>
      <c r="AK10" s="595"/>
    </row>
    <row r="11" spans="1:37" ht="18" customHeight="1" thickBot="1">
      <c r="A11" s="595"/>
      <c r="B11" s="841"/>
      <c r="C11" s="1843" t="s">
        <v>929</v>
      </c>
      <c r="D11" s="1843"/>
      <c r="E11" s="1843"/>
      <c r="F11" s="1843"/>
      <c r="G11" s="1847"/>
      <c r="H11" s="1847"/>
      <c r="I11" s="1847"/>
      <c r="J11" s="1847"/>
      <c r="K11" s="1847"/>
      <c r="L11" s="1847"/>
      <c r="M11" s="1847"/>
      <c r="N11" s="1847"/>
      <c r="O11" s="1847"/>
      <c r="P11" s="1847"/>
      <c r="Q11" s="839" t="s">
        <v>675</v>
      </c>
      <c r="R11" s="1848"/>
      <c r="S11" s="1848"/>
      <c r="T11" s="840"/>
      <c r="U11" s="1841" t="s">
        <v>928</v>
      </c>
      <c r="V11" s="1841"/>
      <c r="W11" s="1841"/>
      <c r="X11" s="1841"/>
      <c r="Y11" s="1841"/>
      <c r="Z11" s="1841"/>
      <c r="AA11" s="1841"/>
      <c r="AB11" s="871"/>
      <c r="AC11" s="871"/>
      <c r="AD11" s="3432" t="str">
        <f>IF('DS Log Pg 1'!S11="","",'DS Log Pg 1'!S11)</f>
        <v/>
      </c>
      <c r="AE11" s="3432"/>
      <c r="AF11" s="3432"/>
      <c r="AG11" s="3432"/>
      <c r="AH11" s="3432"/>
      <c r="AI11" s="3432"/>
      <c r="AJ11" s="827"/>
      <c r="AK11" s="595"/>
    </row>
    <row r="12" spans="1:37" ht="15.75" customHeight="1">
      <c r="A12" s="595"/>
      <c r="B12" s="841"/>
      <c r="C12" s="840"/>
      <c r="D12" s="840"/>
      <c r="E12" s="840"/>
      <c r="F12" s="839"/>
      <c r="G12" s="3427" t="s">
        <v>927</v>
      </c>
      <c r="H12" s="3427"/>
      <c r="I12" s="3427"/>
      <c r="J12" s="3427"/>
      <c r="K12" s="3427"/>
      <c r="L12" s="3427"/>
      <c r="M12" s="3427"/>
      <c r="N12" s="3427"/>
      <c r="O12" s="3427"/>
      <c r="P12" s="3427"/>
      <c r="Q12" s="873"/>
      <c r="R12" s="873"/>
      <c r="S12" s="873"/>
      <c r="T12" s="840"/>
      <c r="U12" s="840"/>
      <c r="V12" s="840"/>
      <c r="W12" s="840"/>
      <c r="X12" s="840"/>
      <c r="Y12" s="840"/>
      <c r="Z12" s="840"/>
      <c r="AA12" s="840"/>
      <c r="AB12" s="840"/>
      <c r="AC12" s="840"/>
      <c r="AD12" s="840"/>
      <c r="AE12" s="839"/>
      <c r="AF12" s="1850"/>
      <c r="AG12" s="1850"/>
      <c r="AH12" s="1850"/>
      <c r="AI12" s="1850"/>
      <c r="AJ12" s="827"/>
      <c r="AK12" s="595"/>
    </row>
    <row r="13" spans="1:37" ht="9.75" customHeight="1" thickBot="1">
      <c r="A13" s="595"/>
      <c r="B13" s="838"/>
      <c r="C13" s="837"/>
      <c r="D13" s="837"/>
      <c r="E13" s="837"/>
      <c r="F13" s="836"/>
      <c r="G13" s="835"/>
      <c r="H13" s="835"/>
      <c r="I13" s="835"/>
      <c r="J13" s="835"/>
      <c r="K13" s="835"/>
      <c r="L13" s="835"/>
      <c r="M13" s="835"/>
      <c r="N13" s="835"/>
      <c r="O13" s="835"/>
      <c r="P13" s="835"/>
      <c r="Q13" s="835"/>
      <c r="R13" s="835"/>
      <c r="S13" s="835"/>
      <c r="T13" s="837"/>
      <c r="U13" s="837"/>
      <c r="V13" s="837"/>
      <c r="W13" s="837"/>
      <c r="X13" s="837"/>
      <c r="Y13" s="837"/>
      <c r="Z13" s="837"/>
      <c r="AA13" s="837"/>
      <c r="AB13" s="837"/>
      <c r="AC13" s="837"/>
      <c r="AD13" s="837"/>
      <c r="AE13" s="836"/>
      <c r="AF13" s="835"/>
      <c r="AG13" s="835"/>
      <c r="AH13" s="835"/>
      <c r="AI13" s="835"/>
      <c r="AJ13" s="834"/>
      <c r="AK13" s="595"/>
    </row>
    <row r="14" spans="1:37" ht="18" customHeight="1">
      <c r="B14" s="3423" t="s">
        <v>964</v>
      </c>
      <c r="C14" s="3424"/>
      <c r="D14" s="3424"/>
      <c r="E14" s="3424"/>
      <c r="F14" s="3424"/>
      <c r="G14" s="3424"/>
      <c r="H14" s="3424"/>
      <c r="I14" s="3424"/>
      <c r="J14" s="3424"/>
      <c r="K14" s="3424"/>
      <c r="L14" s="3424"/>
      <c r="M14" s="3424"/>
      <c r="N14" s="3424"/>
      <c r="O14" s="3424"/>
      <c r="P14" s="3424"/>
      <c r="Q14" s="3424"/>
      <c r="R14" s="3424"/>
      <c r="S14" s="3424"/>
      <c r="T14" s="3424"/>
      <c r="U14" s="3424"/>
      <c r="V14" s="3424"/>
      <c r="W14" s="3424"/>
      <c r="X14" s="3424"/>
      <c r="Y14" s="3424"/>
      <c r="Z14" s="3424"/>
      <c r="AA14" s="3424"/>
      <c r="AB14" s="3424"/>
      <c r="AC14" s="3424"/>
      <c r="AD14" s="3424"/>
      <c r="AE14" s="3424"/>
      <c r="AF14" s="3424"/>
      <c r="AG14" s="3424"/>
      <c r="AH14" s="3424"/>
      <c r="AI14" s="3424"/>
      <c r="AJ14" s="3425"/>
    </row>
    <row r="15" spans="1:37" ht="15.9" customHeight="1">
      <c r="A15" s="595"/>
      <c r="B15" s="819"/>
      <c r="C15" s="595"/>
      <c r="D15" s="595"/>
      <c r="E15" s="3426"/>
      <c r="F15" s="3426"/>
      <c r="G15" s="3426"/>
      <c r="H15" s="3426"/>
      <c r="I15" s="3426"/>
      <c r="J15" s="3426"/>
      <c r="K15" s="3426"/>
      <c r="L15" s="3426"/>
      <c r="M15" s="3426"/>
      <c r="N15" s="3426"/>
      <c r="O15" s="3426"/>
      <c r="P15" s="3426"/>
      <c r="Q15" s="3426"/>
      <c r="R15" s="3426"/>
      <c r="S15" s="3426"/>
      <c r="T15" s="3426"/>
      <c r="U15" s="3426"/>
      <c r="V15" s="3426"/>
      <c r="W15" s="3426"/>
      <c r="X15" s="3426"/>
      <c r="Y15" s="3426"/>
      <c r="Z15" s="3426"/>
      <c r="AA15" s="3426"/>
      <c r="AB15" s="3426"/>
      <c r="AC15" s="3426"/>
      <c r="AD15" s="3426"/>
      <c r="AE15" s="3426"/>
      <c r="AF15" s="3426"/>
      <c r="AG15" s="3426"/>
      <c r="AH15" s="3426"/>
      <c r="AI15" s="3426"/>
      <c r="AJ15" s="816"/>
      <c r="AK15" s="595"/>
    </row>
    <row r="16" spans="1:37" ht="15.9" customHeight="1">
      <c r="A16" s="595"/>
      <c r="B16" s="819"/>
      <c r="C16" s="595"/>
      <c r="D16" s="595"/>
      <c r="E16" s="1899"/>
      <c r="F16" s="1899"/>
      <c r="G16" s="1899"/>
      <c r="H16" s="1899"/>
      <c r="I16" s="1899"/>
      <c r="J16" s="1899"/>
      <c r="K16" s="1899"/>
      <c r="L16" s="1899"/>
      <c r="M16" s="1899"/>
      <c r="N16" s="1899"/>
      <c r="O16" s="1899"/>
      <c r="P16" s="1899"/>
      <c r="Q16" s="1899"/>
      <c r="R16" s="1899"/>
      <c r="S16" s="1899"/>
      <c r="T16" s="1899"/>
      <c r="U16" s="1899"/>
      <c r="V16" s="1899"/>
      <c r="W16" s="1899"/>
      <c r="X16" s="1899"/>
      <c r="Y16" s="1899"/>
      <c r="Z16" s="1899"/>
      <c r="AA16" s="1899"/>
      <c r="AB16" s="1899"/>
      <c r="AC16" s="1899"/>
      <c r="AD16" s="1899"/>
      <c r="AE16" s="1899"/>
      <c r="AF16" s="1899"/>
      <c r="AG16" s="1899"/>
      <c r="AH16" s="1899"/>
      <c r="AI16" s="1899"/>
      <c r="AJ16" s="816"/>
      <c r="AK16" s="595"/>
    </row>
    <row r="17" spans="1:46" ht="15.9" customHeight="1">
      <c r="A17" s="595"/>
      <c r="B17" s="819"/>
      <c r="C17" s="595"/>
      <c r="D17" s="595"/>
      <c r="E17" s="1899"/>
      <c r="F17" s="1899"/>
      <c r="G17" s="1899"/>
      <c r="H17" s="1899"/>
      <c r="I17" s="1899"/>
      <c r="J17" s="1899"/>
      <c r="K17" s="1899"/>
      <c r="L17" s="1899"/>
      <c r="M17" s="1899"/>
      <c r="N17" s="1899"/>
      <c r="O17" s="1899"/>
      <c r="P17" s="1899"/>
      <c r="Q17" s="1899"/>
      <c r="R17" s="1899"/>
      <c r="S17" s="1899"/>
      <c r="T17" s="1899"/>
      <c r="U17" s="1899"/>
      <c r="V17" s="1899"/>
      <c r="W17" s="1899"/>
      <c r="X17" s="1899"/>
      <c r="Y17" s="1899"/>
      <c r="Z17" s="1899"/>
      <c r="AA17" s="1899"/>
      <c r="AB17" s="1899"/>
      <c r="AC17" s="1899"/>
      <c r="AD17" s="1899"/>
      <c r="AE17" s="1899"/>
      <c r="AF17" s="1899"/>
      <c r="AG17" s="1899"/>
      <c r="AH17" s="1899"/>
      <c r="AI17" s="1899"/>
      <c r="AJ17" s="816"/>
      <c r="AK17" s="595"/>
    </row>
    <row r="18" spans="1:46" ht="15.9" customHeight="1">
      <c r="A18" s="595"/>
      <c r="B18" s="819"/>
      <c r="C18" s="595"/>
      <c r="D18" s="595"/>
      <c r="E18" s="1899"/>
      <c r="F18" s="1899"/>
      <c r="G18" s="1899"/>
      <c r="H18" s="1899"/>
      <c r="I18" s="1899"/>
      <c r="J18" s="1899"/>
      <c r="K18" s="1899"/>
      <c r="L18" s="1899"/>
      <c r="M18" s="1899"/>
      <c r="N18" s="1899"/>
      <c r="O18" s="1899"/>
      <c r="P18" s="1899"/>
      <c r="Q18" s="1899"/>
      <c r="R18" s="1899"/>
      <c r="S18" s="1899"/>
      <c r="T18" s="1899"/>
      <c r="U18" s="1899"/>
      <c r="V18" s="1899"/>
      <c r="W18" s="1899"/>
      <c r="X18" s="1899"/>
      <c r="Y18" s="1899"/>
      <c r="Z18" s="1899"/>
      <c r="AA18" s="1899"/>
      <c r="AB18" s="1899"/>
      <c r="AC18" s="1899"/>
      <c r="AD18" s="1899"/>
      <c r="AE18" s="1899"/>
      <c r="AF18" s="1899"/>
      <c r="AG18" s="1899"/>
      <c r="AH18" s="1899"/>
      <c r="AI18" s="1899"/>
      <c r="AJ18" s="816"/>
      <c r="AK18" s="595"/>
    </row>
    <row r="19" spans="1:46" ht="15.9" customHeight="1">
      <c r="A19" s="595"/>
      <c r="B19" s="819"/>
      <c r="C19" s="595"/>
      <c r="D19" s="595"/>
      <c r="E19" s="1899"/>
      <c r="F19" s="1899"/>
      <c r="G19" s="1899"/>
      <c r="H19" s="1899"/>
      <c r="I19" s="1899"/>
      <c r="J19" s="1899"/>
      <c r="K19" s="1899"/>
      <c r="L19" s="1899"/>
      <c r="M19" s="1899"/>
      <c r="N19" s="1899"/>
      <c r="O19" s="1899"/>
      <c r="P19" s="1899"/>
      <c r="Q19" s="1899"/>
      <c r="R19" s="1899"/>
      <c r="S19" s="1899"/>
      <c r="T19" s="1899"/>
      <c r="U19" s="1899"/>
      <c r="V19" s="1899"/>
      <c r="W19" s="1899"/>
      <c r="X19" s="1899"/>
      <c r="Y19" s="1899"/>
      <c r="Z19" s="1899"/>
      <c r="AA19" s="1899"/>
      <c r="AB19" s="1899"/>
      <c r="AC19" s="1899"/>
      <c r="AD19" s="1899"/>
      <c r="AE19" s="1899"/>
      <c r="AF19" s="1899"/>
      <c r="AG19" s="1899"/>
      <c r="AH19" s="1899"/>
      <c r="AI19" s="1899"/>
      <c r="AJ19" s="816"/>
      <c r="AK19" s="595"/>
    </row>
    <row r="20" spans="1:46" ht="15.9" customHeight="1">
      <c r="A20" s="595"/>
      <c r="B20" s="819"/>
      <c r="C20" s="595"/>
      <c r="D20" s="595"/>
      <c r="E20" s="1899"/>
      <c r="F20" s="1899"/>
      <c r="G20" s="1899"/>
      <c r="H20" s="1899"/>
      <c r="I20" s="1899"/>
      <c r="J20" s="1899"/>
      <c r="K20" s="1899"/>
      <c r="L20" s="1899"/>
      <c r="M20" s="1899"/>
      <c r="N20" s="1899"/>
      <c r="O20" s="1899"/>
      <c r="P20" s="1899"/>
      <c r="Q20" s="1899"/>
      <c r="R20" s="1899"/>
      <c r="S20" s="1899"/>
      <c r="T20" s="1899"/>
      <c r="U20" s="1899"/>
      <c r="V20" s="1899"/>
      <c r="W20" s="1899"/>
      <c r="X20" s="1899"/>
      <c r="Y20" s="1899"/>
      <c r="Z20" s="1899"/>
      <c r="AA20" s="1899"/>
      <c r="AB20" s="1899"/>
      <c r="AC20" s="1899"/>
      <c r="AD20" s="1899"/>
      <c r="AE20" s="1899"/>
      <c r="AF20" s="1899"/>
      <c r="AG20" s="1899"/>
      <c r="AH20" s="1899"/>
      <c r="AI20" s="1899"/>
      <c r="AJ20" s="816"/>
      <c r="AK20" s="595"/>
    </row>
    <row r="21" spans="1:46" ht="15.9" customHeight="1">
      <c r="A21" s="595"/>
      <c r="B21" s="819"/>
      <c r="C21" s="595"/>
      <c r="D21" s="595"/>
      <c r="E21" s="1899"/>
      <c r="F21" s="1899"/>
      <c r="G21" s="1899"/>
      <c r="H21" s="1899"/>
      <c r="I21" s="1899"/>
      <c r="J21" s="1899"/>
      <c r="K21" s="1899"/>
      <c r="L21" s="1899"/>
      <c r="M21" s="1899"/>
      <c r="N21" s="1899"/>
      <c r="O21" s="1899"/>
      <c r="P21" s="1899"/>
      <c r="Q21" s="1899"/>
      <c r="R21" s="1899"/>
      <c r="S21" s="1899"/>
      <c r="T21" s="1899"/>
      <c r="U21" s="1899"/>
      <c r="V21" s="1899"/>
      <c r="W21" s="1899"/>
      <c r="X21" s="1899"/>
      <c r="Y21" s="1899"/>
      <c r="Z21" s="1899"/>
      <c r="AA21" s="1899"/>
      <c r="AB21" s="1899"/>
      <c r="AC21" s="1899"/>
      <c r="AD21" s="1899"/>
      <c r="AE21" s="1899"/>
      <c r="AF21" s="1899"/>
      <c r="AG21" s="1899"/>
      <c r="AH21" s="1899"/>
      <c r="AI21" s="1899"/>
      <c r="AJ21" s="816"/>
      <c r="AK21" s="595"/>
    </row>
    <row r="22" spans="1:46" ht="15.9" customHeight="1">
      <c r="A22" s="595"/>
      <c r="B22" s="819"/>
      <c r="C22" s="595"/>
      <c r="D22" s="595"/>
      <c r="E22" s="1899"/>
      <c r="F22" s="1899"/>
      <c r="G22" s="1899"/>
      <c r="H22" s="1899"/>
      <c r="I22" s="1899"/>
      <c r="J22" s="1899"/>
      <c r="K22" s="1899"/>
      <c r="L22" s="1899"/>
      <c r="M22" s="1899"/>
      <c r="N22" s="1899"/>
      <c r="O22" s="1899"/>
      <c r="P22" s="1899"/>
      <c r="Q22" s="1899"/>
      <c r="R22" s="1899"/>
      <c r="S22" s="1899"/>
      <c r="T22" s="1899"/>
      <c r="U22" s="1899"/>
      <c r="V22" s="1899"/>
      <c r="W22" s="1899"/>
      <c r="X22" s="1899"/>
      <c r="Y22" s="1899"/>
      <c r="Z22" s="1899"/>
      <c r="AA22" s="1899"/>
      <c r="AB22" s="1899"/>
      <c r="AC22" s="1899"/>
      <c r="AD22" s="1899"/>
      <c r="AE22" s="1899"/>
      <c r="AF22" s="1899"/>
      <c r="AG22" s="1899"/>
      <c r="AH22" s="1899"/>
      <c r="AI22" s="1899"/>
      <c r="AJ22" s="816"/>
      <c r="AK22" s="595"/>
      <c r="AM22" s="874"/>
      <c r="AN22" s="874"/>
    </row>
    <row r="23" spans="1:46" ht="15.9" customHeight="1">
      <c r="A23" s="595"/>
      <c r="B23" s="819"/>
      <c r="C23" s="595"/>
      <c r="D23" s="595"/>
      <c r="E23" s="1899"/>
      <c r="F23" s="1899"/>
      <c r="G23" s="1899"/>
      <c r="H23" s="1899"/>
      <c r="I23" s="1899"/>
      <c r="J23" s="1899"/>
      <c r="K23" s="1899"/>
      <c r="L23" s="1899"/>
      <c r="M23" s="1899"/>
      <c r="N23" s="1899"/>
      <c r="O23" s="1899"/>
      <c r="P23" s="1899"/>
      <c r="Q23" s="1899"/>
      <c r="R23" s="1899"/>
      <c r="S23" s="1899"/>
      <c r="T23" s="1899"/>
      <c r="U23" s="1899"/>
      <c r="V23" s="1899"/>
      <c r="W23" s="1899"/>
      <c r="X23" s="1899"/>
      <c r="Y23" s="1899"/>
      <c r="Z23" s="1899"/>
      <c r="AA23" s="1899"/>
      <c r="AB23" s="1899"/>
      <c r="AC23" s="1899"/>
      <c r="AD23" s="1899"/>
      <c r="AE23" s="1899"/>
      <c r="AF23" s="1899"/>
      <c r="AG23" s="1899"/>
      <c r="AH23" s="1899"/>
      <c r="AI23" s="1899"/>
      <c r="AJ23" s="816"/>
      <c r="AK23" s="595"/>
      <c r="AM23" s="874"/>
      <c r="AN23" s="874"/>
    </row>
    <row r="24" spans="1:46" ht="15.9" customHeight="1">
      <c r="A24" s="595"/>
      <c r="B24" s="819"/>
      <c r="C24" s="595"/>
      <c r="D24" s="595"/>
      <c r="E24" s="1899"/>
      <c r="F24" s="1899"/>
      <c r="G24" s="1899"/>
      <c r="H24" s="1899"/>
      <c r="I24" s="1899"/>
      <c r="J24" s="1899"/>
      <c r="K24" s="1899"/>
      <c r="L24" s="1899"/>
      <c r="M24" s="1899"/>
      <c r="N24" s="1899"/>
      <c r="O24" s="1899"/>
      <c r="P24" s="1899"/>
      <c r="Q24" s="1899"/>
      <c r="R24" s="1899"/>
      <c r="S24" s="1899"/>
      <c r="T24" s="1899"/>
      <c r="U24" s="1899"/>
      <c r="V24" s="1899"/>
      <c r="W24" s="1899"/>
      <c r="X24" s="1899"/>
      <c r="Y24" s="1899"/>
      <c r="Z24" s="1899"/>
      <c r="AA24" s="1899"/>
      <c r="AB24" s="1899"/>
      <c r="AC24" s="1899"/>
      <c r="AD24" s="1899"/>
      <c r="AE24" s="1899"/>
      <c r="AF24" s="1899"/>
      <c r="AG24" s="1899"/>
      <c r="AH24" s="1899"/>
      <c r="AI24" s="1899"/>
      <c r="AJ24" s="816"/>
      <c r="AK24" s="595"/>
      <c r="AM24" s="874"/>
      <c r="AN24" s="874"/>
    </row>
    <row r="25" spans="1:46" ht="15.9" customHeight="1">
      <c r="A25" s="595"/>
      <c r="B25" s="819"/>
      <c r="C25" s="595"/>
      <c r="D25" s="595"/>
      <c r="E25" s="1899"/>
      <c r="F25" s="1899"/>
      <c r="G25" s="1899"/>
      <c r="H25" s="1899"/>
      <c r="I25" s="1899"/>
      <c r="J25" s="1899"/>
      <c r="K25" s="1899"/>
      <c r="L25" s="1899"/>
      <c r="M25" s="1899"/>
      <c r="N25" s="1899"/>
      <c r="O25" s="1899"/>
      <c r="P25" s="1899"/>
      <c r="Q25" s="1899"/>
      <c r="R25" s="1899"/>
      <c r="S25" s="1899"/>
      <c r="T25" s="1899"/>
      <c r="U25" s="1899"/>
      <c r="V25" s="1899"/>
      <c r="W25" s="1899"/>
      <c r="X25" s="1899"/>
      <c r="Y25" s="1899"/>
      <c r="Z25" s="1899"/>
      <c r="AA25" s="1899"/>
      <c r="AB25" s="1899"/>
      <c r="AC25" s="1899"/>
      <c r="AD25" s="1899"/>
      <c r="AE25" s="1899"/>
      <c r="AF25" s="1899"/>
      <c r="AG25" s="1899"/>
      <c r="AH25" s="1899"/>
      <c r="AI25" s="1899"/>
      <c r="AJ25" s="816"/>
      <c r="AK25" s="595"/>
      <c r="AM25" s="874"/>
      <c r="AN25" s="874"/>
    </row>
    <row r="26" spans="1:46" ht="15.9" customHeight="1">
      <c r="A26" s="595"/>
      <c r="B26" s="819"/>
      <c r="C26" s="595"/>
      <c r="D26" s="595"/>
      <c r="E26" s="1899"/>
      <c r="F26" s="1899"/>
      <c r="G26" s="1899"/>
      <c r="H26" s="1899"/>
      <c r="I26" s="1899"/>
      <c r="J26" s="1899"/>
      <c r="K26" s="1899"/>
      <c r="L26" s="1899"/>
      <c r="M26" s="1899"/>
      <c r="N26" s="1899"/>
      <c r="O26" s="1899"/>
      <c r="P26" s="1899"/>
      <c r="Q26" s="1899"/>
      <c r="R26" s="1899"/>
      <c r="S26" s="1899"/>
      <c r="T26" s="1899"/>
      <c r="U26" s="1899"/>
      <c r="V26" s="1899"/>
      <c r="W26" s="1899"/>
      <c r="X26" s="1899"/>
      <c r="Y26" s="1899"/>
      <c r="Z26" s="1899"/>
      <c r="AA26" s="1899"/>
      <c r="AB26" s="1899"/>
      <c r="AC26" s="1899"/>
      <c r="AD26" s="1899"/>
      <c r="AE26" s="1899"/>
      <c r="AF26" s="1899"/>
      <c r="AG26" s="1899"/>
      <c r="AH26" s="1899"/>
      <c r="AI26" s="1899"/>
      <c r="AJ26" s="816"/>
      <c r="AK26" s="595"/>
      <c r="AM26" s="874"/>
      <c r="AN26" s="874"/>
      <c r="AR26" s="3434"/>
      <c r="AS26" s="3435"/>
      <c r="AT26" s="3435"/>
    </row>
    <row r="27" spans="1:46" ht="15.9" customHeight="1">
      <c r="A27" s="595"/>
      <c r="B27" s="819"/>
      <c r="C27" s="595"/>
      <c r="D27" s="595"/>
      <c r="E27" s="1899"/>
      <c r="F27" s="1899"/>
      <c r="G27" s="1899"/>
      <c r="H27" s="1899"/>
      <c r="I27" s="1899"/>
      <c r="J27" s="1899"/>
      <c r="K27" s="1899"/>
      <c r="L27" s="1899"/>
      <c r="M27" s="1899"/>
      <c r="N27" s="1899"/>
      <c r="O27" s="1899"/>
      <c r="P27" s="1899"/>
      <c r="Q27" s="1899"/>
      <c r="R27" s="1899"/>
      <c r="S27" s="1899"/>
      <c r="T27" s="1899"/>
      <c r="U27" s="1899"/>
      <c r="V27" s="1899"/>
      <c r="W27" s="1899"/>
      <c r="X27" s="1899"/>
      <c r="Y27" s="1899"/>
      <c r="Z27" s="1899"/>
      <c r="AA27" s="1899"/>
      <c r="AB27" s="1899"/>
      <c r="AC27" s="1899"/>
      <c r="AD27" s="1899"/>
      <c r="AE27" s="1899"/>
      <c r="AF27" s="1899"/>
      <c r="AG27" s="1899"/>
      <c r="AH27" s="1899"/>
      <c r="AI27" s="1899"/>
      <c r="AJ27" s="816"/>
      <c r="AK27" s="595"/>
      <c r="AR27" s="3436"/>
      <c r="AS27" s="3437"/>
      <c r="AT27" s="3437"/>
    </row>
    <row r="28" spans="1:46" ht="15.9" customHeight="1">
      <c r="A28" s="595"/>
      <c r="B28" s="819"/>
      <c r="C28" s="595"/>
      <c r="D28" s="595"/>
      <c r="E28" s="1899"/>
      <c r="F28" s="1899"/>
      <c r="G28" s="1899"/>
      <c r="H28" s="1899"/>
      <c r="I28" s="1899"/>
      <c r="J28" s="1899"/>
      <c r="K28" s="1899"/>
      <c r="L28" s="1899"/>
      <c r="M28" s="1899"/>
      <c r="N28" s="1899"/>
      <c r="O28" s="1899"/>
      <c r="P28" s="1899"/>
      <c r="Q28" s="1899"/>
      <c r="R28" s="1899"/>
      <c r="S28" s="1899"/>
      <c r="T28" s="1899"/>
      <c r="U28" s="1899"/>
      <c r="V28" s="1899"/>
      <c r="W28" s="1899"/>
      <c r="X28" s="1899"/>
      <c r="Y28" s="1899"/>
      <c r="Z28" s="1899"/>
      <c r="AA28" s="1899"/>
      <c r="AB28" s="1899"/>
      <c r="AC28" s="1899"/>
      <c r="AD28" s="1899"/>
      <c r="AE28" s="1899"/>
      <c r="AF28" s="1899"/>
      <c r="AG28" s="1899"/>
      <c r="AH28" s="1899"/>
      <c r="AI28" s="1899"/>
      <c r="AJ28" s="816"/>
      <c r="AK28" s="595"/>
      <c r="AR28" s="931"/>
      <c r="AS28" s="3438"/>
      <c r="AT28" s="3439"/>
    </row>
    <row r="29" spans="1:46" ht="15.9" customHeight="1">
      <c r="A29" s="595"/>
      <c r="B29" s="819"/>
      <c r="C29" s="595"/>
      <c r="D29" s="595"/>
      <c r="E29" s="1899"/>
      <c r="F29" s="1899"/>
      <c r="G29" s="1899"/>
      <c r="H29" s="1899"/>
      <c r="I29" s="1899"/>
      <c r="J29" s="1899"/>
      <c r="K29" s="1899"/>
      <c r="L29" s="1899"/>
      <c r="M29" s="1899"/>
      <c r="N29" s="1899"/>
      <c r="O29" s="1899"/>
      <c r="P29" s="1899"/>
      <c r="Q29" s="1899"/>
      <c r="R29" s="1899"/>
      <c r="S29" s="1899"/>
      <c r="T29" s="1899"/>
      <c r="U29" s="1899"/>
      <c r="V29" s="1899"/>
      <c r="W29" s="1899"/>
      <c r="X29" s="1899"/>
      <c r="Y29" s="1899"/>
      <c r="Z29" s="1899"/>
      <c r="AA29" s="1899"/>
      <c r="AB29" s="1899"/>
      <c r="AC29" s="1899"/>
      <c r="AD29" s="1899"/>
      <c r="AE29" s="1899"/>
      <c r="AF29" s="1899"/>
      <c r="AG29" s="1899"/>
      <c r="AH29" s="1899"/>
      <c r="AI29" s="1899"/>
      <c r="AJ29" s="816"/>
      <c r="AK29" s="595"/>
    </row>
    <row r="30" spans="1:46" ht="15.9" customHeight="1">
      <c r="A30" s="595"/>
      <c r="B30" s="819"/>
      <c r="C30" s="595"/>
      <c r="D30" s="595"/>
      <c r="E30" s="1899"/>
      <c r="F30" s="1899"/>
      <c r="G30" s="1899"/>
      <c r="H30" s="1899"/>
      <c r="I30" s="1899"/>
      <c r="J30" s="1899"/>
      <c r="K30" s="1899"/>
      <c r="L30" s="1899"/>
      <c r="M30" s="1899"/>
      <c r="N30" s="1899"/>
      <c r="O30" s="1899"/>
      <c r="P30" s="1899"/>
      <c r="Q30" s="1899"/>
      <c r="R30" s="1899"/>
      <c r="S30" s="1899"/>
      <c r="T30" s="1899"/>
      <c r="U30" s="1899"/>
      <c r="V30" s="1899"/>
      <c r="W30" s="1899"/>
      <c r="X30" s="1899"/>
      <c r="Y30" s="1899"/>
      <c r="Z30" s="1899"/>
      <c r="AA30" s="1899"/>
      <c r="AB30" s="1899"/>
      <c r="AC30" s="1899"/>
      <c r="AD30" s="1899"/>
      <c r="AE30" s="1899"/>
      <c r="AF30" s="1899"/>
      <c r="AG30" s="1899"/>
      <c r="AH30" s="1899"/>
      <c r="AI30" s="1899"/>
      <c r="AJ30" s="827"/>
      <c r="AK30" s="595"/>
    </row>
    <row r="31" spans="1:46" ht="15.9" customHeight="1">
      <c r="A31" s="595"/>
      <c r="B31" s="819"/>
      <c r="C31" s="595"/>
      <c r="D31" s="595"/>
      <c r="E31" s="1899"/>
      <c r="F31" s="1899"/>
      <c r="G31" s="1899"/>
      <c r="H31" s="1899"/>
      <c r="I31" s="1899"/>
      <c r="J31" s="1899"/>
      <c r="K31" s="1899"/>
      <c r="L31" s="1899"/>
      <c r="M31" s="1899"/>
      <c r="N31" s="1899"/>
      <c r="O31" s="1899"/>
      <c r="P31" s="1899"/>
      <c r="Q31" s="1899"/>
      <c r="R31" s="1899"/>
      <c r="S31" s="1899"/>
      <c r="T31" s="1899"/>
      <c r="U31" s="1899"/>
      <c r="V31" s="1899"/>
      <c r="W31" s="1899"/>
      <c r="X31" s="1899"/>
      <c r="Y31" s="1899"/>
      <c r="Z31" s="1899"/>
      <c r="AA31" s="1899"/>
      <c r="AB31" s="1899"/>
      <c r="AC31" s="1899"/>
      <c r="AD31" s="1899"/>
      <c r="AE31" s="1899"/>
      <c r="AF31" s="1899"/>
      <c r="AG31" s="1899"/>
      <c r="AH31" s="1899"/>
      <c r="AI31" s="1899"/>
      <c r="AJ31" s="816"/>
      <c r="AK31" s="595"/>
    </row>
    <row r="32" spans="1:46" ht="15.9" customHeight="1">
      <c r="A32" s="595"/>
      <c r="B32" s="819"/>
      <c r="C32" s="595"/>
      <c r="D32" s="595"/>
      <c r="E32" s="1899"/>
      <c r="F32" s="1899"/>
      <c r="G32" s="1899"/>
      <c r="H32" s="1899"/>
      <c r="I32" s="1899"/>
      <c r="J32" s="1899"/>
      <c r="K32" s="1899"/>
      <c r="L32" s="1899"/>
      <c r="M32" s="1899"/>
      <c r="N32" s="1899"/>
      <c r="O32" s="1899"/>
      <c r="P32" s="1899"/>
      <c r="Q32" s="1899"/>
      <c r="R32" s="1899"/>
      <c r="S32" s="1899"/>
      <c r="T32" s="1899"/>
      <c r="U32" s="1899"/>
      <c r="V32" s="1899"/>
      <c r="W32" s="1899"/>
      <c r="X32" s="1899"/>
      <c r="Y32" s="1899"/>
      <c r="Z32" s="1899"/>
      <c r="AA32" s="1899"/>
      <c r="AB32" s="1899"/>
      <c r="AC32" s="1899"/>
      <c r="AD32" s="1899"/>
      <c r="AE32" s="1899"/>
      <c r="AF32" s="1899"/>
      <c r="AG32" s="1899"/>
      <c r="AH32" s="1899"/>
      <c r="AI32" s="1899"/>
      <c r="AJ32" s="816"/>
      <c r="AK32" s="595"/>
    </row>
    <row r="33" spans="1:40" ht="15.9" customHeight="1">
      <c r="A33" s="595"/>
      <c r="B33" s="819"/>
      <c r="C33" s="595"/>
      <c r="D33" s="595"/>
      <c r="E33" s="1899"/>
      <c r="F33" s="1899"/>
      <c r="G33" s="1899"/>
      <c r="H33" s="1899"/>
      <c r="I33" s="1899"/>
      <c r="J33" s="1899"/>
      <c r="K33" s="1899"/>
      <c r="L33" s="1899"/>
      <c r="M33" s="1899"/>
      <c r="N33" s="1899"/>
      <c r="O33" s="1899"/>
      <c r="P33" s="1899"/>
      <c r="Q33" s="1899"/>
      <c r="R33" s="1899"/>
      <c r="S33" s="1899"/>
      <c r="T33" s="1899"/>
      <c r="U33" s="1899"/>
      <c r="V33" s="1899"/>
      <c r="W33" s="1899"/>
      <c r="X33" s="1899"/>
      <c r="Y33" s="1899"/>
      <c r="Z33" s="1899"/>
      <c r="AA33" s="1899"/>
      <c r="AB33" s="1899"/>
      <c r="AC33" s="1899"/>
      <c r="AD33" s="1899"/>
      <c r="AE33" s="1899"/>
      <c r="AF33" s="1899"/>
      <c r="AG33" s="1899"/>
      <c r="AH33" s="1899"/>
      <c r="AI33" s="1899"/>
      <c r="AJ33" s="816"/>
      <c r="AK33" s="595"/>
    </row>
    <row r="34" spans="1:40" ht="15.9" customHeight="1">
      <c r="A34" s="595"/>
      <c r="B34" s="819"/>
      <c r="C34" s="595"/>
      <c r="D34" s="595"/>
      <c r="E34" s="1899"/>
      <c r="F34" s="1899"/>
      <c r="G34" s="1899"/>
      <c r="H34" s="1899"/>
      <c r="I34" s="1899"/>
      <c r="J34" s="1899"/>
      <c r="K34" s="1899"/>
      <c r="L34" s="1899"/>
      <c r="M34" s="1899"/>
      <c r="N34" s="1899"/>
      <c r="O34" s="1899"/>
      <c r="P34" s="1899"/>
      <c r="Q34" s="1899"/>
      <c r="R34" s="1899"/>
      <c r="S34" s="1899"/>
      <c r="T34" s="1899"/>
      <c r="U34" s="1899"/>
      <c r="V34" s="1899"/>
      <c r="W34" s="1899"/>
      <c r="X34" s="1899"/>
      <c r="Y34" s="1899"/>
      <c r="Z34" s="1899"/>
      <c r="AA34" s="1899"/>
      <c r="AB34" s="1899"/>
      <c r="AC34" s="1899"/>
      <c r="AD34" s="1899"/>
      <c r="AE34" s="1899"/>
      <c r="AF34" s="1899"/>
      <c r="AG34" s="1899"/>
      <c r="AH34" s="1899"/>
      <c r="AI34" s="1899"/>
      <c r="AJ34" s="816"/>
      <c r="AK34" s="595"/>
    </row>
    <row r="35" spans="1:40" ht="15.9" customHeight="1">
      <c r="A35" s="595"/>
      <c r="B35" s="819"/>
      <c r="C35" s="595"/>
      <c r="D35" s="595"/>
      <c r="E35" s="1899"/>
      <c r="F35" s="1899"/>
      <c r="G35" s="1899"/>
      <c r="H35" s="1899"/>
      <c r="I35" s="1899"/>
      <c r="J35" s="1899"/>
      <c r="K35" s="1899"/>
      <c r="L35" s="1899"/>
      <c r="M35" s="1899"/>
      <c r="N35" s="1899"/>
      <c r="O35" s="1899"/>
      <c r="P35" s="1899"/>
      <c r="Q35" s="1899"/>
      <c r="R35" s="1899"/>
      <c r="S35" s="1899"/>
      <c r="T35" s="1899"/>
      <c r="U35" s="1899"/>
      <c r="V35" s="1899"/>
      <c r="W35" s="1899"/>
      <c r="X35" s="1899"/>
      <c r="Y35" s="1899"/>
      <c r="Z35" s="1899"/>
      <c r="AA35" s="1899"/>
      <c r="AB35" s="1899"/>
      <c r="AC35" s="1899"/>
      <c r="AD35" s="1899"/>
      <c r="AE35" s="1899"/>
      <c r="AF35" s="1899"/>
      <c r="AG35" s="1899"/>
      <c r="AH35" s="1899"/>
      <c r="AI35" s="1899"/>
      <c r="AJ35" s="816"/>
      <c r="AK35" s="595"/>
    </row>
    <row r="36" spans="1:40" ht="15.9" customHeight="1">
      <c r="A36" s="595"/>
      <c r="B36" s="819"/>
      <c r="C36" s="595"/>
      <c r="D36" s="595"/>
      <c r="E36" s="1899"/>
      <c r="F36" s="1899"/>
      <c r="G36" s="1899"/>
      <c r="H36" s="1899"/>
      <c r="I36" s="1899"/>
      <c r="J36" s="1899"/>
      <c r="K36" s="1899"/>
      <c r="L36" s="1899"/>
      <c r="M36" s="1899"/>
      <c r="N36" s="1899"/>
      <c r="O36" s="1899"/>
      <c r="P36" s="1899"/>
      <c r="Q36" s="1899"/>
      <c r="R36" s="1899"/>
      <c r="S36" s="1899"/>
      <c r="T36" s="1899"/>
      <c r="U36" s="1899"/>
      <c r="V36" s="1899"/>
      <c r="W36" s="1899"/>
      <c r="X36" s="1899"/>
      <c r="Y36" s="1899"/>
      <c r="Z36" s="1899"/>
      <c r="AA36" s="1899"/>
      <c r="AB36" s="1899"/>
      <c r="AC36" s="1899"/>
      <c r="AD36" s="1899"/>
      <c r="AE36" s="1899"/>
      <c r="AF36" s="1899"/>
      <c r="AG36" s="1899"/>
      <c r="AH36" s="1899"/>
      <c r="AI36" s="1899"/>
      <c r="AJ36" s="816"/>
      <c r="AK36" s="595"/>
    </row>
    <row r="37" spans="1:40" ht="15.9" customHeight="1">
      <c r="A37" s="595"/>
      <c r="B37" s="819"/>
      <c r="C37" s="595"/>
      <c r="D37" s="595"/>
      <c r="E37" s="1899"/>
      <c r="F37" s="1899"/>
      <c r="G37" s="1899"/>
      <c r="H37" s="1899"/>
      <c r="I37" s="1899"/>
      <c r="J37" s="1899"/>
      <c r="K37" s="1899"/>
      <c r="L37" s="1899"/>
      <c r="M37" s="1899"/>
      <c r="N37" s="1899"/>
      <c r="O37" s="1899"/>
      <c r="P37" s="1899"/>
      <c r="Q37" s="1899"/>
      <c r="R37" s="1899"/>
      <c r="S37" s="1899"/>
      <c r="T37" s="1899"/>
      <c r="U37" s="1899"/>
      <c r="V37" s="1899"/>
      <c r="W37" s="1899"/>
      <c r="X37" s="1899"/>
      <c r="Y37" s="1899"/>
      <c r="Z37" s="1899"/>
      <c r="AA37" s="1899"/>
      <c r="AB37" s="1899"/>
      <c r="AC37" s="1899"/>
      <c r="AD37" s="1899"/>
      <c r="AE37" s="1899"/>
      <c r="AF37" s="1899"/>
      <c r="AG37" s="1899"/>
      <c r="AH37" s="1899"/>
      <c r="AI37" s="1899"/>
      <c r="AJ37" s="816"/>
      <c r="AK37" s="595"/>
      <c r="AM37" s="874"/>
      <c r="AN37" s="874"/>
    </row>
    <row r="38" spans="1:40" ht="15.9" customHeight="1">
      <c r="A38" s="595"/>
      <c r="B38" s="819"/>
      <c r="C38" s="595"/>
      <c r="D38" s="595"/>
      <c r="E38" s="1899"/>
      <c r="F38" s="1899"/>
      <c r="G38" s="1899"/>
      <c r="H38" s="1899"/>
      <c r="I38" s="1899"/>
      <c r="J38" s="1899"/>
      <c r="K38" s="1899"/>
      <c r="L38" s="1899"/>
      <c r="M38" s="1899"/>
      <c r="N38" s="1899"/>
      <c r="O38" s="1899"/>
      <c r="P38" s="1899"/>
      <c r="Q38" s="1899"/>
      <c r="R38" s="1899"/>
      <c r="S38" s="1899"/>
      <c r="T38" s="1899"/>
      <c r="U38" s="1899"/>
      <c r="V38" s="1899"/>
      <c r="W38" s="1899"/>
      <c r="X38" s="1899"/>
      <c r="Y38" s="1899"/>
      <c r="Z38" s="1899"/>
      <c r="AA38" s="1899"/>
      <c r="AB38" s="1899"/>
      <c r="AC38" s="1899"/>
      <c r="AD38" s="1899"/>
      <c r="AE38" s="1899"/>
      <c r="AF38" s="1899"/>
      <c r="AG38" s="1899"/>
      <c r="AH38" s="1899"/>
      <c r="AI38" s="1899"/>
      <c r="AJ38" s="816"/>
      <c r="AK38" s="595"/>
      <c r="AM38" s="874"/>
      <c r="AN38" s="874"/>
    </row>
    <row r="39" spans="1:40" ht="15.9" customHeight="1">
      <c r="A39" s="595"/>
      <c r="B39" s="819"/>
      <c r="C39" s="595"/>
      <c r="D39" s="595"/>
      <c r="E39" s="1899"/>
      <c r="F39" s="1899"/>
      <c r="G39" s="1899"/>
      <c r="H39" s="1899"/>
      <c r="I39" s="1899"/>
      <c r="J39" s="1899"/>
      <c r="K39" s="1899"/>
      <c r="L39" s="1899"/>
      <c r="M39" s="1899"/>
      <c r="N39" s="1899"/>
      <c r="O39" s="1899"/>
      <c r="P39" s="1899"/>
      <c r="Q39" s="1899"/>
      <c r="R39" s="1899"/>
      <c r="S39" s="1899"/>
      <c r="T39" s="1899"/>
      <c r="U39" s="1899"/>
      <c r="V39" s="1899"/>
      <c r="W39" s="1899"/>
      <c r="X39" s="1899"/>
      <c r="Y39" s="1899"/>
      <c r="Z39" s="1899"/>
      <c r="AA39" s="1899"/>
      <c r="AB39" s="1899"/>
      <c r="AC39" s="1899"/>
      <c r="AD39" s="1899"/>
      <c r="AE39" s="1899"/>
      <c r="AF39" s="1899"/>
      <c r="AG39" s="1899"/>
      <c r="AH39" s="1899"/>
      <c r="AI39" s="1899"/>
      <c r="AJ39" s="816"/>
      <c r="AK39" s="595"/>
    </row>
    <row r="40" spans="1:40" ht="15.9" customHeight="1">
      <c r="A40" s="595"/>
      <c r="B40" s="819"/>
      <c r="C40" s="595"/>
      <c r="D40" s="595"/>
      <c r="E40" s="1899"/>
      <c r="F40" s="1899"/>
      <c r="G40" s="1899"/>
      <c r="H40" s="1899"/>
      <c r="I40" s="1899"/>
      <c r="J40" s="1899"/>
      <c r="K40" s="1899"/>
      <c r="L40" s="1899"/>
      <c r="M40" s="1899"/>
      <c r="N40" s="1899"/>
      <c r="O40" s="1899"/>
      <c r="P40" s="1899"/>
      <c r="Q40" s="1899"/>
      <c r="R40" s="1899"/>
      <c r="S40" s="1899"/>
      <c r="T40" s="1899"/>
      <c r="U40" s="1899"/>
      <c r="V40" s="1899"/>
      <c r="W40" s="1899"/>
      <c r="X40" s="1899"/>
      <c r="Y40" s="1899"/>
      <c r="Z40" s="1899"/>
      <c r="AA40" s="1899"/>
      <c r="AB40" s="1899"/>
      <c r="AC40" s="1899"/>
      <c r="AD40" s="1899"/>
      <c r="AE40" s="1899"/>
      <c r="AF40" s="1899"/>
      <c r="AG40" s="1899"/>
      <c r="AH40" s="1899"/>
      <c r="AI40" s="1899"/>
      <c r="AJ40" s="816"/>
      <c r="AK40" s="595"/>
    </row>
    <row r="41" spans="1:40" ht="15.9" customHeight="1">
      <c r="A41" s="595"/>
      <c r="B41" s="819"/>
      <c r="C41" s="595"/>
      <c r="D41" s="595"/>
      <c r="E41" s="1899"/>
      <c r="F41" s="1899"/>
      <c r="G41" s="1899"/>
      <c r="H41" s="1899"/>
      <c r="I41" s="1899"/>
      <c r="J41" s="1899"/>
      <c r="K41" s="1899"/>
      <c r="L41" s="1899"/>
      <c r="M41" s="1899"/>
      <c r="N41" s="1899"/>
      <c r="O41" s="1899"/>
      <c r="P41" s="1899"/>
      <c r="Q41" s="1899"/>
      <c r="R41" s="1899"/>
      <c r="S41" s="1899"/>
      <c r="T41" s="1899"/>
      <c r="U41" s="1899"/>
      <c r="V41" s="1899"/>
      <c r="W41" s="1899"/>
      <c r="X41" s="1899"/>
      <c r="Y41" s="1899"/>
      <c r="Z41" s="1899"/>
      <c r="AA41" s="1899"/>
      <c r="AB41" s="1899"/>
      <c r="AC41" s="1899"/>
      <c r="AD41" s="1899"/>
      <c r="AE41" s="1899"/>
      <c r="AF41" s="1899"/>
      <c r="AG41" s="1899"/>
      <c r="AH41" s="1899"/>
      <c r="AI41" s="1899"/>
      <c r="AJ41" s="816"/>
      <c r="AK41" s="595"/>
    </row>
    <row r="42" spans="1:40" ht="15.9" customHeight="1">
      <c r="A42" s="595"/>
      <c r="B42" s="819"/>
      <c r="C42" s="595"/>
      <c r="D42" s="595"/>
      <c r="E42" s="1899"/>
      <c r="F42" s="1899"/>
      <c r="G42" s="1899"/>
      <c r="H42" s="1899"/>
      <c r="I42" s="1899"/>
      <c r="J42" s="1899"/>
      <c r="K42" s="1899"/>
      <c r="L42" s="1899"/>
      <c r="M42" s="1899"/>
      <c r="N42" s="1899"/>
      <c r="O42" s="1899"/>
      <c r="P42" s="1899"/>
      <c r="Q42" s="1899"/>
      <c r="R42" s="1899"/>
      <c r="S42" s="1899"/>
      <c r="T42" s="1899"/>
      <c r="U42" s="1899"/>
      <c r="V42" s="1899"/>
      <c r="W42" s="1899"/>
      <c r="X42" s="1899"/>
      <c r="Y42" s="1899"/>
      <c r="Z42" s="1899"/>
      <c r="AA42" s="1899"/>
      <c r="AB42" s="1899"/>
      <c r="AC42" s="1899"/>
      <c r="AD42" s="1899"/>
      <c r="AE42" s="1899"/>
      <c r="AF42" s="1899"/>
      <c r="AG42" s="1899"/>
      <c r="AH42" s="1899"/>
      <c r="AI42" s="1899"/>
      <c r="AJ42" s="827"/>
      <c r="AK42" s="595"/>
    </row>
    <row r="43" spans="1:40" ht="15.9" customHeight="1">
      <c r="A43" s="595"/>
      <c r="B43" s="819"/>
      <c r="C43" s="595"/>
      <c r="D43" s="595"/>
      <c r="E43" s="1899"/>
      <c r="F43" s="1899"/>
      <c r="G43" s="1899"/>
      <c r="H43" s="1899"/>
      <c r="I43" s="1899"/>
      <c r="J43" s="1899"/>
      <c r="K43" s="1899"/>
      <c r="L43" s="1899"/>
      <c r="M43" s="1899"/>
      <c r="N43" s="1899"/>
      <c r="O43" s="1899"/>
      <c r="P43" s="1899"/>
      <c r="Q43" s="1899"/>
      <c r="R43" s="1899"/>
      <c r="S43" s="1899"/>
      <c r="T43" s="1899"/>
      <c r="U43" s="1899"/>
      <c r="V43" s="1899"/>
      <c r="W43" s="1899"/>
      <c r="X43" s="1899"/>
      <c r="Y43" s="1899"/>
      <c r="Z43" s="1899"/>
      <c r="AA43" s="1899"/>
      <c r="AB43" s="1899"/>
      <c r="AC43" s="1899"/>
      <c r="AD43" s="1899"/>
      <c r="AE43" s="1899"/>
      <c r="AF43" s="1899"/>
      <c r="AG43" s="1899"/>
      <c r="AH43" s="1899"/>
      <c r="AI43" s="1899"/>
      <c r="AJ43" s="827"/>
      <c r="AK43" s="595"/>
    </row>
    <row r="44" spans="1:40" ht="15.9" customHeight="1">
      <c r="A44" s="595"/>
      <c r="B44" s="819"/>
      <c r="C44" s="595"/>
      <c r="D44" s="595"/>
      <c r="E44" s="1899"/>
      <c r="F44" s="1899"/>
      <c r="G44" s="1899"/>
      <c r="H44" s="1899"/>
      <c r="I44" s="1899"/>
      <c r="J44" s="1899"/>
      <c r="K44" s="1899"/>
      <c r="L44" s="1899"/>
      <c r="M44" s="1899"/>
      <c r="N44" s="1899"/>
      <c r="O44" s="1899"/>
      <c r="P44" s="1899"/>
      <c r="Q44" s="1899"/>
      <c r="R44" s="1899"/>
      <c r="S44" s="1899"/>
      <c r="T44" s="1899"/>
      <c r="U44" s="1899"/>
      <c r="V44" s="1899"/>
      <c r="W44" s="1899"/>
      <c r="X44" s="1899"/>
      <c r="Y44" s="1899"/>
      <c r="Z44" s="1899"/>
      <c r="AA44" s="1899"/>
      <c r="AB44" s="1899"/>
      <c r="AC44" s="1899"/>
      <c r="AD44" s="1899"/>
      <c r="AE44" s="1899"/>
      <c r="AF44" s="1899"/>
      <c r="AG44" s="1899"/>
      <c r="AH44" s="1899"/>
      <c r="AI44" s="1899"/>
      <c r="AJ44" s="816"/>
      <c r="AK44" s="595"/>
    </row>
    <row r="45" spans="1:40" ht="15.9" customHeight="1">
      <c r="A45" s="595"/>
      <c r="B45" s="819"/>
      <c r="C45" s="595"/>
      <c r="D45" s="595"/>
      <c r="E45" s="1899"/>
      <c r="F45" s="1899"/>
      <c r="G45" s="1899"/>
      <c r="H45" s="1899"/>
      <c r="I45" s="1899"/>
      <c r="J45" s="1899"/>
      <c r="K45" s="1899"/>
      <c r="L45" s="1899"/>
      <c r="M45" s="1899"/>
      <c r="N45" s="1899"/>
      <c r="O45" s="1899"/>
      <c r="P45" s="1899"/>
      <c r="Q45" s="1899"/>
      <c r="R45" s="1899"/>
      <c r="S45" s="1899"/>
      <c r="T45" s="1899"/>
      <c r="U45" s="1899"/>
      <c r="V45" s="1899"/>
      <c r="W45" s="1899"/>
      <c r="X45" s="1899"/>
      <c r="Y45" s="1899"/>
      <c r="Z45" s="1899"/>
      <c r="AA45" s="1899"/>
      <c r="AB45" s="1899"/>
      <c r="AC45" s="1899"/>
      <c r="AD45" s="1899"/>
      <c r="AE45" s="1899"/>
      <c r="AF45" s="1899"/>
      <c r="AG45" s="1899"/>
      <c r="AH45" s="1899"/>
      <c r="AI45" s="1899"/>
      <c r="AJ45" s="816"/>
      <c r="AK45" s="595"/>
      <c r="AM45" s="874"/>
      <c r="AN45" s="874"/>
    </row>
    <row r="46" spans="1:40" ht="15.9" customHeight="1">
      <c r="A46" s="595"/>
      <c r="B46" s="819"/>
      <c r="C46" s="595"/>
      <c r="D46" s="595"/>
      <c r="E46" s="1899"/>
      <c r="F46" s="1899"/>
      <c r="G46" s="1899"/>
      <c r="H46" s="1899"/>
      <c r="I46" s="1899"/>
      <c r="J46" s="1899"/>
      <c r="K46" s="1899"/>
      <c r="L46" s="1899"/>
      <c r="M46" s="1899"/>
      <c r="N46" s="1899"/>
      <c r="O46" s="1899"/>
      <c r="P46" s="1899"/>
      <c r="Q46" s="1899"/>
      <c r="R46" s="1899"/>
      <c r="S46" s="1899"/>
      <c r="T46" s="1899"/>
      <c r="U46" s="1899"/>
      <c r="V46" s="1899"/>
      <c r="W46" s="1899"/>
      <c r="X46" s="1899"/>
      <c r="Y46" s="1899"/>
      <c r="Z46" s="1899"/>
      <c r="AA46" s="1899"/>
      <c r="AB46" s="1899"/>
      <c r="AC46" s="1899"/>
      <c r="AD46" s="1899"/>
      <c r="AE46" s="1899"/>
      <c r="AF46" s="1899"/>
      <c r="AG46" s="1899"/>
      <c r="AH46" s="1899"/>
      <c r="AI46" s="1899"/>
      <c r="AJ46" s="816"/>
      <c r="AK46" s="595"/>
      <c r="AM46" s="874"/>
      <c r="AN46" s="874"/>
    </row>
    <row r="47" spans="1:40" ht="15.9" customHeight="1">
      <c r="A47" s="595"/>
      <c r="B47" s="819"/>
      <c r="C47" s="595"/>
      <c r="D47" s="595"/>
      <c r="E47" s="1899"/>
      <c r="F47" s="1899"/>
      <c r="G47" s="1899"/>
      <c r="H47" s="1899"/>
      <c r="I47" s="1899"/>
      <c r="J47" s="1899"/>
      <c r="K47" s="1899"/>
      <c r="L47" s="1899"/>
      <c r="M47" s="1899"/>
      <c r="N47" s="1899"/>
      <c r="O47" s="1899"/>
      <c r="P47" s="1899"/>
      <c r="Q47" s="1899"/>
      <c r="R47" s="1899"/>
      <c r="S47" s="1899"/>
      <c r="T47" s="1899"/>
      <c r="U47" s="1899"/>
      <c r="V47" s="1899"/>
      <c r="W47" s="1899"/>
      <c r="X47" s="1899"/>
      <c r="Y47" s="1899"/>
      <c r="Z47" s="1899"/>
      <c r="AA47" s="1899"/>
      <c r="AB47" s="1899"/>
      <c r="AC47" s="1899"/>
      <c r="AD47" s="1899"/>
      <c r="AE47" s="1899"/>
      <c r="AF47" s="1899"/>
      <c r="AG47" s="1899"/>
      <c r="AH47" s="1899"/>
      <c r="AI47" s="1899"/>
      <c r="AJ47" s="816"/>
      <c r="AK47" s="595"/>
    </row>
    <row r="48" spans="1:40" ht="15.9" customHeight="1">
      <c r="A48" s="595"/>
      <c r="B48" s="819"/>
      <c r="C48" s="595"/>
      <c r="D48" s="595"/>
      <c r="E48" s="1899"/>
      <c r="F48" s="1899"/>
      <c r="G48" s="1899"/>
      <c r="H48" s="1899"/>
      <c r="I48" s="1899"/>
      <c r="J48" s="1899"/>
      <c r="K48" s="1899"/>
      <c r="L48" s="1899"/>
      <c r="M48" s="1899"/>
      <c r="N48" s="1899"/>
      <c r="O48" s="1899"/>
      <c r="P48" s="1899"/>
      <c r="Q48" s="1899"/>
      <c r="R48" s="1899"/>
      <c r="S48" s="1899"/>
      <c r="T48" s="1899"/>
      <c r="U48" s="1899"/>
      <c r="V48" s="1899"/>
      <c r="W48" s="1899"/>
      <c r="X48" s="1899"/>
      <c r="Y48" s="1899"/>
      <c r="Z48" s="1899"/>
      <c r="AA48" s="1899"/>
      <c r="AB48" s="1899"/>
      <c r="AC48" s="1899"/>
      <c r="AD48" s="1899"/>
      <c r="AE48" s="1899"/>
      <c r="AF48" s="1899"/>
      <c r="AG48" s="1899"/>
      <c r="AH48" s="1899"/>
      <c r="AI48" s="1899"/>
      <c r="AJ48" s="816"/>
      <c r="AK48" s="595"/>
    </row>
    <row r="49" spans="1:37" ht="15.9" customHeight="1">
      <c r="A49" s="595"/>
      <c r="B49" s="819"/>
      <c r="C49" s="595"/>
      <c r="D49" s="595"/>
      <c r="E49" s="1899"/>
      <c r="F49" s="1899"/>
      <c r="G49" s="1899"/>
      <c r="H49" s="1899"/>
      <c r="I49" s="1899"/>
      <c r="J49" s="1899"/>
      <c r="K49" s="1899"/>
      <c r="L49" s="1899"/>
      <c r="M49" s="1899"/>
      <c r="N49" s="1899"/>
      <c r="O49" s="1899"/>
      <c r="P49" s="1899"/>
      <c r="Q49" s="1899"/>
      <c r="R49" s="1899"/>
      <c r="S49" s="1899"/>
      <c r="T49" s="1899"/>
      <c r="U49" s="1899"/>
      <c r="V49" s="1899"/>
      <c r="W49" s="1899"/>
      <c r="X49" s="1899"/>
      <c r="Y49" s="1899"/>
      <c r="Z49" s="1899"/>
      <c r="AA49" s="1899"/>
      <c r="AB49" s="1899"/>
      <c r="AC49" s="1899"/>
      <c r="AD49" s="1899"/>
      <c r="AE49" s="1899"/>
      <c r="AF49" s="1899"/>
      <c r="AG49" s="1899"/>
      <c r="AH49" s="1899"/>
      <c r="AI49" s="1899"/>
      <c r="AJ49" s="816"/>
      <c r="AK49" s="595"/>
    </row>
    <row r="50" spans="1:37" ht="15.9" customHeight="1">
      <c r="A50" s="595"/>
      <c r="B50" s="819"/>
      <c r="C50" s="595"/>
      <c r="D50" s="595"/>
      <c r="E50" s="1899"/>
      <c r="F50" s="1899"/>
      <c r="G50" s="1899"/>
      <c r="H50" s="1899"/>
      <c r="I50" s="1899"/>
      <c r="J50" s="1899"/>
      <c r="K50" s="1899"/>
      <c r="L50" s="1899"/>
      <c r="M50" s="1899"/>
      <c r="N50" s="1899"/>
      <c r="O50" s="1899"/>
      <c r="P50" s="1899"/>
      <c r="Q50" s="1899"/>
      <c r="R50" s="1899"/>
      <c r="S50" s="1899"/>
      <c r="T50" s="1899"/>
      <c r="U50" s="1899"/>
      <c r="V50" s="1899"/>
      <c r="W50" s="1899"/>
      <c r="X50" s="1899"/>
      <c r="Y50" s="1899"/>
      <c r="Z50" s="1899"/>
      <c r="AA50" s="1899"/>
      <c r="AB50" s="1899"/>
      <c r="AC50" s="1899"/>
      <c r="AD50" s="1899"/>
      <c r="AE50" s="1899"/>
      <c r="AF50" s="1899"/>
      <c r="AG50" s="1899"/>
      <c r="AH50" s="1899"/>
      <c r="AI50" s="1899"/>
      <c r="AJ50" s="827"/>
      <c r="AK50" s="595"/>
    </row>
    <row r="51" spans="1:37" ht="15.9" customHeight="1">
      <c r="A51" s="595"/>
      <c r="B51" s="819"/>
      <c r="C51" s="595"/>
      <c r="D51" s="595"/>
      <c r="E51" s="1899"/>
      <c r="F51" s="1899"/>
      <c r="G51" s="1899"/>
      <c r="H51" s="1899"/>
      <c r="I51" s="1899"/>
      <c r="J51" s="1899"/>
      <c r="K51" s="1899"/>
      <c r="L51" s="1899"/>
      <c r="M51" s="1899"/>
      <c r="N51" s="1899"/>
      <c r="O51" s="1899"/>
      <c r="P51" s="1899"/>
      <c r="Q51" s="1899"/>
      <c r="R51" s="1899"/>
      <c r="S51" s="1899"/>
      <c r="T51" s="1899"/>
      <c r="U51" s="1899"/>
      <c r="V51" s="1899"/>
      <c r="W51" s="1899"/>
      <c r="X51" s="1899"/>
      <c r="Y51" s="1899"/>
      <c r="Z51" s="1899"/>
      <c r="AA51" s="1899"/>
      <c r="AB51" s="1899"/>
      <c r="AC51" s="1899"/>
      <c r="AD51" s="1899"/>
      <c r="AE51" s="1899"/>
      <c r="AF51" s="1899"/>
      <c r="AG51" s="1899"/>
      <c r="AH51" s="1899"/>
      <c r="AI51" s="1899"/>
      <c r="AJ51" s="827"/>
      <c r="AK51" s="595"/>
    </row>
    <row r="52" spans="1:37" ht="15.9" customHeight="1">
      <c r="A52" s="595"/>
      <c r="B52" s="819"/>
      <c r="C52" s="595"/>
      <c r="D52" s="595"/>
      <c r="E52" s="1899"/>
      <c r="F52" s="1899"/>
      <c r="G52" s="1899"/>
      <c r="H52" s="1899"/>
      <c r="I52" s="1899"/>
      <c r="J52" s="1899"/>
      <c r="K52" s="1899"/>
      <c r="L52" s="1899"/>
      <c r="M52" s="1899"/>
      <c r="N52" s="1899"/>
      <c r="O52" s="1899"/>
      <c r="P52" s="1899"/>
      <c r="Q52" s="1899"/>
      <c r="R52" s="1899"/>
      <c r="S52" s="1899"/>
      <c r="T52" s="1899"/>
      <c r="U52" s="1899"/>
      <c r="V52" s="1899"/>
      <c r="W52" s="1899"/>
      <c r="X52" s="1899"/>
      <c r="Y52" s="1899"/>
      <c r="Z52" s="1899"/>
      <c r="AA52" s="1899"/>
      <c r="AB52" s="1899"/>
      <c r="AC52" s="1899"/>
      <c r="AD52" s="1899"/>
      <c r="AE52" s="1899"/>
      <c r="AF52" s="1899"/>
      <c r="AG52" s="1899"/>
      <c r="AH52" s="1899"/>
      <c r="AI52" s="1899"/>
      <c r="AJ52" s="816"/>
      <c r="AK52" s="595"/>
    </row>
    <row r="53" spans="1:37" ht="15.9" customHeight="1">
      <c r="A53" s="595"/>
      <c r="B53" s="819"/>
      <c r="C53" s="595"/>
      <c r="D53" s="595"/>
      <c r="E53" s="1899"/>
      <c r="F53" s="1899"/>
      <c r="G53" s="1899"/>
      <c r="H53" s="1899"/>
      <c r="I53" s="1899"/>
      <c r="J53" s="1899"/>
      <c r="K53" s="1899"/>
      <c r="L53" s="1899"/>
      <c r="M53" s="1899"/>
      <c r="N53" s="1899"/>
      <c r="O53" s="1899"/>
      <c r="P53" s="1899"/>
      <c r="Q53" s="1899"/>
      <c r="R53" s="1899"/>
      <c r="S53" s="1899"/>
      <c r="T53" s="1899"/>
      <c r="U53" s="1899"/>
      <c r="V53" s="1899"/>
      <c r="W53" s="1899"/>
      <c r="X53" s="1899"/>
      <c r="Y53" s="1899"/>
      <c r="Z53" s="1899"/>
      <c r="AA53" s="1899"/>
      <c r="AB53" s="1899"/>
      <c r="AC53" s="1899"/>
      <c r="AD53" s="1899"/>
      <c r="AE53" s="1899"/>
      <c r="AF53" s="1899"/>
      <c r="AG53" s="1899"/>
      <c r="AH53" s="1899"/>
      <c r="AI53" s="1899"/>
      <c r="AJ53" s="816"/>
      <c r="AK53" s="595"/>
    </row>
    <row r="54" spans="1:37" ht="15.9" customHeight="1">
      <c r="A54" s="595"/>
      <c r="B54" s="819"/>
      <c r="C54" s="595"/>
      <c r="D54" s="595"/>
      <c r="E54" s="1899"/>
      <c r="F54" s="1899"/>
      <c r="G54" s="1899"/>
      <c r="H54" s="1899"/>
      <c r="I54" s="1899"/>
      <c r="J54" s="1899"/>
      <c r="K54" s="1899"/>
      <c r="L54" s="1899"/>
      <c r="M54" s="1899"/>
      <c r="N54" s="1899"/>
      <c r="O54" s="1899"/>
      <c r="P54" s="1899"/>
      <c r="Q54" s="1899"/>
      <c r="R54" s="1899"/>
      <c r="S54" s="1899"/>
      <c r="T54" s="1899"/>
      <c r="U54" s="1899"/>
      <c r="V54" s="1899"/>
      <c r="W54" s="1899"/>
      <c r="X54" s="1899"/>
      <c r="Y54" s="1899"/>
      <c r="Z54" s="1899"/>
      <c r="AA54" s="1899"/>
      <c r="AB54" s="1899"/>
      <c r="AC54" s="1899"/>
      <c r="AD54" s="1899"/>
      <c r="AE54" s="1899"/>
      <c r="AF54" s="1899"/>
      <c r="AG54" s="1899"/>
      <c r="AH54" s="1899"/>
      <c r="AI54" s="1899"/>
      <c r="AJ54" s="816"/>
      <c r="AK54" s="595"/>
    </row>
    <row r="55" spans="1:37" ht="15.9" customHeight="1">
      <c r="A55" s="595"/>
      <c r="B55" s="819"/>
      <c r="C55" s="595"/>
      <c r="D55" s="595"/>
      <c r="E55" s="1899"/>
      <c r="F55" s="1899"/>
      <c r="G55" s="1899"/>
      <c r="H55" s="1899"/>
      <c r="I55" s="1899"/>
      <c r="J55" s="1899"/>
      <c r="K55" s="1899"/>
      <c r="L55" s="1899"/>
      <c r="M55" s="1899"/>
      <c r="N55" s="1899"/>
      <c r="O55" s="1899"/>
      <c r="P55" s="1899"/>
      <c r="Q55" s="1899"/>
      <c r="R55" s="1899"/>
      <c r="S55" s="1899"/>
      <c r="T55" s="1899"/>
      <c r="U55" s="1899"/>
      <c r="V55" s="1899"/>
      <c r="W55" s="1899"/>
      <c r="X55" s="1899"/>
      <c r="Y55" s="1899"/>
      <c r="Z55" s="1899"/>
      <c r="AA55" s="1899"/>
      <c r="AB55" s="1899"/>
      <c r="AC55" s="1899"/>
      <c r="AD55" s="1899"/>
      <c r="AE55" s="1899"/>
      <c r="AF55" s="1899"/>
      <c r="AG55" s="1899"/>
      <c r="AH55" s="1899"/>
      <c r="AI55" s="1899"/>
      <c r="AJ55" s="816"/>
      <c r="AK55" s="595"/>
    </row>
    <row r="56" spans="1:37" ht="15.9" customHeight="1">
      <c r="A56" s="595"/>
      <c r="B56" s="819"/>
      <c r="C56" s="595"/>
      <c r="D56" s="595"/>
      <c r="E56" s="1899"/>
      <c r="F56" s="1899"/>
      <c r="G56" s="1899"/>
      <c r="H56" s="1899"/>
      <c r="I56" s="1899"/>
      <c r="J56" s="1899"/>
      <c r="K56" s="1899"/>
      <c r="L56" s="1899"/>
      <c r="M56" s="1899"/>
      <c r="N56" s="1899"/>
      <c r="O56" s="1899"/>
      <c r="P56" s="1899"/>
      <c r="Q56" s="1899"/>
      <c r="R56" s="1899"/>
      <c r="S56" s="1899"/>
      <c r="T56" s="1899"/>
      <c r="U56" s="1899"/>
      <c r="V56" s="1899"/>
      <c r="W56" s="1899"/>
      <c r="X56" s="1899"/>
      <c r="Y56" s="1899"/>
      <c r="Z56" s="1899"/>
      <c r="AA56" s="1899"/>
      <c r="AB56" s="1899"/>
      <c r="AC56" s="1899"/>
      <c r="AD56" s="1899"/>
      <c r="AE56" s="1899"/>
      <c r="AF56" s="1899"/>
      <c r="AG56" s="1899"/>
      <c r="AH56" s="1899"/>
      <c r="AI56" s="1899"/>
      <c r="AJ56" s="827"/>
      <c r="AK56" s="595"/>
    </row>
    <row r="57" spans="1:37" ht="15.9" customHeight="1">
      <c r="A57" s="595"/>
      <c r="B57" s="819"/>
      <c r="C57" s="595"/>
      <c r="D57" s="595"/>
      <c r="E57" s="1899"/>
      <c r="F57" s="1899"/>
      <c r="G57" s="1899"/>
      <c r="H57" s="1899"/>
      <c r="I57" s="1899"/>
      <c r="J57" s="1899"/>
      <c r="K57" s="1899"/>
      <c r="L57" s="1899"/>
      <c r="M57" s="1899"/>
      <c r="N57" s="1899"/>
      <c r="O57" s="1899"/>
      <c r="P57" s="1899"/>
      <c r="Q57" s="1899"/>
      <c r="R57" s="1899"/>
      <c r="S57" s="1899"/>
      <c r="T57" s="1899"/>
      <c r="U57" s="1899"/>
      <c r="V57" s="1899"/>
      <c r="W57" s="1899"/>
      <c r="X57" s="1899"/>
      <c r="Y57" s="1899"/>
      <c r="Z57" s="1899"/>
      <c r="AA57" s="1899"/>
      <c r="AB57" s="1899"/>
      <c r="AC57" s="1899"/>
      <c r="AD57" s="1899"/>
      <c r="AE57" s="1899"/>
      <c r="AF57" s="1899"/>
      <c r="AG57" s="1899"/>
      <c r="AH57" s="1899"/>
      <c r="AI57" s="1899"/>
      <c r="AJ57" s="827"/>
      <c r="AK57" s="595"/>
    </row>
    <row r="58" spans="1:37" ht="15.9" customHeight="1">
      <c r="A58" s="595"/>
      <c r="B58" s="819"/>
      <c r="C58" s="595"/>
      <c r="D58" s="595"/>
      <c r="E58" s="1899"/>
      <c r="F58" s="1899"/>
      <c r="G58" s="1899"/>
      <c r="H58" s="1899"/>
      <c r="I58" s="1899"/>
      <c r="J58" s="1899"/>
      <c r="K58" s="1899"/>
      <c r="L58" s="1899"/>
      <c r="M58" s="1899"/>
      <c r="N58" s="1899"/>
      <c r="O58" s="1899"/>
      <c r="P58" s="1899"/>
      <c r="Q58" s="1899"/>
      <c r="R58" s="1899"/>
      <c r="S58" s="1899"/>
      <c r="T58" s="1899"/>
      <c r="U58" s="1899"/>
      <c r="V58" s="1899"/>
      <c r="W58" s="1899"/>
      <c r="X58" s="1899"/>
      <c r="Y58" s="1899"/>
      <c r="Z58" s="1899"/>
      <c r="AA58" s="1899"/>
      <c r="AB58" s="1899"/>
      <c r="AC58" s="1899"/>
      <c r="AD58" s="1899"/>
      <c r="AE58" s="1899"/>
      <c r="AF58" s="1899"/>
      <c r="AG58" s="1899"/>
      <c r="AH58" s="1899"/>
      <c r="AI58" s="1899"/>
      <c r="AJ58" s="816"/>
      <c r="AK58" s="595"/>
    </row>
    <row r="59" spans="1:37" ht="15.9" customHeight="1">
      <c r="A59" s="595"/>
      <c r="B59" s="819"/>
      <c r="C59" s="595"/>
      <c r="D59" s="595"/>
      <c r="E59" s="1899"/>
      <c r="F59" s="1899"/>
      <c r="G59" s="1899"/>
      <c r="H59" s="1899"/>
      <c r="I59" s="1899"/>
      <c r="J59" s="1899"/>
      <c r="K59" s="1899"/>
      <c r="L59" s="1899"/>
      <c r="M59" s="1899"/>
      <c r="N59" s="1899"/>
      <c r="O59" s="1899"/>
      <c r="P59" s="1899"/>
      <c r="Q59" s="1899"/>
      <c r="R59" s="1899"/>
      <c r="S59" s="1899"/>
      <c r="T59" s="1899"/>
      <c r="U59" s="1899"/>
      <c r="V59" s="1899"/>
      <c r="W59" s="1899"/>
      <c r="X59" s="1899"/>
      <c r="Y59" s="1899"/>
      <c r="Z59" s="1899"/>
      <c r="AA59" s="1899"/>
      <c r="AB59" s="1899"/>
      <c r="AC59" s="1899"/>
      <c r="AD59" s="1899"/>
      <c r="AE59" s="1899"/>
      <c r="AF59" s="1899"/>
      <c r="AG59" s="1899"/>
      <c r="AH59" s="1899"/>
      <c r="AI59" s="1899"/>
      <c r="AJ59" s="816"/>
      <c r="AK59" s="595"/>
    </row>
    <row r="60" spans="1:37" ht="15.9" customHeight="1">
      <c r="A60" s="595"/>
      <c r="B60" s="819"/>
      <c r="C60" s="595"/>
      <c r="D60" s="595"/>
      <c r="E60" s="1899"/>
      <c r="F60" s="1899"/>
      <c r="G60" s="1899"/>
      <c r="H60" s="1899"/>
      <c r="I60" s="1899"/>
      <c r="J60" s="1899"/>
      <c r="K60" s="1899"/>
      <c r="L60" s="1899"/>
      <c r="M60" s="1899"/>
      <c r="N60" s="1899"/>
      <c r="O60" s="1899"/>
      <c r="P60" s="1899"/>
      <c r="Q60" s="1899"/>
      <c r="R60" s="1899"/>
      <c r="S60" s="1899"/>
      <c r="T60" s="1899"/>
      <c r="U60" s="1899"/>
      <c r="V60" s="1899"/>
      <c r="W60" s="1899"/>
      <c r="X60" s="1899"/>
      <c r="Y60" s="1899"/>
      <c r="Z60" s="1899"/>
      <c r="AA60" s="1899"/>
      <c r="AB60" s="1899"/>
      <c r="AC60" s="1899"/>
      <c r="AD60" s="1899"/>
      <c r="AE60" s="1899"/>
      <c r="AF60" s="1899"/>
      <c r="AG60" s="1899"/>
      <c r="AH60" s="1899"/>
      <c r="AI60" s="1899"/>
      <c r="AJ60" s="816"/>
      <c r="AK60" s="595"/>
    </row>
    <row r="61" spans="1:37" ht="15.9" customHeight="1">
      <c r="A61" s="595"/>
      <c r="B61" s="819"/>
      <c r="C61" s="595"/>
      <c r="D61" s="595"/>
      <c r="E61" s="1899"/>
      <c r="F61" s="1899"/>
      <c r="G61" s="1899"/>
      <c r="H61" s="1899"/>
      <c r="I61" s="1899"/>
      <c r="J61" s="1899"/>
      <c r="K61" s="1899"/>
      <c r="L61" s="1899"/>
      <c r="M61" s="1899"/>
      <c r="N61" s="1899"/>
      <c r="O61" s="1899"/>
      <c r="P61" s="1899"/>
      <c r="Q61" s="1899"/>
      <c r="R61" s="1899"/>
      <c r="S61" s="1899"/>
      <c r="T61" s="1899"/>
      <c r="U61" s="1899"/>
      <c r="V61" s="1899"/>
      <c r="W61" s="1899"/>
      <c r="X61" s="1899"/>
      <c r="Y61" s="1899"/>
      <c r="Z61" s="1899"/>
      <c r="AA61" s="1899"/>
      <c r="AB61" s="1899"/>
      <c r="AC61" s="1899"/>
      <c r="AD61" s="1899"/>
      <c r="AE61" s="1899"/>
      <c r="AF61" s="1899"/>
      <c r="AG61" s="1899"/>
      <c r="AH61" s="1899"/>
      <c r="AI61" s="1899"/>
      <c r="AJ61" s="816"/>
      <c r="AK61" s="595"/>
    </row>
    <row r="62" spans="1:37">
      <c r="A62" s="595"/>
      <c r="B62" s="819"/>
      <c r="C62" s="595"/>
      <c r="D62" s="595"/>
      <c r="E62" s="879"/>
      <c r="F62" s="879"/>
      <c r="G62" s="879"/>
      <c r="H62" s="879"/>
      <c r="I62" s="879"/>
      <c r="J62" s="879"/>
      <c r="K62" s="879"/>
      <c r="L62" s="879"/>
      <c r="M62" s="879"/>
      <c r="N62" s="879"/>
      <c r="O62" s="879"/>
      <c r="P62" s="879"/>
      <c r="Q62" s="880"/>
      <c r="R62" s="880"/>
      <c r="S62" s="880"/>
      <c r="T62" s="879"/>
      <c r="U62" s="879"/>
      <c r="V62" s="879"/>
      <c r="W62" s="879"/>
      <c r="X62" s="879"/>
      <c r="Y62" s="879"/>
      <c r="Z62" s="879"/>
      <c r="AA62" s="879"/>
      <c r="AB62" s="879"/>
      <c r="AC62" s="879"/>
      <c r="AD62" s="879"/>
      <c r="AE62" s="879"/>
      <c r="AF62" s="879"/>
      <c r="AG62" s="879"/>
      <c r="AH62" s="879"/>
      <c r="AI62" s="879"/>
      <c r="AJ62" s="816"/>
      <c r="AK62" s="595"/>
    </row>
    <row r="63" spans="1:37" ht="15" customHeight="1" thickBot="1">
      <c r="A63" s="595"/>
      <c r="B63" s="815"/>
      <c r="C63" s="881"/>
      <c r="D63" s="881"/>
      <c r="E63" s="881"/>
      <c r="F63" s="881"/>
      <c r="G63" s="881"/>
      <c r="H63" s="881"/>
      <c r="I63" s="881"/>
      <c r="J63" s="881"/>
      <c r="K63" s="881"/>
      <c r="L63" s="881"/>
      <c r="M63" s="881"/>
      <c r="N63" s="881"/>
      <c r="O63" s="881"/>
      <c r="P63" s="881"/>
      <c r="Q63" s="882"/>
      <c r="R63" s="882"/>
      <c r="S63" s="882"/>
      <c r="T63" s="881"/>
      <c r="U63" s="881"/>
      <c r="V63" s="881"/>
      <c r="W63" s="881"/>
      <c r="X63" s="881"/>
      <c r="Y63" s="881"/>
      <c r="Z63" s="881"/>
      <c r="AA63" s="881"/>
      <c r="AB63" s="881"/>
      <c r="AC63" s="881"/>
      <c r="AD63" s="881"/>
      <c r="AE63" s="881"/>
      <c r="AF63" s="881"/>
      <c r="AG63" s="881"/>
      <c r="AH63" s="881"/>
      <c r="AI63" s="881"/>
      <c r="AJ63" s="883"/>
      <c r="AK63" s="595"/>
    </row>
    <row r="64" spans="1:37" ht="6.75" customHeight="1" thickTop="1">
      <c r="A64" s="595"/>
      <c r="B64" s="595"/>
      <c r="C64" s="595"/>
      <c r="D64" s="595"/>
      <c r="E64" s="595"/>
      <c r="F64" s="595"/>
      <c r="G64" s="595"/>
      <c r="H64" s="595"/>
      <c r="I64" s="595"/>
      <c r="J64" s="595"/>
      <c r="K64" s="595"/>
      <c r="L64" s="595"/>
      <c r="M64" s="595"/>
      <c r="N64" s="595"/>
      <c r="O64" s="595"/>
      <c r="P64" s="595"/>
      <c r="Q64" s="812"/>
      <c r="R64" s="812"/>
      <c r="S64" s="812"/>
      <c r="T64" s="595"/>
      <c r="U64" s="595"/>
      <c r="V64" s="595"/>
      <c r="W64" s="595"/>
      <c r="X64" s="595"/>
      <c r="Y64" s="595"/>
      <c r="Z64" s="595"/>
      <c r="AA64" s="595"/>
      <c r="AB64" s="595"/>
      <c r="AC64" s="595"/>
      <c r="AD64" s="595"/>
      <c r="AE64" s="595"/>
      <c r="AF64" s="595"/>
      <c r="AG64" s="595"/>
      <c r="AH64" s="595"/>
      <c r="AI64" s="595"/>
      <c r="AJ64" s="595"/>
      <c r="AK64" s="595"/>
    </row>
  </sheetData>
  <sheetProtection algorithmName="SHA-512" hashValue="jJmbk9n2CwIRaRA4PZdgj3O7HtHKo6KlXfqFgUYIrfn0Hesxi1AxKXKc9MLjIoeq6ywy9aQYXcgHsKOutks07w==" saltValue="Bh1vZJ80tJ22MeFYuaXLGA==" spinCount="100000" sheet="1" objects="1" scenarios="1" selectLockedCells="1"/>
  <mergeCells count="86">
    <mergeCell ref="AR26:AT26"/>
    <mergeCell ref="AR27:AT27"/>
    <mergeCell ref="AS28:AT28"/>
    <mergeCell ref="E4:AF4"/>
    <mergeCell ref="AH1:AJ1"/>
    <mergeCell ref="D2:AF2"/>
    <mergeCell ref="AH2:AJ2"/>
    <mergeCell ref="D3:AF3"/>
    <mergeCell ref="AI3:AJ3"/>
    <mergeCell ref="U6:AA6"/>
    <mergeCell ref="AD6:AE6"/>
    <mergeCell ref="C7:F7"/>
    <mergeCell ref="G7:S7"/>
    <mergeCell ref="U7:AA7"/>
    <mergeCell ref="AD7:AI7"/>
    <mergeCell ref="C8:F8"/>
    <mergeCell ref="G8:S8"/>
    <mergeCell ref="U8:AA8"/>
    <mergeCell ref="AD8:AI8"/>
    <mergeCell ref="C9:F9"/>
    <mergeCell ref="G9:S9"/>
    <mergeCell ref="U9:AA9"/>
    <mergeCell ref="AD9:AI9"/>
    <mergeCell ref="G12:P12"/>
    <mergeCell ref="AF12:AI12"/>
    <mergeCell ref="C10:F10"/>
    <mergeCell ref="G10:M10"/>
    <mergeCell ref="O10:P10"/>
    <mergeCell ref="R10:S10"/>
    <mergeCell ref="U10:AA10"/>
    <mergeCell ref="AD10:AI10"/>
    <mergeCell ref="C11:F11"/>
    <mergeCell ref="G11:P11"/>
    <mergeCell ref="R11:S11"/>
    <mergeCell ref="U11:AA11"/>
    <mergeCell ref="AD11:AI11"/>
    <mergeCell ref="E36:AI36"/>
    <mergeCell ref="E25:AI25"/>
    <mergeCell ref="B14:AJ14"/>
    <mergeCell ref="E15:AI15"/>
    <mergeCell ref="E16:AI16"/>
    <mergeCell ref="E17:AI17"/>
    <mergeCell ref="E18:AI18"/>
    <mergeCell ref="E19:AI19"/>
    <mergeCell ref="E20:AI20"/>
    <mergeCell ref="E21:AI21"/>
    <mergeCell ref="E22:AI22"/>
    <mergeCell ref="E23:AI23"/>
    <mergeCell ref="E24:AI24"/>
    <mergeCell ref="E31:AI31"/>
    <mergeCell ref="E32:AI32"/>
    <mergeCell ref="E33:AI33"/>
    <mergeCell ref="E34:AI34"/>
    <mergeCell ref="E35:AI35"/>
    <mergeCell ref="E26:AI26"/>
    <mergeCell ref="E27:AI27"/>
    <mergeCell ref="E28:AI28"/>
    <mergeCell ref="E29:AI29"/>
    <mergeCell ref="E30:AI30"/>
    <mergeCell ref="E37:AI37"/>
    <mergeCell ref="E40:AI40"/>
    <mergeCell ref="E41:AI41"/>
    <mergeCell ref="E42:AI42"/>
    <mergeCell ref="E43:AI43"/>
    <mergeCell ref="E39:AI39"/>
    <mergeCell ref="E45:AI45"/>
    <mergeCell ref="E46:AI46"/>
    <mergeCell ref="E47:AI47"/>
    <mergeCell ref="E48:AI48"/>
    <mergeCell ref="E44:AI44"/>
    <mergeCell ref="AF6:AG6"/>
    <mergeCell ref="AH6:AI6"/>
    <mergeCell ref="E61:AI61"/>
    <mergeCell ref="E50:AI50"/>
    <mergeCell ref="E51:AI51"/>
    <mergeCell ref="E52:AI52"/>
    <mergeCell ref="E53:AI53"/>
    <mergeCell ref="E54:AI54"/>
    <mergeCell ref="E55:AI55"/>
    <mergeCell ref="E56:AI56"/>
    <mergeCell ref="E57:AI57"/>
    <mergeCell ref="E58:AI58"/>
    <mergeCell ref="E59:AI59"/>
    <mergeCell ref="E60:AI60"/>
    <mergeCell ref="E49:AI49"/>
    <mergeCell ref="E38:AI38"/>
  </mergeCells>
  <printOptions horizontalCentered="1"/>
  <pageMargins left="0.25" right="0.25" top="0.5" bottom="0.5" header="0" footer="0"/>
  <pageSetup scale="73" orientation="portrait" r:id="rId1"/>
  <extLst>
    <ext xmlns:x14="http://schemas.microsoft.com/office/spreadsheetml/2009/9/main" uri="{CCE6A557-97BC-4b89-ADB6-D9C93CAAB3DF}">
      <x14:dataValidations xmlns:xm="http://schemas.microsoft.com/office/excel/2006/main" count="4">
        <x14:dataValidation type="list" allowBlank="1" showInputMessage="1" xr:uid="{00000000-0002-0000-1200-000000000000}">
          <x14:formula1>
            <xm:f>List!$F$35:$F$43</xm:f>
          </x14:formula1>
          <xm:sqref>AD6:AE6</xm:sqref>
        </x14:dataValidation>
        <x14:dataValidation type="list" allowBlank="1" showInputMessage="1" showErrorMessage="1" xr:uid="{00000000-0002-0000-1200-000001000000}">
          <x14:formula1>
            <xm:f>List!$B$17</xm:f>
          </x14:formula1>
          <xm:sqref>G11:P11</xm:sqref>
        </x14:dataValidation>
        <x14:dataValidation type="list" allowBlank="1" showInputMessage="1" showErrorMessage="1" xr:uid="{00000000-0002-0000-1200-000002000000}">
          <x14:formula1>
            <xm:f>List!$I$2:$I$4</xm:f>
          </x14:formula1>
          <xm:sqref>O10:P10</xm:sqref>
        </x14:dataValidation>
        <x14:dataValidation type="list" allowBlank="1" showInputMessage="1" showErrorMessage="1" xr:uid="{00000000-0002-0000-1200-000003000000}">
          <x14:formula1>
            <xm:f>List!$H$2:$H$4</xm:f>
          </x14:formula1>
          <xm:sqref>G10:M10</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rgb="FF0000FF"/>
    <pageSetUpPr fitToPage="1"/>
  </sheetPr>
  <dimension ref="A1:AU82"/>
  <sheetViews>
    <sheetView tabSelected="1" zoomScale="40" zoomScaleNormal="40" workbookViewId="0">
      <selection activeCell="U6" sqref="U6"/>
    </sheetView>
  </sheetViews>
  <sheetFormatPr defaultColWidth="9.109375" defaultRowHeight="21"/>
  <cols>
    <col min="1" max="1" width="8.109375" style="1251" customWidth="1"/>
    <col min="2" max="4" width="22.44140625" style="1252" customWidth="1"/>
    <col min="5" max="6" width="15.6640625" style="1252" customWidth="1"/>
    <col min="7" max="7" width="6.6640625" style="1252" customWidth="1"/>
    <col min="8" max="8" width="13" style="1252" customWidth="1"/>
    <col min="9" max="9" width="17.88671875" style="1253" customWidth="1"/>
    <col min="10" max="10" width="17.44140625" style="1252" customWidth="1"/>
    <col min="11" max="11" width="2.109375" style="1252" customWidth="1"/>
    <col min="12" max="12" width="14.5546875" style="1252" customWidth="1"/>
    <col min="13" max="13" width="17.44140625" style="1252" customWidth="1"/>
    <col min="14" max="14" width="16.5546875" style="1252" customWidth="1"/>
    <col min="15" max="15" width="15.6640625" style="1252" customWidth="1"/>
    <col min="16" max="16" width="3.109375" style="1252" customWidth="1"/>
    <col min="17" max="17" width="36.109375" style="1252" customWidth="1"/>
    <col min="18" max="18" width="15" style="1252" customWidth="1"/>
    <col min="19" max="19" width="17.88671875" style="1252" customWidth="1"/>
    <col min="20" max="20" width="16.5546875" style="1252" customWidth="1"/>
    <col min="21" max="21" width="14.44140625" style="1252" customWidth="1"/>
    <col min="22" max="22" width="5.88671875" style="1252" customWidth="1"/>
    <col min="23" max="23" width="2.88671875" style="1252" customWidth="1"/>
    <col min="24" max="38" width="9.109375" style="1137"/>
    <col min="39" max="39" width="15.109375" style="1137" customWidth="1"/>
    <col min="40" max="40" width="11.44140625" style="1137" bestFit="1" customWidth="1"/>
    <col min="41" max="41" width="11.6640625" style="1137" customWidth="1"/>
    <col min="42" max="16384" width="9.109375" style="1137"/>
  </cols>
  <sheetData>
    <row r="1" spans="1:44" ht="21.9" customHeight="1">
      <c r="A1" s="1133"/>
      <c r="B1" s="1134"/>
      <c r="C1" s="1134"/>
      <c r="D1" s="1134"/>
      <c r="E1" s="1134"/>
      <c r="F1" s="1134"/>
      <c r="G1" s="1134"/>
      <c r="H1" s="1134"/>
      <c r="I1" s="1135"/>
      <c r="J1" s="1134"/>
      <c r="K1" s="1134"/>
      <c r="L1" s="1134"/>
      <c r="M1" s="1134"/>
      <c r="N1" s="1134"/>
      <c r="O1" s="1134"/>
      <c r="P1" s="1134"/>
      <c r="Q1" s="1134"/>
      <c r="R1" s="1134"/>
      <c r="S1" s="1134"/>
      <c r="T1" s="1134"/>
      <c r="U1" s="1519" t="s">
        <v>980</v>
      </c>
      <c r="V1" s="1519"/>
      <c r="W1" s="1134"/>
      <c r="X1" s="1136"/>
      <c r="Y1" s="1136"/>
      <c r="Z1" s="1136"/>
      <c r="AA1" s="1136"/>
      <c r="AB1" s="1136"/>
      <c r="AC1" s="1136"/>
      <c r="AD1" s="1136"/>
      <c r="AE1" s="1136"/>
      <c r="AF1" s="1136"/>
      <c r="AG1" s="1136"/>
      <c r="AH1" s="1136"/>
      <c r="AI1" s="1136"/>
      <c r="AJ1" s="1136"/>
      <c r="AK1" s="1136"/>
    </row>
    <row r="2" spans="1:44" ht="21.9" customHeight="1">
      <c r="A2" s="1133"/>
      <c r="B2" s="1520" t="s">
        <v>805</v>
      </c>
      <c r="C2" s="1520"/>
      <c r="D2" s="1520"/>
      <c r="E2" s="1520"/>
      <c r="F2" s="1520"/>
      <c r="G2" s="1520"/>
      <c r="H2" s="1520"/>
      <c r="I2" s="1520"/>
      <c r="J2" s="1520"/>
      <c r="K2" s="1520"/>
      <c r="L2" s="1520"/>
      <c r="M2" s="1520"/>
      <c r="N2" s="1520"/>
      <c r="O2" s="1520"/>
      <c r="P2" s="1520"/>
      <c r="Q2" s="1520"/>
      <c r="R2" s="1520"/>
      <c r="S2" s="1520"/>
      <c r="T2" s="1520"/>
      <c r="U2" s="1520"/>
      <c r="V2" s="1520"/>
      <c r="W2" s="1134"/>
      <c r="X2" s="1136"/>
      <c r="Y2" s="1136"/>
      <c r="Z2" s="1136"/>
      <c r="AA2" s="1136"/>
      <c r="AB2" s="1136"/>
      <c r="AC2" s="1136"/>
      <c r="AD2" s="1136"/>
      <c r="AE2" s="1136"/>
      <c r="AF2" s="1136"/>
      <c r="AG2" s="1136"/>
      <c r="AH2" s="1136"/>
      <c r="AI2" s="1136"/>
      <c r="AJ2" s="1136"/>
      <c r="AK2" s="1136"/>
    </row>
    <row r="3" spans="1:44" ht="21.9" customHeight="1">
      <c r="A3" s="1133"/>
      <c r="B3" s="1138"/>
      <c r="C3" s="1527" t="s">
        <v>98</v>
      </c>
      <c r="D3" s="1527"/>
      <c r="E3" s="1527"/>
      <c r="F3" s="1527"/>
      <c r="G3" s="1527"/>
      <c r="H3" s="1527"/>
      <c r="I3" s="1527"/>
      <c r="J3" s="1527"/>
      <c r="K3" s="1527"/>
      <c r="L3" s="1527"/>
      <c r="M3" s="1527"/>
      <c r="N3" s="1527"/>
      <c r="O3" s="1527"/>
      <c r="P3" s="1527"/>
      <c r="Q3" s="1527"/>
      <c r="R3" s="1527"/>
      <c r="S3" s="1527"/>
      <c r="T3" s="1527"/>
      <c r="U3" s="1526">
        <v>45222</v>
      </c>
      <c r="V3" s="1526"/>
      <c r="W3" s="1134"/>
      <c r="X3" s="1136"/>
      <c r="Y3" s="1136"/>
      <c r="Z3" s="1136"/>
      <c r="AA3" s="1136"/>
      <c r="AB3" s="1136"/>
      <c r="AC3" s="1136"/>
      <c r="AD3" s="1136"/>
      <c r="AE3" s="1136"/>
      <c r="AF3" s="1136"/>
      <c r="AG3" s="1136"/>
      <c r="AH3" s="1136"/>
      <c r="AI3" s="1136"/>
      <c r="AJ3" s="1136"/>
      <c r="AK3" s="1136"/>
    </row>
    <row r="4" spans="1:44" ht="42" customHeight="1">
      <c r="A4" s="1133"/>
      <c r="B4" s="1521" t="s">
        <v>726</v>
      </c>
      <c r="C4" s="1509"/>
      <c r="D4" s="1509"/>
      <c r="E4" s="1509"/>
      <c r="F4" s="1509"/>
      <c r="G4" s="1509"/>
      <c r="H4" s="1509"/>
      <c r="I4" s="1509"/>
      <c r="J4" s="1509"/>
      <c r="K4" s="1509"/>
      <c r="L4" s="1509"/>
      <c r="M4" s="1509"/>
      <c r="N4" s="1509"/>
      <c r="O4" s="1509"/>
      <c r="P4" s="1509"/>
      <c r="Q4" s="1509"/>
      <c r="R4" s="1509"/>
      <c r="S4" s="1509"/>
      <c r="T4" s="1509"/>
      <c r="U4" s="1509"/>
      <c r="V4" s="1509"/>
      <c r="W4" s="1134"/>
      <c r="X4" s="1136"/>
      <c r="Y4" s="1136"/>
      <c r="Z4" s="1136"/>
      <c r="AA4" s="1136"/>
      <c r="AB4" s="1136"/>
      <c r="AC4" s="1136"/>
      <c r="AD4" s="1136"/>
      <c r="AE4" s="1136"/>
      <c r="AF4" s="1136"/>
      <c r="AG4" s="1136"/>
      <c r="AH4" s="1136"/>
      <c r="AI4" s="1136"/>
      <c r="AJ4" s="1136"/>
      <c r="AK4" s="1136"/>
    </row>
    <row r="5" spans="1:44" ht="24.6" customHeight="1" thickBot="1">
      <c r="A5" s="1133"/>
      <c r="B5" s="1139"/>
      <c r="C5" s="1139"/>
      <c r="D5" s="1139"/>
      <c r="E5" s="1139"/>
      <c r="F5" s="1139"/>
      <c r="G5" s="1139"/>
      <c r="H5" s="1139"/>
      <c r="I5" s="1140"/>
      <c r="J5" s="1139"/>
      <c r="K5" s="1139"/>
      <c r="L5" s="1139"/>
      <c r="M5" s="1139"/>
      <c r="N5" s="1139"/>
      <c r="O5" s="1139"/>
      <c r="P5" s="1139"/>
      <c r="Q5" s="1141"/>
      <c r="R5" s="1139"/>
      <c r="S5" s="1139"/>
      <c r="T5" s="1522"/>
      <c r="U5" s="1523"/>
      <c r="V5" s="1139"/>
      <c r="W5" s="1134"/>
      <c r="X5" s="1136"/>
      <c r="Y5" s="1136"/>
      <c r="Z5" s="1136"/>
      <c r="AA5" s="1136"/>
      <c r="AB5" s="1136"/>
      <c r="AC5" s="1136"/>
      <c r="AD5" s="1136"/>
      <c r="AE5" s="1136"/>
      <c r="AF5" s="1136"/>
      <c r="AG5" s="1136"/>
      <c r="AH5" s="1136"/>
      <c r="AI5" s="1136"/>
      <c r="AJ5" s="1136"/>
      <c r="AK5" s="1136"/>
    </row>
    <row r="6" spans="1:44" ht="41.1" customHeight="1" thickTop="1" thickBot="1">
      <c r="A6" s="1133"/>
      <c r="B6" s="1142"/>
      <c r="C6" s="1134"/>
      <c r="D6" s="1134"/>
      <c r="E6" s="1134"/>
      <c r="F6" s="1134"/>
      <c r="G6" s="1134"/>
      <c r="H6" s="1134"/>
      <c r="I6" s="1135"/>
      <c r="J6" s="1134"/>
      <c r="K6" s="1134"/>
      <c r="L6" s="1134"/>
      <c r="M6" s="1134"/>
      <c r="N6" s="1134"/>
      <c r="O6" s="1134"/>
      <c r="P6" s="1134"/>
      <c r="Q6" s="1143" t="s">
        <v>10</v>
      </c>
      <c r="R6" s="1143"/>
      <c r="S6" s="1144">
        <v>1</v>
      </c>
      <c r="T6" s="1145" t="s">
        <v>981</v>
      </c>
      <c r="U6" s="1146"/>
      <c r="V6" s="1147"/>
      <c r="W6" s="1134"/>
      <c r="X6" s="1136"/>
      <c r="Y6" s="1136"/>
      <c r="Z6" s="1136"/>
      <c r="AA6" s="1136"/>
      <c r="AB6" s="1136"/>
      <c r="AC6" s="1136"/>
      <c r="AD6" s="1136"/>
      <c r="AE6" s="1136"/>
      <c r="AF6" s="1136"/>
      <c r="AG6" s="1136"/>
      <c r="AH6" s="1136"/>
      <c r="AI6" s="1136"/>
      <c r="AJ6" s="1136"/>
      <c r="AK6" s="1136"/>
    </row>
    <row r="7" spans="1:44" ht="41.1" customHeight="1" thickTop="1" thickBot="1">
      <c r="A7" s="1133"/>
      <c r="B7" s="1508" t="s">
        <v>78</v>
      </c>
      <c r="C7" s="1509"/>
      <c r="D7" s="1528"/>
      <c r="E7" s="1529"/>
      <c r="F7" s="1529"/>
      <c r="G7" s="1529"/>
      <c r="H7" s="1529"/>
      <c r="I7" s="1529"/>
      <c r="J7" s="1529"/>
      <c r="K7" s="1529"/>
      <c r="L7" s="1529"/>
      <c r="M7" s="1529"/>
      <c r="N7" s="1517"/>
      <c r="O7" s="1517"/>
      <c r="P7" s="1148"/>
      <c r="Q7" s="1143" t="s">
        <v>680</v>
      </c>
      <c r="R7" s="1143"/>
      <c r="S7" s="1524"/>
      <c r="T7" s="1525"/>
      <c r="U7" s="1525"/>
      <c r="V7" s="1147"/>
      <c r="W7" s="1134"/>
      <c r="X7" s="1136"/>
      <c r="Y7" s="1136"/>
      <c r="Z7" s="1136"/>
      <c r="AA7" s="1136">
        <f>'DS Log Pg 1'!S7</f>
        <v>0</v>
      </c>
      <c r="AB7" s="1136"/>
      <c r="AC7" s="1136"/>
      <c r="AD7" s="1136"/>
      <c r="AE7" s="1136"/>
      <c r="AF7" s="1136"/>
      <c r="AG7" s="1136"/>
      <c r="AH7" s="1136"/>
      <c r="AI7" s="1136"/>
      <c r="AJ7" s="1136"/>
      <c r="AK7" s="1136"/>
    </row>
    <row r="8" spans="1:44" ht="41.1" customHeight="1" thickTop="1" thickBot="1">
      <c r="A8" s="1133"/>
      <c r="B8" s="1508" t="s">
        <v>681</v>
      </c>
      <c r="C8" s="1509"/>
      <c r="D8" s="1515"/>
      <c r="E8" s="1516"/>
      <c r="F8" s="1516"/>
      <c r="G8" s="1516"/>
      <c r="H8" s="1516"/>
      <c r="I8" s="1516"/>
      <c r="J8" s="1516"/>
      <c r="K8" s="1516"/>
      <c r="L8" s="1516"/>
      <c r="M8" s="1516"/>
      <c r="N8" s="1517"/>
      <c r="O8" s="1517"/>
      <c r="P8" s="1148"/>
      <c r="Q8" s="1143" t="s">
        <v>671</v>
      </c>
      <c r="R8" s="1143"/>
      <c r="S8" s="1518"/>
      <c r="T8" s="1510"/>
      <c r="U8" s="1510"/>
      <c r="V8" s="1147"/>
      <c r="W8" s="1134"/>
      <c r="X8" s="1136"/>
      <c r="Y8" s="1136"/>
      <c r="Z8" s="1136"/>
      <c r="AA8" s="1136"/>
      <c r="AB8" s="1136"/>
      <c r="AC8" s="1136"/>
      <c r="AD8" s="1136"/>
      <c r="AE8" s="1136"/>
      <c r="AF8" s="1136"/>
      <c r="AG8" s="1136"/>
      <c r="AH8" s="1136"/>
      <c r="AI8" s="1136"/>
      <c r="AJ8" s="1136"/>
      <c r="AK8" s="1136"/>
    </row>
    <row r="9" spans="1:44" ht="41.1" customHeight="1" thickTop="1" thickBot="1">
      <c r="A9" s="1133"/>
      <c r="B9" s="1508" t="s">
        <v>82</v>
      </c>
      <c r="C9" s="1509"/>
      <c r="D9" s="1499"/>
      <c r="E9" s="1499"/>
      <c r="F9" s="1499"/>
      <c r="G9" s="1499"/>
      <c r="H9" s="1499"/>
      <c r="I9" s="1499"/>
      <c r="J9" s="1499"/>
      <c r="K9" s="1281"/>
      <c r="L9" s="1280"/>
      <c r="M9" s="1281"/>
      <c r="N9" s="1281"/>
      <c r="O9" s="1281"/>
      <c r="P9" s="1148"/>
      <c r="Q9" s="1143" t="s">
        <v>673</v>
      </c>
      <c r="R9" s="1143"/>
      <c r="S9" s="1512"/>
      <c r="T9" s="1402"/>
      <c r="U9" s="1402"/>
      <c r="V9" s="1147"/>
      <c r="W9" s="1134"/>
      <c r="X9" s="1136"/>
      <c r="Y9" s="1136"/>
      <c r="Z9" s="1136"/>
      <c r="AA9" s="1136"/>
      <c r="AB9" s="1136"/>
      <c r="AC9" s="1136"/>
      <c r="AD9" s="1136"/>
      <c r="AE9" s="1136"/>
      <c r="AF9" s="1136"/>
      <c r="AG9" s="1136"/>
      <c r="AH9" s="1136"/>
      <c r="AI9" s="1136"/>
      <c r="AJ9" s="1136"/>
      <c r="AK9" s="1136"/>
    </row>
    <row r="10" spans="1:44" ht="41.1" customHeight="1" thickTop="1" thickBot="1">
      <c r="A10" s="1133"/>
      <c r="B10" s="1508" t="s">
        <v>682</v>
      </c>
      <c r="C10" s="1509"/>
      <c r="D10" s="1499"/>
      <c r="E10" s="1500"/>
      <c r="F10" s="1500"/>
      <c r="G10" s="1500"/>
      <c r="H10" s="1149" t="s">
        <v>674</v>
      </c>
      <c r="I10" s="1510"/>
      <c r="J10" s="1511"/>
      <c r="K10" s="1150"/>
      <c r="L10" s="1151" t="s">
        <v>683</v>
      </c>
      <c r="M10" s="1487"/>
      <c r="N10" s="1488"/>
      <c r="O10" s="1488"/>
      <c r="P10" s="1148"/>
      <c r="Q10" s="1143" t="s">
        <v>676</v>
      </c>
      <c r="R10" s="1143"/>
      <c r="S10" s="1512"/>
      <c r="T10" s="1402"/>
      <c r="U10" s="1402"/>
      <c r="V10" s="1147"/>
      <c r="W10" s="1134"/>
      <c r="X10" s="1376" t="s">
        <v>985</v>
      </c>
      <c r="Y10" s="1377"/>
      <c r="Z10" s="1377"/>
      <c r="AA10" s="1377"/>
      <c r="AB10" s="1377"/>
      <c r="AC10" s="1377"/>
      <c r="AD10" s="1377"/>
      <c r="AE10" s="1377"/>
      <c r="AF10" s="1377"/>
      <c r="AG10" s="1377"/>
      <c r="AH10" s="1378"/>
      <c r="AI10" s="1136"/>
      <c r="AJ10" s="1136"/>
      <c r="AK10" s="1136"/>
    </row>
    <row r="11" spans="1:44" ht="40.5" customHeight="1" thickTop="1" thickBot="1">
      <c r="A11" s="1133"/>
      <c r="B11" s="1504" t="s">
        <v>684</v>
      </c>
      <c r="C11" s="1505"/>
      <c r="D11" s="1502"/>
      <c r="E11" s="1502"/>
      <c r="F11" s="1502"/>
      <c r="G11" s="1502"/>
      <c r="H11" s="1502"/>
      <c r="I11" s="1502"/>
      <c r="J11" s="1502"/>
      <c r="K11" s="1502"/>
      <c r="L11" s="1502"/>
      <c r="M11" s="1502"/>
      <c r="N11" s="1502"/>
      <c r="O11" s="1502"/>
      <c r="P11" s="1148"/>
      <c r="Q11" s="1418" t="s">
        <v>685</v>
      </c>
      <c r="R11" s="1444"/>
      <c r="S11" s="1401"/>
      <c r="T11" s="1402"/>
      <c r="U11" s="1402"/>
      <c r="V11" s="1147"/>
      <c r="W11" s="1134"/>
      <c r="X11" s="1379"/>
      <c r="Y11" s="1380"/>
      <c r="Z11" s="1380"/>
      <c r="AA11" s="1380"/>
      <c r="AB11" s="1380"/>
      <c r="AC11" s="1380"/>
      <c r="AD11" s="1380"/>
      <c r="AE11" s="1380"/>
      <c r="AF11" s="1380"/>
      <c r="AG11" s="1380"/>
      <c r="AH11" s="1381"/>
      <c r="AI11" s="1136"/>
      <c r="AJ11" s="1136"/>
      <c r="AK11" s="1136"/>
    </row>
    <row r="12" spans="1:44" ht="20.100000000000001" customHeight="1" thickTop="1">
      <c r="A12" s="1133"/>
      <c r="B12" s="1504"/>
      <c r="C12" s="1505"/>
      <c r="D12" s="1502"/>
      <c r="E12" s="1502"/>
      <c r="F12" s="1502"/>
      <c r="G12" s="1502"/>
      <c r="H12" s="1502"/>
      <c r="I12" s="1502"/>
      <c r="J12" s="1502"/>
      <c r="K12" s="1502"/>
      <c r="L12" s="1502"/>
      <c r="M12" s="1502"/>
      <c r="N12" s="1502"/>
      <c r="O12" s="1502"/>
      <c r="P12" s="1148"/>
      <c r="Q12" s="1143"/>
      <c r="R12" s="1152"/>
      <c r="S12" s="1501"/>
      <c r="T12" s="1501"/>
      <c r="U12" s="1501"/>
      <c r="V12" s="1147"/>
      <c r="W12" s="1134"/>
      <c r="X12" s="1379"/>
      <c r="Y12" s="1380"/>
      <c r="Z12" s="1380"/>
      <c r="AA12" s="1380"/>
      <c r="AB12" s="1380"/>
      <c r="AC12" s="1380"/>
      <c r="AD12" s="1380"/>
      <c r="AE12" s="1380"/>
      <c r="AF12" s="1380"/>
      <c r="AG12" s="1380"/>
      <c r="AH12" s="1381"/>
      <c r="AI12" s="1136"/>
      <c r="AJ12" s="1136"/>
      <c r="AK12" s="1136"/>
    </row>
    <row r="13" spans="1:44" ht="21" customHeight="1" thickBot="1">
      <c r="A13" s="1133"/>
      <c r="B13" s="1506"/>
      <c r="C13" s="1507"/>
      <c r="D13" s="1503"/>
      <c r="E13" s="1503"/>
      <c r="F13" s="1503"/>
      <c r="G13" s="1503"/>
      <c r="H13" s="1503"/>
      <c r="I13" s="1503"/>
      <c r="J13" s="1503"/>
      <c r="K13" s="1503"/>
      <c r="L13" s="1503"/>
      <c r="M13" s="1503"/>
      <c r="N13" s="1503"/>
      <c r="O13" s="1503"/>
      <c r="P13" s="1153"/>
      <c r="Q13" s="1153"/>
      <c r="R13" s="1153"/>
      <c r="S13" s="1153"/>
      <c r="T13" s="1153"/>
      <c r="U13" s="1153"/>
      <c r="V13" s="1154"/>
      <c r="W13" s="1134"/>
      <c r="X13" s="1379"/>
      <c r="Y13" s="1380"/>
      <c r="Z13" s="1380"/>
      <c r="AA13" s="1380"/>
      <c r="AB13" s="1380"/>
      <c r="AC13" s="1380"/>
      <c r="AD13" s="1380"/>
      <c r="AE13" s="1380"/>
      <c r="AF13" s="1380"/>
      <c r="AG13" s="1380"/>
      <c r="AH13" s="1381"/>
      <c r="AI13" s="1136"/>
      <c r="AJ13" s="1136"/>
      <c r="AK13" s="1136"/>
    </row>
    <row r="14" spans="1:44" ht="16.5" customHeight="1" thickTop="1" thickBot="1">
      <c r="A14" s="1133"/>
      <c r="B14" s="1155"/>
      <c r="C14" s="1156"/>
      <c r="D14" s="1157"/>
      <c r="E14" s="1157"/>
      <c r="F14" s="1157"/>
      <c r="G14" s="1158"/>
      <c r="H14" s="1157"/>
      <c r="I14" s="1157"/>
      <c r="J14" s="1156"/>
      <c r="K14" s="1156"/>
      <c r="L14" s="1156"/>
      <c r="M14" s="1156"/>
      <c r="N14" s="1134"/>
      <c r="O14" s="1134"/>
      <c r="P14" s="1159"/>
      <c r="Q14" s="1156"/>
      <c r="R14" s="1156"/>
      <c r="S14" s="1156"/>
      <c r="T14" s="1156"/>
      <c r="U14" s="1156"/>
      <c r="V14" s="1160"/>
      <c r="W14" s="1134"/>
      <c r="X14" s="1382"/>
      <c r="Y14" s="1383"/>
      <c r="Z14" s="1383"/>
      <c r="AA14" s="1383"/>
      <c r="AB14" s="1383"/>
      <c r="AC14" s="1383"/>
      <c r="AD14" s="1383"/>
      <c r="AE14" s="1383"/>
      <c r="AF14" s="1383"/>
      <c r="AG14" s="1383"/>
      <c r="AH14" s="1384"/>
      <c r="AI14" s="1136"/>
      <c r="AJ14" s="1136"/>
      <c r="AK14" s="1136"/>
    </row>
    <row r="15" spans="1:44" ht="31.5" customHeight="1">
      <c r="A15" s="1133"/>
      <c r="B15" s="1493" t="s">
        <v>804</v>
      </c>
      <c r="C15" s="1494"/>
      <c r="D15" s="1494"/>
      <c r="E15" s="1494"/>
      <c r="F15" s="1494"/>
      <c r="G15" s="1494"/>
      <c r="H15" s="1494"/>
      <c r="I15" s="1494"/>
      <c r="J15" s="1494"/>
      <c r="K15" s="1494"/>
      <c r="L15" s="1494"/>
      <c r="M15" s="1494"/>
      <c r="N15" s="1495"/>
      <c r="O15" s="1496"/>
      <c r="P15" s="1161"/>
      <c r="Q15" s="1134"/>
      <c r="R15" s="1134"/>
      <c r="S15" s="1134"/>
      <c r="T15" s="1134"/>
      <c r="U15" s="1134"/>
      <c r="V15" s="1147"/>
      <c r="W15" s="1134"/>
      <c r="X15" s="1136"/>
      <c r="Y15" s="1136"/>
      <c r="Z15" s="1136"/>
      <c r="AA15" s="1136"/>
      <c r="AB15" s="1136"/>
      <c r="AC15" s="1136"/>
      <c r="AD15" s="1136"/>
      <c r="AE15" s="1136"/>
      <c r="AF15" s="1136"/>
      <c r="AG15" s="1136"/>
      <c r="AH15" s="1136"/>
      <c r="AI15" s="1136"/>
      <c r="AJ15" s="1136"/>
      <c r="AK15" s="1136"/>
    </row>
    <row r="16" spans="1:44" ht="13.5" customHeight="1" thickBot="1">
      <c r="A16" s="1136"/>
      <c r="B16" s="1493"/>
      <c r="C16" s="1497"/>
      <c r="D16" s="1497"/>
      <c r="E16" s="1497"/>
      <c r="F16" s="1497"/>
      <c r="G16" s="1497"/>
      <c r="H16" s="1497"/>
      <c r="I16" s="1497"/>
      <c r="J16" s="1497"/>
      <c r="K16" s="1497"/>
      <c r="L16" s="1497"/>
      <c r="M16" s="1497"/>
      <c r="N16" s="1162"/>
      <c r="O16" s="1136"/>
      <c r="P16" s="1163"/>
      <c r="Q16" s="1498" t="s">
        <v>803</v>
      </c>
      <c r="R16" s="1491"/>
      <c r="S16" s="1491"/>
      <c r="T16" s="1491"/>
      <c r="U16" s="1491"/>
      <c r="V16" s="1492"/>
      <c r="W16" s="1136"/>
      <c r="X16" s="1136"/>
      <c r="Y16" s="1136"/>
      <c r="Z16" s="1136"/>
      <c r="AA16" s="1136"/>
      <c r="AB16" s="1136"/>
      <c r="AC16" s="1136"/>
      <c r="AD16" s="1136"/>
      <c r="AE16" s="1136"/>
      <c r="AF16" s="1136"/>
      <c r="AG16" s="1136"/>
      <c r="AH16" s="1136"/>
      <c r="AI16" s="1136"/>
      <c r="AJ16" s="1136"/>
      <c r="AK16" s="1136"/>
      <c r="AN16" s="1427"/>
      <c r="AO16" s="1427"/>
      <c r="AP16" s="1428"/>
      <c r="AQ16" s="1164"/>
      <c r="AR16" s="1165"/>
    </row>
    <row r="17" spans="1:44" ht="34.5" customHeight="1">
      <c r="A17" s="1136"/>
      <c r="B17" s="1166"/>
      <c r="C17" s="1429" t="s">
        <v>802</v>
      </c>
      <c r="D17" s="1430"/>
      <c r="E17" s="1279" t="s">
        <v>1135</v>
      </c>
      <c r="F17" s="1168"/>
      <c r="G17" s="1169" t="s">
        <v>1136</v>
      </c>
      <c r="H17" s="1429" t="s">
        <v>801</v>
      </c>
      <c r="I17" s="1429"/>
      <c r="J17" s="1430"/>
      <c r="K17" s="1513" t="s">
        <v>1135</v>
      </c>
      <c r="L17" s="1513"/>
      <c r="M17" s="1168"/>
      <c r="N17" s="1167" t="s">
        <v>1136</v>
      </c>
      <c r="O17" s="1170"/>
      <c r="P17" s="1163"/>
      <c r="Q17" s="1491"/>
      <c r="R17" s="1491"/>
      <c r="S17" s="1491"/>
      <c r="T17" s="1491"/>
      <c r="U17" s="1491"/>
      <c r="V17" s="1492"/>
      <c r="W17" s="1136"/>
      <c r="X17" s="1136"/>
      <c r="Y17" s="1136"/>
      <c r="Z17" s="1136"/>
      <c r="AA17" s="1136"/>
      <c r="AB17" s="1136"/>
      <c r="AC17" s="1136"/>
      <c r="AD17" s="1136"/>
      <c r="AE17" s="1136"/>
      <c r="AF17" s="1136"/>
      <c r="AG17" s="1136"/>
      <c r="AH17" s="1136"/>
      <c r="AI17" s="1136"/>
      <c r="AJ17" s="1136"/>
      <c r="AK17" s="1136"/>
      <c r="AM17" s="1171" t="s">
        <v>800</v>
      </c>
      <c r="AN17" s="1172"/>
      <c r="AO17" s="1173"/>
      <c r="AP17" s="1164"/>
      <c r="AQ17" s="1164"/>
      <c r="AR17" s="1165"/>
    </row>
    <row r="18" spans="1:44" ht="27" customHeight="1" thickBot="1">
      <c r="A18" s="1136"/>
      <c r="B18" s="1174"/>
      <c r="C18" s="1175" t="s">
        <v>978</v>
      </c>
      <c r="D18" s="1176"/>
      <c r="E18" s="1177"/>
      <c r="F18" s="1178"/>
      <c r="G18" s="1178"/>
      <c r="H18" s="1178" t="s">
        <v>979</v>
      </c>
      <c r="I18" s="1179"/>
      <c r="J18" s="1180"/>
      <c r="K18" s="1177"/>
      <c r="L18" s="1136"/>
      <c r="M18" s="1136"/>
      <c r="N18" s="1136"/>
      <c r="O18" s="1136"/>
      <c r="P18" s="1163"/>
      <c r="Q18" s="1181" t="s">
        <v>799</v>
      </c>
      <c r="R18" s="1182" t="s">
        <v>798</v>
      </c>
      <c r="S18" s="1485"/>
      <c r="T18" s="1486"/>
      <c r="U18" s="1136"/>
      <c r="V18" s="1147"/>
      <c r="W18" s="1136"/>
      <c r="X18" s="1136"/>
      <c r="Y18" s="1136"/>
      <c r="Z18" s="1136"/>
      <c r="AA18" s="1136"/>
      <c r="AB18" s="1136"/>
      <c r="AC18" s="1136"/>
      <c r="AD18" s="1136"/>
      <c r="AE18" s="1136"/>
      <c r="AF18" s="1136"/>
      <c r="AG18" s="1136"/>
      <c r="AH18" s="1136"/>
      <c r="AI18" s="1136"/>
      <c r="AJ18" s="1136"/>
      <c r="AK18" s="1136"/>
      <c r="AM18" s="1183" t="s">
        <v>797</v>
      </c>
      <c r="AN18" s="1184"/>
      <c r="AO18" s="1185"/>
    </row>
    <row r="19" spans="1:44" ht="39.9" customHeight="1" thickTop="1" thickBot="1">
      <c r="A19" s="1136"/>
      <c r="B19" s="1186" t="s">
        <v>796</v>
      </c>
      <c r="C19" s="1470"/>
      <c r="D19" s="1471"/>
      <c r="E19" s="1136"/>
      <c r="F19" s="1187"/>
      <c r="G19" s="1187"/>
      <c r="H19" s="1470"/>
      <c r="I19" s="1471"/>
      <c r="J19" s="1136"/>
      <c r="K19" s="1136"/>
      <c r="L19" s="1136"/>
      <c r="M19" s="1136"/>
      <c r="N19" s="1136"/>
      <c r="O19" s="1136"/>
      <c r="P19" s="1163"/>
      <c r="Q19" s="1188"/>
      <c r="R19" s="1189" t="s">
        <v>795</v>
      </c>
      <c r="S19" s="1472"/>
      <c r="T19" s="1473"/>
      <c r="U19" s="1136"/>
      <c r="V19" s="1190"/>
      <c r="W19" s="1136"/>
      <c r="X19" s="1136"/>
      <c r="Y19" s="1136"/>
      <c r="Z19" s="1136"/>
      <c r="AA19" s="1136"/>
      <c r="AB19" s="1136"/>
      <c r="AC19" s="1136"/>
      <c r="AD19" s="1136"/>
      <c r="AE19" s="1136"/>
      <c r="AF19" s="1136"/>
      <c r="AG19" s="1136"/>
      <c r="AH19" s="1136"/>
      <c r="AI19" s="1136"/>
      <c r="AJ19" s="1136"/>
      <c r="AK19" s="1136"/>
      <c r="AM19" s="1191"/>
      <c r="AN19" s="1192">
        <f>SUM(J22:O22)</f>
        <v>0</v>
      </c>
      <c r="AO19" s="1185"/>
    </row>
    <row r="20" spans="1:44" ht="52.5" customHeight="1" thickBot="1">
      <c r="A20" s="1133"/>
      <c r="B20" s="1193" t="s">
        <v>794</v>
      </c>
      <c r="C20" s="1474"/>
      <c r="D20" s="1475"/>
      <c r="E20" s="1194"/>
      <c r="F20" s="1195"/>
      <c r="G20" s="1195"/>
      <c r="H20" s="1466"/>
      <c r="I20" s="1484"/>
      <c r="J20" s="1476" t="s">
        <v>793</v>
      </c>
      <c r="K20" s="1478" t="s">
        <v>792</v>
      </c>
      <c r="L20" s="1479"/>
      <c r="M20" s="1476" t="s">
        <v>791</v>
      </c>
      <c r="N20" s="1476" t="s">
        <v>966</v>
      </c>
      <c r="O20" s="1478" t="s">
        <v>967</v>
      </c>
      <c r="P20" s="1196"/>
      <c r="Q20" s="1181" t="s">
        <v>790</v>
      </c>
      <c r="R20" s="1197"/>
      <c r="S20" s="1485"/>
      <c r="T20" s="1486"/>
      <c r="U20" s="1134"/>
      <c r="V20" s="1147"/>
      <c r="W20" s="1134"/>
      <c r="X20" s="1136"/>
      <c r="Y20" s="1136"/>
      <c r="Z20" s="1136"/>
      <c r="AA20" s="1136"/>
      <c r="AB20" s="1136"/>
      <c r="AC20" s="1136"/>
      <c r="AD20" s="1136"/>
      <c r="AE20" s="1136"/>
      <c r="AF20" s="1136"/>
      <c r="AG20" s="1136"/>
      <c r="AH20" s="1136"/>
      <c r="AI20" s="1136"/>
      <c r="AJ20" s="1136"/>
      <c r="AK20" s="1136"/>
      <c r="AM20" s="1191"/>
      <c r="AN20" s="1198"/>
      <c r="AO20" s="1185"/>
    </row>
    <row r="21" spans="1:44" ht="39.9" customHeight="1" thickBot="1">
      <c r="A21" s="1133"/>
      <c r="B21" s="1193" t="s">
        <v>789</v>
      </c>
      <c r="C21" s="1466"/>
      <c r="D21" s="1467"/>
      <c r="E21" s="1199" t="str">
        <f>IF(C21&lt;&gt;"","",IF(C20="","",C20+2*F17))</f>
        <v/>
      </c>
      <c r="F21" s="1514" t="str">
        <f>IF(H21&lt;&gt;"","",IF(H20="","",H20+2*M17))</f>
        <v/>
      </c>
      <c r="G21" s="1514"/>
      <c r="H21" s="1466"/>
      <c r="I21" s="1484"/>
      <c r="J21" s="1477"/>
      <c r="K21" s="1480"/>
      <c r="L21" s="1481"/>
      <c r="M21" s="1482"/>
      <c r="N21" s="1482"/>
      <c r="O21" s="1483"/>
      <c r="P21" s="1200"/>
      <c r="Q21" s="1181" t="s">
        <v>788</v>
      </c>
      <c r="R21" s="1197"/>
      <c r="S21" s="1485"/>
      <c r="T21" s="1486"/>
      <c r="U21" s="1134"/>
      <c r="V21" s="1147"/>
      <c r="W21" s="1134"/>
      <c r="X21" s="1136"/>
      <c r="Y21" s="1136"/>
      <c r="Z21" s="1136"/>
      <c r="AA21" s="1136"/>
      <c r="AB21" s="1136"/>
      <c r="AC21" s="1136"/>
      <c r="AD21" s="1136"/>
      <c r="AE21" s="1136"/>
      <c r="AF21" s="1136"/>
      <c r="AG21" s="1136"/>
      <c r="AH21" s="1136"/>
      <c r="AI21" s="1136"/>
      <c r="AJ21" s="1136"/>
      <c r="AK21" s="1136"/>
      <c r="AM21" s="1191"/>
      <c r="AN21" s="1198"/>
      <c r="AO21" s="1185"/>
    </row>
    <row r="22" spans="1:44" ht="39.9" customHeight="1" thickBot="1">
      <c r="A22" s="1133"/>
      <c r="B22" s="1193" t="s">
        <v>288</v>
      </c>
      <c r="C22" s="1466"/>
      <c r="D22" s="1467"/>
      <c r="E22" s="1194"/>
      <c r="F22" s="1195"/>
      <c r="G22" s="1195"/>
      <c r="H22" s="1431" t="str">
        <f>IF((AN22)="", "",AN22)</f>
        <v/>
      </c>
      <c r="I22" s="1432"/>
      <c r="J22" s="1201"/>
      <c r="K22" s="1468"/>
      <c r="L22" s="1469"/>
      <c r="M22" s="1201"/>
      <c r="N22" s="1201"/>
      <c r="O22" s="1202"/>
      <c r="P22" s="1203"/>
      <c r="Q22" s="1204"/>
      <c r="R22" s="1204"/>
      <c r="S22" s="1134"/>
      <c r="T22" s="1134"/>
      <c r="U22" s="1134"/>
      <c r="V22" s="1147"/>
      <c r="W22" s="1134"/>
      <c r="X22" s="1136"/>
      <c r="Y22" s="1136"/>
      <c r="Z22" s="1136"/>
      <c r="AA22" s="1136"/>
      <c r="AB22" s="1136"/>
      <c r="AC22" s="1136"/>
      <c r="AD22" s="1136"/>
      <c r="AE22" s="1136"/>
      <c r="AF22" s="1136"/>
      <c r="AG22" s="1136"/>
      <c r="AH22" s="1136"/>
      <c r="AI22" s="1136"/>
      <c r="AJ22" s="1136"/>
      <c r="AK22" s="1136"/>
      <c r="AM22" s="1205"/>
      <c r="AN22" s="1206" t="str">
        <f>IF(SUM(J22:O22)=0,"",SUM(J22:O22))</f>
        <v/>
      </c>
      <c r="AO22" s="1207"/>
    </row>
    <row r="23" spans="1:44" ht="39.9" customHeight="1" thickTop="1" thickBot="1">
      <c r="A23" s="1133"/>
      <c r="B23" s="1193" t="s">
        <v>26</v>
      </c>
      <c r="C23" s="1434">
        <v>45222</v>
      </c>
      <c r="D23" s="1434"/>
      <c r="E23" s="1194"/>
      <c r="F23" s="1195"/>
      <c r="G23" s="1195"/>
      <c r="H23" s="1434"/>
      <c r="I23" s="1434"/>
      <c r="J23" s="1208" t="str">
        <f>IF(ISBLANK(J22),"",J22+J24)</f>
        <v/>
      </c>
      <c r="K23" s="1489" t="str">
        <f>IF(ISBLANK(K22),"",K22+K24)</f>
        <v/>
      </c>
      <c r="L23" s="1490"/>
      <c r="M23" s="1349" t="str">
        <f>IF(ISBLANK(M22),"",M22+M24)</f>
        <v/>
      </c>
      <c r="N23" s="1349" t="str">
        <f>IF(ISBLANK(N22),"",N22+N24)</f>
        <v/>
      </c>
      <c r="O23" s="1349" t="str">
        <f>IF(ISBLANK(O22),"",O22+O24)</f>
        <v/>
      </c>
      <c r="P23" s="1209"/>
      <c r="Q23" s="1415" t="s">
        <v>787</v>
      </c>
      <c r="R23" s="1416"/>
      <c r="S23" s="1416"/>
      <c r="T23" s="1416"/>
      <c r="U23" s="1416"/>
      <c r="V23" s="1417"/>
      <c r="W23" s="1134"/>
      <c r="X23" s="1136"/>
      <c r="Y23" s="1136"/>
      <c r="Z23" s="1400" t="s">
        <v>960</v>
      </c>
      <c r="AA23" s="1400"/>
      <c r="AB23" s="1400"/>
      <c r="AC23" s="1400"/>
      <c r="AD23" s="1400"/>
      <c r="AE23" s="1400"/>
      <c r="AF23" s="1400"/>
      <c r="AG23" s="1136"/>
      <c r="AH23" s="1136"/>
      <c r="AI23" s="1136"/>
      <c r="AJ23" s="1136"/>
      <c r="AK23" s="1136"/>
    </row>
    <row r="24" spans="1:44" ht="39.9" customHeight="1" thickBot="1">
      <c r="A24" s="1133"/>
      <c r="B24" s="1193" t="s">
        <v>786</v>
      </c>
      <c r="C24" s="1433">
        <f>IF(ISBLANK(C23),"",C23-C22)</f>
        <v>45222</v>
      </c>
      <c r="D24" s="1433"/>
      <c r="E24" s="1194"/>
      <c r="F24" s="1195"/>
      <c r="G24" s="1195"/>
      <c r="H24" s="1433" t="str">
        <f>IF(ISBLANK(H23),"",H23-H22)</f>
        <v/>
      </c>
      <c r="I24" s="1433"/>
      <c r="J24" s="1208" t="str">
        <f>IF(ISBLANK(J22),"",H24)</f>
        <v/>
      </c>
      <c r="K24" s="1489" t="str">
        <f>IF(ISBLANK(K22),"",(IF(ISBLANK(J22),H24,J23)))</f>
        <v/>
      </c>
      <c r="L24" s="1490"/>
      <c r="M24" s="1208" t="str">
        <f>IF(ISBLANK(M22),"",(IF(ISBLANK(K22),H24,K23)))</f>
        <v/>
      </c>
      <c r="N24" s="1349" t="str">
        <f>IF(ISBLANK(N22),"",(IF(ISBLANK(M22),H24,M23)))</f>
        <v/>
      </c>
      <c r="O24" s="1349" t="str">
        <f>IF(ISBLANK(O22),"",(IF(ISBLANK(N22),H24,N23)))</f>
        <v/>
      </c>
      <c r="P24" s="1209"/>
      <c r="Q24" s="1491"/>
      <c r="R24" s="1491"/>
      <c r="S24" s="1491"/>
      <c r="T24" s="1491"/>
      <c r="U24" s="1491"/>
      <c r="V24" s="1492"/>
      <c r="W24" s="1134"/>
      <c r="X24" s="1136"/>
      <c r="Y24" s="1136"/>
      <c r="Z24" s="1136"/>
      <c r="AA24" s="1136"/>
      <c r="AB24" s="1136"/>
      <c r="AC24" s="1136"/>
      <c r="AD24" s="1136"/>
      <c r="AE24" s="1136"/>
      <c r="AF24" s="1136"/>
      <c r="AG24" s="1136"/>
      <c r="AH24" s="1136"/>
      <c r="AI24" s="1136"/>
      <c r="AJ24" s="1136"/>
      <c r="AK24" s="1136"/>
    </row>
    <row r="25" spans="1:44" ht="12" customHeight="1">
      <c r="A25" s="1133"/>
      <c r="B25" s="1193"/>
      <c r="C25" s="1210"/>
      <c r="D25" s="1211"/>
      <c r="E25" s="1194"/>
      <c r="F25" s="1195"/>
      <c r="G25" s="1195"/>
      <c r="H25" s="1212"/>
      <c r="I25" s="1213"/>
      <c r="J25" s="1209"/>
      <c r="K25" s="1209"/>
      <c r="L25" s="1214"/>
      <c r="M25" s="1209"/>
      <c r="N25" s="1209"/>
      <c r="O25" s="1215"/>
      <c r="P25" s="1209"/>
      <c r="Q25" s="1134"/>
      <c r="R25" s="1134"/>
      <c r="S25" s="1134"/>
      <c r="T25" s="1134"/>
      <c r="U25" s="1134"/>
      <c r="V25" s="1147"/>
      <c r="W25" s="1134"/>
      <c r="X25" s="1136"/>
      <c r="Y25" s="1136"/>
      <c r="Z25" s="1136"/>
      <c r="AA25" s="1136"/>
      <c r="AB25" s="1136"/>
      <c r="AC25" s="1136"/>
      <c r="AD25" s="1136"/>
      <c r="AE25" s="1136"/>
      <c r="AF25" s="1136"/>
      <c r="AG25" s="1136"/>
      <c r="AH25" s="1136"/>
      <c r="AI25" s="1136"/>
      <c r="AJ25" s="1136"/>
      <c r="AK25" s="1136"/>
    </row>
    <row r="26" spans="1:44" ht="32.25" customHeight="1" thickBot="1">
      <c r="A26" s="1133"/>
      <c r="B26" s="1216" t="s">
        <v>785</v>
      </c>
      <c r="C26" s="1446"/>
      <c r="D26" s="1446"/>
      <c r="E26" s="1134"/>
      <c r="F26" s="1134"/>
      <c r="G26" s="1134"/>
      <c r="H26" s="1446"/>
      <c r="I26" s="1446"/>
      <c r="J26" s="1134"/>
      <c r="K26" s="1134"/>
      <c r="L26" s="1134"/>
      <c r="M26" s="1217"/>
      <c r="N26" s="1217"/>
      <c r="O26" s="1218"/>
      <c r="P26" s="1134"/>
      <c r="Q26" s="1418" t="s">
        <v>784</v>
      </c>
      <c r="R26" s="1418"/>
      <c r="S26" s="1143"/>
      <c r="T26" s="1446"/>
      <c r="U26" s="1446"/>
      <c r="V26" s="1147"/>
      <c r="W26" s="1134"/>
      <c r="X26" s="1136"/>
      <c r="Y26" s="1136"/>
      <c r="Z26" s="1136"/>
      <c r="AA26" s="1136"/>
      <c r="AB26" s="1136"/>
      <c r="AC26" s="1136"/>
      <c r="AD26" s="1136"/>
      <c r="AE26" s="1136"/>
      <c r="AF26" s="1136"/>
      <c r="AG26" s="1136"/>
      <c r="AH26" s="1136"/>
      <c r="AI26" s="1136"/>
      <c r="AJ26" s="1136"/>
      <c r="AK26" s="1136"/>
    </row>
    <row r="27" spans="1:44" ht="15.75" customHeight="1" thickTop="1" thickBot="1">
      <c r="A27" s="1133"/>
      <c r="B27" s="1216"/>
      <c r="C27" s="1134"/>
      <c r="D27" s="1134"/>
      <c r="E27" s="1134"/>
      <c r="F27" s="1134"/>
      <c r="G27" s="1134"/>
      <c r="H27" s="1134"/>
      <c r="I27" s="1135"/>
      <c r="J27" s="1134"/>
      <c r="K27" s="1134"/>
      <c r="L27" s="1134"/>
      <c r="M27" s="1217"/>
      <c r="N27" s="1217"/>
      <c r="O27" s="1218"/>
      <c r="P27" s="1134"/>
      <c r="Q27" s="1143"/>
      <c r="R27" s="1143"/>
      <c r="S27" s="1143"/>
      <c r="T27" s="1449"/>
      <c r="U27" s="1450"/>
      <c r="V27" s="1147"/>
      <c r="W27" s="1134"/>
      <c r="X27" s="1136"/>
      <c r="Y27" s="1136"/>
      <c r="Z27" s="1136"/>
      <c r="AA27" s="1136"/>
      <c r="AB27" s="1136"/>
      <c r="AC27" s="1136"/>
      <c r="AD27" s="1136"/>
      <c r="AE27" s="1136"/>
      <c r="AF27" s="1136"/>
      <c r="AG27" s="1136"/>
      <c r="AH27" s="1136"/>
      <c r="AI27" s="1136"/>
      <c r="AJ27" s="1136"/>
      <c r="AK27" s="1136"/>
    </row>
    <row r="28" spans="1:44" ht="45.75" customHeight="1" thickTop="1" thickBot="1">
      <c r="A28" s="1133"/>
      <c r="B28" s="1452" t="s">
        <v>783</v>
      </c>
      <c r="C28" s="1454" t="s">
        <v>705</v>
      </c>
      <c r="D28" s="1455"/>
      <c r="E28" s="1456" t="s">
        <v>81</v>
      </c>
      <c r="F28" s="1458" t="s">
        <v>728</v>
      </c>
      <c r="G28" s="1447" t="s">
        <v>976</v>
      </c>
      <c r="H28" s="1460" t="s">
        <v>729</v>
      </c>
      <c r="I28" s="1461"/>
      <c r="J28" s="1461"/>
      <c r="K28" s="1461"/>
      <c r="L28" s="1461"/>
      <c r="M28" s="1461"/>
      <c r="N28" s="1461"/>
      <c r="O28" s="1462"/>
      <c r="P28" s="1134"/>
      <c r="Q28" s="1418" t="s">
        <v>782</v>
      </c>
      <c r="R28" s="1418"/>
      <c r="S28" s="1418"/>
      <c r="T28" s="1451"/>
      <c r="U28" s="1451"/>
      <c r="V28" s="1147"/>
      <c r="W28" s="1134"/>
      <c r="X28" s="1136"/>
      <c r="Y28" s="1136"/>
      <c r="Z28" s="1136"/>
      <c r="AA28" s="1136"/>
      <c r="AB28" s="1136"/>
      <c r="AC28" s="1136"/>
      <c r="AD28" s="1136"/>
      <c r="AE28" s="1136"/>
      <c r="AF28" s="1136"/>
      <c r="AG28" s="1136"/>
      <c r="AH28" s="1136"/>
      <c r="AI28" s="1136"/>
      <c r="AJ28" s="1136"/>
      <c r="AK28" s="1136"/>
    </row>
    <row r="29" spans="1:44" ht="42.75" customHeight="1" thickTop="1" thickBot="1">
      <c r="A29" s="1133"/>
      <c r="B29" s="1453"/>
      <c r="C29" s="1219" t="s">
        <v>731</v>
      </c>
      <c r="D29" s="1219" t="s">
        <v>732</v>
      </c>
      <c r="E29" s="1457"/>
      <c r="F29" s="1459"/>
      <c r="G29" s="1448"/>
      <c r="H29" s="1463"/>
      <c r="I29" s="1464"/>
      <c r="J29" s="1464"/>
      <c r="K29" s="1464"/>
      <c r="L29" s="1464"/>
      <c r="M29" s="1464"/>
      <c r="N29" s="1464"/>
      <c r="O29" s="1465"/>
      <c r="P29" s="1134"/>
      <c r="Q29" s="1418" t="s">
        <v>781</v>
      </c>
      <c r="R29" s="1418"/>
      <c r="S29" s="1418"/>
      <c r="T29" s="1443"/>
      <c r="U29" s="1443"/>
      <c r="V29" s="1147"/>
      <c r="W29" s="1134"/>
      <c r="X29" s="1136"/>
      <c r="Y29" s="1136"/>
      <c r="Z29" s="1136"/>
      <c r="AA29" s="1136"/>
      <c r="AB29" s="1136"/>
      <c r="AC29" s="1136"/>
      <c r="AD29" s="1136"/>
      <c r="AE29" s="1136"/>
      <c r="AF29" s="1136"/>
      <c r="AG29" s="1136"/>
      <c r="AH29" s="1136"/>
      <c r="AI29" s="1136"/>
      <c r="AJ29" s="1136"/>
      <c r="AK29" s="1136"/>
    </row>
    <row r="30" spans="1:44" ht="42" customHeight="1" thickTop="1" thickBot="1">
      <c r="A30" s="1133"/>
      <c r="B30" s="1220"/>
      <c r="C30" s="1221"/>
      <c r="D30" s="1221"/>
      <c r="E30" s="1222" t="str">
        <f t="shared" ref="E30:E63" si="0">IF(ISBLANK(B30),"",F30-B30)</f>
        <v/>
      </c>
      <c r="F30" s="1223" t="str">
        <f>IF(T26="","",T26)</f>
        <v/>
      </c>
      <c r="G30" s="1224"/>
      <c r="H30" s="1412" t="str">
        <f t="shared" ref="H30" si="1">IF(G30=1,$Q$72,IF(G30=2,$Q$73,IF(G30=3,$Q$74,IF(G30=4,$Q$75,IF(G30=5,$Q$76,IF(G30=6,$Q$77,IF(G30=7,$Q$78,IF(G30=8,$Q$79,IF(G30=9,$Q$80,IF(G30=10,$Q$81,""))))))))))</f>
        <v/>
      </c>
      <c r="I30" s="1413" t="str">
        <f t="shared" ref="I30" si="2">IF(H30=1,$C$8,IF(H30=2,$C$9, IF(H30=3,$C$10,"")))</f>
        <v/>
      </c>
      <c r="J30" s="1413" t="str">
        <f t="shared" ref="J30" si="3">IF(I30=1,$C$8,IF(I30=2,$C$9, IF(I30=3,$C$10,"")))</f>
        <v/>
      </c>
      <c r="K30" s="1413" t="str">
        <f t="shared" ref="K30" si="4">IF(J30=1,$C$8,IF(J30=2,$C$9, IF(J30=3,$C$10,"")))</f>
        <v/>
      </c>
      <c r="L30" s="1413" t="str">
        <f t="shared" ref="L30" si="5">IF(K30=1,$C$8,IF(K30=2,$C$9, IF(K30=3,$C$10,"")))</f>
        <v/>
      </c>
      <c r="M30" s="1413" t="str">
        <f t="shared" ref="M30" si="6">IF(L30=1,$C$8,IF(L30=2,$C$9, IF(L30=3,$C$10,"")))</f>
        <v/>
      </c>
      <c r="N30" s="1413" t="str">
        <f t="shared" ref="N30" si="7">IF(M30=1,$C$8,IF(M30=2,$C$9, IF(M30=3,$C$10,"")))</f>
        <v/>
      </c>
      <c r="O30" s="1414" t="str">
        <f t="shared" ref="O30" si="8">IF(N30=1,$C$8,IF(N30=2,$C$9, IF(N30=3,$C$10,"")))</f>
        <v/>
      </c>
      <c r="P30" s="1225"/>
      <c r="Q30" s="1418" t="s">
        <v>780</v>
      </c>
      <c r="R30" s="1418"/>
      <c r="S30" s="1143"/>
      <c r="T30" s="1443"/>
      <c r="U30" s="1443"/>
      <c r="V30" s="1147"/>
      <c r="W30" s="1134"/>
      <c r="X30" s="1136"/>
      <c r="Y30" s="1136"/>
      <c r="Z30" s="1136"/>
      <c r="AA30" s="1136"/>
      <c r="AB30" s="1136"/>
      <c r="AC30" s="1136"/>
      <c r="AD30" s="1136"/>
      <c r="AE30" s="1136"/>
      <c r="AF30" s="1136"/>
      <c r="AG30" s="1136"/>
      <c r="AH30" s="1136"/>
      <c r="AI30" s="1136"/>
      <c r="AJ30" s="1136"/>
      <c r="AK30" s="1136"/>
    </row>
    <row r="31" spans="1:44" ht="42" customHeight="1" thickTop="1" thickBot="1">
      <c r="A31" s="1133"/>
      <c r="B31" s="1220"/>
      <c r="C31" s="1221"/>
      <c r="D31" s="1221"/>
      <c r="E31" s="1222" t="str">
        <f t="shared" si="0"/>
        <v/>
      </c>
      <c r="F31" s="1223" t="str">
        <f t="shared" ref="F31:F63" si="9">IF(ISBLANK(B31),"",F30)</f>
        <v/>
      </c>
      <c r="G31" s="1224"/>
      <c r="H31" s="1412" t="str">
        <f t="shared" ref="H31:H63" si="10">IF(G31=1,$Q$72,IF(G31=2,$Q$73,IF(G31=3,$Q$74,IF(G31=4,$Q$75,IF(G31=5,$Q$76,IF(G31=6,$Q$77,IF(G31=7,$Q$78,IF(G31=8,$Q$79,IF(G31=9,$Q$80,IF(G31=10,$Q$81,""))))))))))</f>
        <v/>
      </c>
      <c r="I31" s="1413" t="str">
        <f t="shared" ref="I31:I63" si="11">IF(H31=1,$C$8,IF(H31=2,$C$9, IF(H31=3,$C$10,"")))</f>
        <v/>
      </c>
      <c r="J31" s="1413" t="str">
        <f t="shared" ref="J31:J63" si="12">IF(I31=1,$C$8,IF(I31=2,$C$9, IF(I31=3,$C$10,"")))</f>
        <v/>
      </c>
      <c r="K31" s="1413" t="str">
        <f t="shared" ref="K31:K63" si="13">IF(J31=1,$C$8,IF(J31=2,$C$9, IF(J31=3,$C$10,"")))</f>
        <v/>
      </c>
      <c r="L31" s="1413" t="str">
        <f t="shared" ref="L31:L63" si="14">IF(K31=1,$C$8,IF(K31=2,$C$9, IF(K31=3,$C$10,"")))</f>
        <v/>
      </c>
      <c r="M31" s="1413" t="str">
        <f t="shared" ref="M31:M63" si="15">IF(L31=1,$C$8,IF(L31=2,$C$9, IF(L31=3,$C$10,"")))</f>
        <v/>
      </c>
      <c r="N31" s="1413" t="str">
        <f t="shared" ref="N31:N63" si="16">IF(M31=1,$C$8,IF(M31=2,$C$9, IF(M31=3,$C$10,"")))</f>
        <v/>
      </c>
      <c r="O31" s="1414" t="str">
        <f t="shared" ref="O31:O63" si="17">IF(N31=1,$C$8,IF(N31=2,$C$9, IF(N31=3,$C$10,"")))</f>
        <v/>
      </c>
      <c r="P31" s="1225"/>
      <c r="Q31" s="1418" t="s">
        <v>779</v>
      </c>
      <c r="R31" s="1418"/>
      <c r="S31" s="1226" t="s">
        <v>777</v>
      </c>
      <c r="T31" s="1443"/>
      <c r="U31" s="1443"/>
      <c r="V31" s="1147"/>
      <c r="W31" s="1134"/>
      <c r="X31" s="1136"/>
      <c r="Y31" s="1136"/>
      <c r="Z31" s="1136"/>
      <c r="AA31" s="1136"/>
      <c r="AB31" s="1136"/>
      <c r="AC31" s="1136"/>
      <c r="AD31" s="1136"/>
      <c r="AE31" s="1136"/>
      <c r="AF31" s="1136"/>
      <c r="AG31" s="1136"/>
      <c r="AH31" s="1136"/>
      <c r="AI31" s="1136"/>
      <c r="AJ31" s="1136"/>
      <c r="AK31" s="1136"/>
    </row>
    <row r="32" spans="1:44" ht="42" customHeight="1" thickTop="1" thickBot="1">
      <c r="A32" s="1133"/>
      <c r="B32" s="1220"/>
      <c r="C32" s="1221"/>
      <c r="D32" s="1221"/>
      <c r="E32" s="1222" t="str">
        <f t="shared" si="0"/>
        <v/>
      </c>
      <c r="F32" s="1223" t="str">
        <f t="shared" si="9"/>
        <v/>
      </c>
      <c r="G32" s="1224"/>
      <c r="H32" s="1412" t="str">
        <f t="shared" si="10"/>
        <v/>
      </c>
      <c r="I32" s="1413" t="str">
        <f t="shared" si="11"/>
        <v/>
      </c>
      <c r="J32" s="1413" t="str">
        <f t="shared" si="12"/>
        <v/>
      </c>
      <c r="K32" s="1413" t="str">
        <f t="shared" si="13"/>
        <v/>
      </c>
      <c r="L32" s="1413" t="str">
        <f t="shared" si="14"/>
        <v/>
      </c>
      <c r="M32" s="1413" t="str">
        <f t="shared" si="15"/>
        <v/>
      </c>
      <c r="N32" s="1413" t="str">
        <f t="shared" si="16"/>
        <v/>
      </c>
      <c r="O32" s="1414" t="str">
        <f t="shared" si="17"/>
        <v/>
      </c>
      <c r="P32" s="1225"/>
      <c r="Q32" s="1197"/>
      <c r="R32" s="1441" t="s">
        <v>776</v>
      </c>
      <c r="S32" s="1442"/>
      <c r="T32" s="1443"/>
      <c r="U32" s="1443"/>
      <c r="V32" s="1227"/>
      <c r="W32" s="1134"/>
      <c r="X32" s="1136"/>
      <c r="Y32" s="1136"/>
      <c r="Z32" s="1136"/>
      <c r="AA32" s="1136"/>
      <c r="AB32" s="1136"/>
      <c r="AC32" s="1136"/>
      <c r="AD32" s="1136"/>
      <c r="AE32" s="1136"/>
      <c r="AF32" s="1136"/>
      <c r="AG32" s="1136"/>
      <c r="AH32" s="1136"/>
      <c r="AI32" s="1136"/>
      <c r="AJ32" s="1136"/>
      <c r="AK32" s="1136"/>
    </row>
    <row r="33" spans="1:47" ht="42" customHeight="1" thickTop="1" thickBot="1">
      <c r="A33" s="1133"/>
      <c r="B33" s="1220"/>
      <c r="C33" s="1221"/>
      <c r="D33" s="1221"/>
      <c r="E33" s="1222" t="str">
        <f t="shared" si="0"/>
        <v/>
      </c>
      <c r="F33" s="1223" t="str">
        <f t="shared" si="9"/>
        <v/>
      </c>
      <c r="G33" s="1224"/>
      <c r="H33" s="1412" t="str">
        <f t="shared" si="10"/>
        <v/>
      </c>
      <c r="I33" s="1413" t="str">
        <f t="shared" si="11"/>
        <v/>
      </c>
      <c r="J33" s="1413" t="str">
        <f t="shared" si="12"/>
        <v/>
      </c>
      <c r="K33" s="1413" t="str">
        <f t="shared" si="13"/>
        <v/>
      </c>
      <c r="L33" s="1413" t="str">
        <f t="shared" si="14"/>
        <v/>
      </c>
      <c r="M33" s="1413" t="str">
        <f t="shared" si="15"/>
        <v/>
      </c>
      <c r="N33" s="1413" t="str">
        <f t="shared" si="16"/>
        <v/>
      </c>
      <c r="O33" s="1414" t="str">
        <f t="shared" si="17"/>
        <v/>
      </c>
      <c r="P33" s="1225"/>
      <c r="Q33" s="1418" t="s">
        <v>778</v>
      </c>
      <c r="R33" s="1197"/>
      <c r="S33" s="1226" t="s">
        <v>777</v>
      </c>
      <c r="T33" s="1443"/>
      <c r="U33" s="1443"/>
      <c r="V33" s="1147"/>
      <c r="W33" s="1134"/>
      <c r="X33" s="1136"/>
      <c r="Y33" s="1136"/>
      <c r="Z33" s="1136"/>
      <c r="AA33" s="1136"/>
      <c r="AB33" s="1136"/>
      <c r="AC33" s="1136"/>
      <c r="AD33" s="1136"/>
      <c r="AE33" s="1136"/>
      <c r="AF33" s="1136"/>
      <c r="AG33" s="1136"/>
      <c r="AH33" s="1136"/>
      <c r="AI33" s="1136"/>
      <c r="AJ33" s="1136"/>
      <c r="AK33" s="1136"/>
    </row>
    <row r="34" spans="1:47" ht="42" customHeight="1" thickBot="1">
      <c r="A34" s="1133"/>
      <c r="B34" s="1220"/>
      <c r="C34" s="1221"/>
      <c r="D34" s="1221"/>
      <c r="E34" s="1222" t="str">
        <f t="shared" si="0"/>
        <v/>
      </c>
      <c r="F34" s="1223" t="str">
        <f t="shared" si="9"/>
        <v/>
      </c>
      <c r="G34" s="1224"/>
      <c r="H34" s="1412" t="str">
        <f t="shared" si="10"/>
        <v/>
      </c>
      <c r="I34" s="1413" t="str">
        <f t="shared" si="11"/>
        <v/>
      </c>
      <c r="J34" s="1413" t="str">
        <f t="shared" si="12"/>
        <v/>
      </c>
      <c r="K34" s="1413" t="str">
        <f t="shared" si="13"/>
        <v/>
      </c>
      <c r="L34" s="1413" t="str">
        <f t="shared" si="14"/>
        <v/>
      </c>
      <c r="M34" s="1413" t="str">
        <f t="shared" si="15"/>
        <v/>
      </c>
      <c r="N34" s="1413" t="str">
        <f t="shared" si="16"/>
        <v/>
      </c>
      <c r="O34" s="1414" t="str">
        <f t="shared" si="17"/>
        <v/>
      </c>
      <c r="P34" s="1228"/>
      <c r="Q34" s="1444"/>
      <c r="R34" s="1441" t="s">
        <v>776</v>
      </c>
      <c r="S34" s="1442"/>
      <c r="T34" s="1445" t="str">
        <f>IF('Opt. DS Log Pg 4'!P46="",(IF('Opt. DS Log Pg 3'!P46="",'DS Log Pg 2'!P46,'Opt. DS Log Pg 3'!P46)),'Opt. DS Log Pg 4'!P46)</f>
        <v/>
      </c>
      <c r="U34" s="1445"/>
      <c r="V34" s="1147"/>
      <c r="W34" s="1134"/>
      <c r="X34" s="1136"/>
      <c r="Y34" s="1136"/>
      <c r="Z34" s="1136"/>
      <c r="AA34" s="1136"/>
      <c r="AB34" s="1136"/>
      <c r="AC34" s="1136"/>
      <c r="AD34" s="1136"/>
      <c r="AE34" s="1136"/>
      <c r="AF34" s="1136"/>
      <c r="AG34" s="1136"/>
      <c r="AH34" s="1136"/>
      <c r="AI34" s="1136"/>
      <c r="AJ34" s="1136"/>
      <c r="AK34" s="1136"/>
    </row>
    <row r="35" spans="1:47" ht="42" customHeight="1" thickTop="1" thickBot="1">
      <c r="A35" s="1133"/>
      <c r="B35" s="1220"/>
      <c r="C35" s="1221"/>
      <c r="D35" s="1221"/>
      <c r="E35" s="1222" t="str">
        <f t="shared" si="0"/>
        <v/>
      </c>
      <c r="F35" s="1223" t="str">
        <f t="shared" si="9"/>
        <v/>
      </c>
      <c r="G35" s="1224"/>
      <c r="H35" s="1412" t="str">
        <f t="shared" si="10"/>
        <v/>
      </c>
      <c r="I35" s="1413" t="str">
        <f t="shared" si="11"/>
        <v/>
      </c>
      <c r="J35" s="1413" t="str">
        <f t="shared" si="12"/>
        <v/>
      </c>
      <c r="K35" s="1413" t="str">
        <f t="shared" si="13"/>
        <v/>
      </c>
      <c r="L35" s="1413" t="str">
        <f t="shared" si="14"/>
        <v/>
      </c>
      <c r="M35" s="1413" t="str">
        <f t="shared" si="15"/>
        <v/>
      </c>
      <c r="N35" s="1413" t="str">
        <f t="shared" si="16"/>
        <v/>
      </c>
      <c r="O35" s="1414" t="str">
        <f t="shared" si="17"/>
        <v/>
      </c>
      <c r="P35" s="1229"/>
      <c r="Q35" s="1415" t="s">
        <v>775</v>
      </c>
      <c r="R35" s="1416"/>
      <c r="S35" s="1416"/>
      <c r="T35" s="1416"/>
      <c r="U35" s="1416"/>
      <c r="V35" s="1417"/>
      <c r="W35" s="1134"/>
      <c r="X35" s="1136"/>
      <c r="Y35" s="1136"/>
      <c r="Z35" s="1136"/>
      <c r="AA35" s="1136"/>
      <c r="AB35" s="1136"/>
      <c r="AC35" s="1136"/>
      <c r="AD35" s="1136"/>
      <c r="AE35" s="1136"/>
      <c r="AF35" s="1136"/>
      <c r="AG35" s="1136"/>
      <c r="AH35" s="1136"/>
      <c r="AI35" s="1136"/>
      <c r="AJ35" s="1136"/>
      <c r="AK35" s="1136"/>
    </row>
    <row r="36" spans="1:47" ht="42" customHeight="1" thickBot="1">
      <c r="A36" s="1133"/>
      <c r="B36" s="1220"/>
      <c r="C36" s="1221"/>
      <c r="D36" s="1221"/>
      <c r="E36" s="1222" t="str">
        <f t="shared" si="0"/>
        <v/>
      </c>
      <c r="F36" s="1223" t="str">
        <f t="shared" si="9"/>
        <v/>
      </c>
      <c r="G36" s="1224"/>
      <c r="H36" s="1412" t="str">
        <f t="shared" si="10"/>
        <v/>
      </c>
      <c r="I36" s="1413" t="str">
        <f t="shared" si="11"/>
        <v/>
      </c>
      <c r="J36" s="1413" t="str">
        <f t="shared" si="12"/>
        <v/>
      </c>
      <c r="K36" s="1413" t="str">
        <f t="shared" si="13"/>
        <v/>
      </c>
      <c r="L36" s="1413" t="str">
        <f t="shared" si="14"/>
        <v/>
      </c>
      <c r="M36" s="1413" t="str">
        <f t="shared" si="15"/>
        <v/>
      </c>
      <c r="N36" s="1413" t="str">
        <f t="shared" si="16"/>
        <v/>
      </c>
      <c r="O36" s="1414" t="str">
        <f t="shared" si="17"/>
        <v/>
      </c>
      <c r="P36" s="1225"/>
      <c r="Q36" s="1418" t="s">
        <v>774</v>
      </c>
      <c r="R36" s="1418"/>
      <c r="S36" s="1197"/>
      <c r="T36" s="1134"/>
      <c r="U36" s="1134"/>
      <c r="V36" s="1147"/>
      <c r="W36" s="1134"/>
      <c r="X36" s="1136"/>
      <c r="Y36" s="1136"/>
      <c r="Z36" s="1136"/>
      <c r="AA36" s="1136"/>
      <c r="AB36" s="1136"/>
      <c r="AC36" s="1136"/>
      <c r="AD36" s="1136"/>
      <c r="AE36" s="1136"/>
      <c r="AF36" s="1136"/>
      <c r="AG36" s="1136"/>
      <c r="AH36" s="1136"/>
      <c r="AI36" s="1136"/>
      <c r="AJ36" s="1136"/>
      <c r="AK36" s="1136"/>
    </row>
    <row r="37" spans="1:47" ht="42" customHeight="1" thickBot="1">
      <c r="A37" s="1133"/>
      <c r="B37" s="1220"/>
      <c r="C37" s="1221"/>
      <c r="D37" s="1221"/>
      <c r="E37" s="1222" t="str">
        <f t="shared" si="0"/>
        <v/>
      </c>
      <c r="F37" s="1223" t="str">
        <f t="shared" si="9"/>
        <v/>
      </c>
      <c r="G37" s="1224"/>
      <c r="H37" s="1412" t="str">
        <f t="shared" si="10"/>
        <v/>
      </c>
      <c r="I37" s="1413" t="str">
        <f t="shared" si="11"/>
        <v/>
      </c>
      <c r="J37" s="1413" t="str">
        <f t="shared" si="12"/>
        <v/>
      </c>
      <c r="K37" s="1413" t="str">
        <f t="shared" si="13"/>
        <v/>
      </c>
      <c r="L37" s="1413" t="str">
        <f t="shared" si="14"/>
        <v/>
      </c>
      <c r="M37" s="1413" t="str">
        <f t="shared" si="15"/>
        <v/>
      </c>
      <c r="N37" s="1413" t="str">
        <f t="shared" si="16"/>
        <v/>
      </c>
      <c r="O37" s="1414" t="str">
        <f t="shared" si="17"/>
        <v/>
      </c>
      <c r="P37" s="1225"/>
      <c r="Q37" s="1197"/>
      <c r="R37" s="1441" t="s">
        <v>773</v>
      </c>
      <c r="S37" s="1441"/>
      <c r="T37" s="1435"/>
      <c r="U37" s="1436"/>
      <c r="V37" s="1147"/>
      <c r="W37" s="1134"/>
      <c r="X37" s="1136"/>
      <c r="Y37" s="1136"/>
      <c r="Z37" s="1136"/>
      <c r="AA37" s="1136"/>
      <c r="AB37" s="1136"/>
      <c r="AC37" s="1136"/>
      <c r="AD37" s="1136"/>
      <c r="AE37" s="1136"/>
      <c r="AF37" s="1136"/>
      <c r="AG37" s="1136"/>
      <c r="AH37" s="1136"/>
      <c r="AI37" s="1136"/>
      <c r="AJ37" s="1136"/>
      <c r="AK37" s="1136"/>
    </row>
    <row r="38" spans="1:47" ht="42" customHeight="1" thickBot="1">
      <c r="A38" s="1133"/>
      <c r="B38" s="1220"/>
      <c r="C38" s="1221"/>
      <c r="D38" s="1221"/>
      <c r="E38" s="1222" t="str">
        <f t="shared" si="0"/>
        <v/>
      </c>
      <c r="F38" s="1223" t="str">
        <f t="shared" si="9"/>
        <v/>
      </c>
      <c r="G38" s="1224"/>
      <c r="H38" s="1412" t="str">
        <f t="shared" si="10"/>
        <v/>
      </c>
      <c r="I38" s="1413" t="str">
        <f t="shared" si="11"/>
        <v/>
      </c>
      <c r="J38" s="1413" t="str">
        <f t="shared" si="12"/>
        <v/>
      </c>
      <c r="K38" s="1413" t="str">
        <f t="shared" si="13"/>
        <v/>
      </c>
      <c r="L38" s="1413" t="str">
        <f t="shared" si="14"/>
        <v/>
      </c>
      <c r="M38" s="1413" t="str">
        <f t="shared" si="15"/>
        <v/>
      </c>
      <c r="N38" s="1413" t="str">
        <f t="shared" si="16"/>
        <v/>
      </c>
      <c r="O38" s="1414" t="str">
        <f t="shared" si="17"/>
        <v/>
      </c>
      <c r="P38" s="1225"/>
      <c r="Q38" s="1197"/>
      <c r="R38" s="1441" t="s">
        <v>772</v>
      </c>
      <c r="S38" s="1441"/>
      <c r="T38" s="1435"/>
      <c r="U38" s="1436"/>
      <c r="V38" s="1147"/>
      <c r="W38" s="1134"/>
      <c r="X38" s="1136"/>
      <c r="Y38" s="1136"/>
      <c r="Z38" s="1136"/>
      <c r="AA38" s="1136"/>
      <c r="AB38" s="1136"/>
      <c r="AC38" s="1136"/>
      <c r="AD38" s="1136"/>
      <c r="AE38" s="1136"/>
      <c r="AF38" s="1136"/>
      <c r="AG38" s="1230"/>
      <c r="AH38" s="1230"/>
      <c r="AI38" s="1230"/>
      <c r="AJ38" s="1230"/>
      <c r="AK38" s="1230"/>
    </row>
    <row r="39" spans="1:47" ht="42" customHeight="1" thickBot="1">
      <c r="A39" s="1133"/>
      <c r="B39" s="1220"/>
      <c r="C39" s="1221"/>
      <c r="D39" s="1221"/>
      <c r="E39" s="1222" t="str">
        <f t="shared" si="0"/>
        <v/>
      </c>
      <c r="F39" s="1223" t="str">
        <f t="shared" si="9"/>
        <v/>
      </c>
      <c r="G39" s="1224"/>
      <c r="H39" s="1412" t="str">
        <f t="shared" si="10"/>
        <v/>
      </c>
      <c r="I39" s="1413" t="str">
        <f t="shared" si="11"/>
        <v/>
      </c>
      <c r="J39" s="1413" t="str">
        <f t="shared" si="12"/>
        <v/>
      </c>
      <c r="K39" s="1413" t="str">
        <f t="shared" si="13"/>
        <v/>
      </c>
      <c r="L39" s="1413" t="str">
        <f t="shared" si="14"/>
        <v/>
      </c>
      <c r="M39" s="1413" t="str">
        <f t="shared" si="15"/>
        <v/>
      </c>
      <c r="N39" s="1413" t="str">
        <f t="shared" si="16"/>
        <v/>
      </c>
      <c r="O39" s="1414" t="str">
        <f t="shared" si="17"/>
        <v/>
      </c>
      <c r="P39" s="1225"/>
      <c r="Q39" s="1418" t="s">
        <v>771</v>
      </c>
      <c r="R39" s="1418"/>
      <c r="S39" s="1143"/>
      <c r="T39" s="1435"/>
      <c r="U39" s="1436"/>
      <c r="V39" s="1147"/>
      <c r="W39" s="1134"/>
      <c r="X39" s="1136"/>
      <c r="Y39" s="1136"/>
      <c r="Z39" s="1136"/>
      <c r="AA39" s="1136"/>
      <c r="AB39" s="1136"/>
      <c r="AC39" s="1136"/>
      <c r="AD39" s="1136"/>
      <c r="AE39" s="1136"/>
      <c r="AF39" s="1136"/>
      <c r="AG39" s="1230"/>
      <c r="AH39" s="1230"/>
      <c r="AI39" s="1230"/>
      <c r="AJ39" s="1230"/>
      <c r="AK39" s="1230"/>
    </row>
    <row r="40" spans="1:47" ht="42" customHeight="1" thickBot="1">
      <c r="A40" s="1133"/>
      <c r="B40" s="1220"/>
      <c r="C40" s="1221"/>
      <c r="D40" s="1221"/>
      <c r="E40" s="1222" t="str">
        <f t="shared" si="0"/>
        <v/>
      </c>
      <c r="F40" s="1223" t="str">
        <f t="shared" si="9"/>
        <v/>
      </c>
      <c r="G40" s="1224"/>
      <c r="H40" s="1412" t="str">
        <f t="shared" si="10"/>
        <v/>
      </c>
      <c r="I40" s="1413" t="str">
        <f t="shared" si="11"/>
        <v/>
      </c>
      <c r="J40" s="1413" t="str">
        <f t="shared" si="12"/>
        <v/>
      </c>
      <c r="K40" s="1413" t="str">
        <f t="shared" si="13"/>
        <v/>
      </c>
      <c r="L40" s="1413" t="str">
        <f t="shared" si="14"/>
        <v/>
      </c>
      <c r="M40" s="1413" t="str">
        <f t="shared" si="15"/>
        <v/>
      </c>
      <c r="N40" s="1413" t="str">
        <f t="shared" si="16"/>
        <v/>
      </c>
      <c r="O40" s="1414" t="str">
        <f t="shared" si="17"/>
        <v/>
      </c>
      <c r="P40" s="1225"/>
      <c r="Q40" s="1418" t="s">
        <v>770</v>
      </c>
      <c r="R40" s="1418"/>
      <c r="S40" s="1418"/>
      <c r="T40" s="1435"/>
      <c r="U40" s="1436"/>
      <c r="V40" s="1147"/>
      <c r="W40" s="1134"/>
      <c r="X40" s="1136"/>
      <c r="Y40" s="1136"/>
      <c r="Z40" s="1136"/>
      <c r="AA40" s="1231"/>
      <c r="AB40" s="1232" t="s">
        <v>977</v>
      </c>
      <c r="AC40" s="1233"/>
      <c r="AD40" s="1233"/>
      <c r="AE40" s="1233"/>
      <c r="AF40" s="1233"/>
      <c r="AG40" s="1234"/>
      <c r="AH40" s="1235"/>
      <c r="AI40" s="1230"/>
      <c r="AJ40" s="1230"/>
      <c r="AK40" s="1230"/>
      <c r="AN40" s="1136"/>
      <c r="AO40" s="1136"/>
      <c r="AP40" s="1136"/>
      <c r="AQ40" s="1136"/>
      <c r="AR40" s="1136"/>
      <c r="AS40" s="1136"/>
      <c r="AT40" s="1136"/>
      <c r="AU40" s="1136"/>
    </row>
    <row r="41" spans="1:47" ht="42" customHeight="1" thickBot="1">
      <c r="A41" s="1133"/>
      <c r="B41" s="1220"/>
      <c r="C41" s="1221"/>
      <c r="D41" s="1221"/>
      <c r="E41" s="1222" t="str">
        <f t="shared" si="0"/>
        <v/>
      </c>
      <c r="F41" s="1223" t="str">
        <f t="shared" si="9"/>
        <v/>
      </c>
      <c r="G41" s="1224"/>
      <c r="H41" s="1412" t="str">
        <f t="shared" si="10"/>
        <v/>
      </c>
      <c r="I41" s="1413" t="str">
        <f t="shared" si="11"/>
        <v/>
      </c>
      <c r="J41" s="1413" t="str">
        <f t="shared" si="12"/>
        <v/>
      </c>
      <c r="K41" s="1413" t="str">
        <f t="shared" si="13"/>
        <v/>
      </c>
      <c r="L41" s="1413" t="str">
        <f t="shared" si="14"/>
        <v/>
      </c>
      <c r="M41" s="1413" t="str">
        <f t="shared" si="15"/>
        <v/>
      </c>
      <c r="N41" s="1413" t="str">
        <f t="shared" si="16"/>
        <v/>
      </c>
      <c r="O41" s="1414" t="str">
        <f t="shared" si="17"/>
        <v/>
      </c>
      <c r="P41" s="1225"/>
      <c r="Q41" s="1418" t="s">
        <v>769</v>
      </c>
      <c r="R41" s="1418"/>
      <c r="S41" s="1418"/>
      <c r="T41" s="1435"/>
      <c r="U41" s="1436"/>
      <c r="V41" s="1147"/>
      <c r="W41" s="1134"/>
      <c r="X41" s="1136"/>
      <c r="Y41" s="1136"/>
      <c r="Z41" s="1136"/>
      <c r="AA41" s="1236">
        <f>O72</f>
        <v>1</v>
      </c>
      <c r="AB41" s="1237">
        <f>Q72</f>
        <v>0</v>
      </c>
      <c r="AC41" s="1238"/>
      <c r="AD41" s="1239"/>
      <c r="AE41" s="1239"/>
      <c r="AF41" s="1239"/>
      <c r="AG41" s="1240"/>
      <c r="AH41" s="1241"/>
      <c r="AI41" s="1230"/>
      <c r="AJ41" s="1230"/>
      <c r="AK41" s="1230"/>
    </row>
    <row r="42" spans="1:47" ht="42" customHeight="1" thickBot="1">
      <c r="A42" s="1133"/>
      <c r="B42" s="1220"/>
      <c r="C42" s="1221"/>
      <c r="D42" s="1221"/>
      <c r="E42" s="1222" t="str">
        <f t="shared" si="0"/>
        <v/>
      </c>
      <c r="F42" s="1223" t="str">
        <f t="shared" si="9"/>
        <v/>
      </c>
      <c r="G42" s="1224"/>
      <c r="H42" s="1412" t="str">
        <f t="shared" si="10"/>
        <v/>
      </c>
      <c r="I42" s="1413" t="str">
        <f t="shared" si="11"/>
        <v/>
      </c>
      <c r="J42" s="1413" t="str">
        <f t="shared" si="12"/>
        <v/>
      </c>
      <c r="K42" s="1413" t="str">
        <f t="shared" si="13"/>
        <v/>
      </c>
      <c r="L42" s="1413" t="str">
        <f t="shared" si="14"/>
        <v/>
      </c>
      <c r="M42" s="1413" t="str">
        <f t="shared" si="15"/>
        <v/>
      </c>
      <c r="N42" s="1413" t="str">
        <f t="shared" si="16"/>
        <v/>
      </c>
      <c r="O42" s="1414" t="str">
        <f t="shared" si="17"/>
        <v/>
      </c>
      <c r="P42" s="1225"/>
      <c r="Q42" s="1437" t="s">
        <v>768</v>
      </c>
      <c r="R42" s="1418"/>
      <c r="S42" s="1418"/>
      <c r="T42" s="1438"/>
      <c r="U42" s="1436"/>
      <c r="V42" s="1147"/>
      <c r="W42" s="1134"/>
      <c r="X42" s="1136"/>
      <c r="Y42" s="1136"/>
      <c r="Z42" s="1136"/>
      <c r="AA42" s="1236">
        <f t="shared" ref="AA42:AA50" si="18">O73</f>
        <v>2</v>
      </c>
      <c r="AB42" s="1237">
        <f t="shared" ref="AB42:AB47" si="19">Q73</f>
        <v>0</v>
      </c>
      <c r="AC42" s="1238"/>
      <c r="AD42" s="1239"/>
      <c r="AE42" s="1239"/>
      <c r="AF42" s="1239"/>
      <c r="AG42" s="1240"/>
      <c r="AH42" s="1241"/>
      <c r="AI42" s="1230"/>
      <c r="AJ42" s="1230"/>
      <c r="AK42" s="1230"/>
    </row>
    <row r="43" spans="1:47" ht="42" customHeight="1" thickBot="1">
      <c r="A43" s="1133"/>
      <c r="B43" s="1220"/>
      <c r="C43" s="1221"/>
      <c r="D43" s="1221"/>
      <c r="E43" s="1222" t="str">
        <f t="shared" si="0"/>
        <v/>
      </c>
      <c r="F43" s="1223" t="str">
        <f t="shared" si="9"/>
        <v/>
      </c>
      <c r="G43" s="1224"/>
      <c r="H43" s="1412" t="str">
        <f t="shared" si="10"/>
        <v/>
      </c>
      <c r="I43" s="1413" t="str">
        <f t="shared" si="11"/>
        <v/>
      </c>
      <c r="J43" s="1413" t="str">
        <f t="shared" si="12"/>
        <v/>
      </c>
      <c r="K43" s="1413" t="str">
        <f t="shared" si="13"/>
        <v/>
      </c>
      <c r="L43" s="1413" t="str">
        <f t="shared" si="14"/>
        <v/>
      </c>
      <c r="M43" s="1413" t="str">
        <f t="shared" si="15"/>
        <v/>
      </c>
      <c r="N43" s="1413" t="str">
        <f t="shared" si="16"/>
        <v/>
      </c>
      <c r="O43" s="1414" t="str">
        <f t="shared" si="17"/>
        <v/>
      </c>
      <c r="P43" s="1225"/>
      <c r="Q43" s="1418" t="s">
        <v>988</v>
      </c>
      <c r="R43" s="1418"/>
      <c r="S43" s="1418"/>
      <c r="T43" s="1439" t="str">
        <f>IF(T32="","",IF(T34="","",$T$32-$T$34))</f>
        <v/>
      </c>
      <c r="U43" s="1440"/>
      <c r="V43" s="1227"/>
      <c r="W43" s="1134"/>
      <c r="X43" s="1136"/>
      <c r="Y43" s="1136"/>
      <c r="Z43" s="1136"/>
      <c r="AA43" s="1236">
        <f t="shared" si="18"/>
        <v>3</v>
      </c>
      <c r="AB43" s="1237">
        <f t="shared" si="19"/>
        <v>0</v>
      </c>
      <c r="AC43" s="1238"/>
      <c r="AD43" s="1239"/>
      <c r="AE43" s="1239"/>
      <c r="AF43" s="1239"/>
      <c r="AG43" s="1240"/>
      <c r="AH43" s="1241"/>
      <c r="AI43" s="1230"/>
      <c r="AJ43" s="1230"/>
      <c r="AK43" s="1230"/>
    </row>
    <row r="44" spans="1:47" ht="42" customHeight="1" thickBot="1">
      <c r="A44" s="1133"/>
      <c r="B44" s="1220"/>
      <c r="C44" s="1221"/>
      <c r="D44" s="1221"/>
      <c r="E44" s="1222" t="str">
        <f t="shared" si="0"/>
        <v/>
      </c>
      <c r="F44" s="1223" t="str">
        <f t="shared" si="9"/>
        <v/>
      </c>
      <c r="G44" s="1224"/>
      <c r="H44" s="1412" t="str">
        <f t="shared" si="10"/>
        <v/>
      </c>
      <c r="I44" s="1413" t="str">
        <f t="shared" si="11"/>
        <v/>
      </c>
      <c r="J44" s="1413" t="str">
        <f t="shared" si="12"/>
        <v/>
      </c>
      <c r="K44" s="1413" t="str">
        <f t="shared" si="13"/>
        <v/>
      </c>
      <c r="L44" s="1413" t="str">
        <f t="shared" si="14"/>
        <v/>
      </c>
      <c r="M44" s="1413" t="str">
        <f t="shared" si="15"/>
        <v/>
      </c>
      <c r="N44" s="1413" t="str">
        <f t="shared" si="16"/>
        <v/>
      </c>
      <c r="O44" s="1414" t="str">
        <f t="shared" si="17"/>
        <v/>
      </c>
      <c r="P44" s="1242"/>
      <c r="Q44" s="1197"/>
      <c r="R44" s="1153"/>
      <c r="S44" s="1153"/>
      <c r="T44" s="1153"/>
      <c r="U44" s="1153"/>
      <c r="V44" s="1154"/>
      <c r="W44" s="1134"/>
      <c r="X44" s="1136"/>
      <c r="Y44" s="1136"/>
      <c r="Z44" s="1136"/>
      <c r="AA44" s="1236">
        <f t="shared" si="18"/>
        <v>4</v>
      </c>
      <c r="AB44" s="1237">
        <f t="shared" si="19"/>
        <v>0</v>
      </c>
      <c r="AC44" s="1238"/>
      <c r="AD44" s="1239"/>
      <c r="AE44" s="1239"/>
      <c r="AF44" s="1239"/>
      <c r="AG44" s="1240"/>
      <c r="AH44" s="1241"/>
      <c r="AI44" s="1230"/>
      <c r="AJ44" s="1230"/>
      <c r="AK44" s="1230"/>
    </row>
    <row r="45" spans="1:47" ht="42" customHeight="1" thickTop="1" thickBot="1">
      <c r="A45" s="1133"/>
      <c r="B45" s="1220"/>
      <c r="C45" s="1221"/>
      <c r="D45" s="1221"/>
      <c r="E45" s="1222" t="str">
        <f t="shared" si="0"/>
        <v/>
      </c>
      <c r="F45" s="1223" t="str">
        <f t="shared" si="9"/>
        <v/>
      </c>
      <c r="G45" s="1224"/>
      <c r="H45" s="1412" t="str">
        <f t="shared" si="10"/>
        <v/>
      </c>
      <c r="I45" s="1413" t="str">
        <f t="shared" si="11"/>
        <v/>
      </c>
      <c r="J45" s="1413" t="str">
        <f t="shared" si="12"/>
        <v/>
      </c>
      <c r="K45" s="1413" t="str">
        <f t="shared" si="13"/>
        <v/>
      </c>
      <c r="L45" s="1413" t="str">
        <f t="shared" si="14"/>
        <v/>
      </c>
      <c r="M45" s="1413" t="str">
        <f t="shared" si="15"/>
        <v/>
      </c>
      <c r="N45" s="1413" t="str">
        <f t="shared" si="16"/>
        <v/>
      </c>
      <c r="O45" s="1414" t="str">
        <f t="shared" si="17"/>
        <v/>
      </c>
      <c r="P45" s="1225"/>
      <c r="Q45" s="1415" t="s">
        <v>767</v>
      </c>
      <c r="R45" s="1416"/>
      <c r="S45" s="1416"/>
      <c r="T45" s="1416"/>
      <c r="U45" s="1416"/>
      <c r="V45" s="1417"/>
      <c r="W45" s="1134"/>
      <c r="X45" s="1136"/>
      <c r="Y45" s="1136"/>
      <c r="Z45" s="1136"/>
      <c r="AA45" s="1236">
        <f t="shared" si="18"/>
        <v>5</v>
      </c>
      <c r="AB45" s="1237">
        <f t="shared" si="19"/>
        <v>0</v>
      </c>
      <c r="AC45" s="1238"/>
      <c r="AD45" s="1239"/>
      <c r="AE45" s="1239"/>
      <c r="AF45" s="1239"/>
      <c r="AG45" s="1240"/>
      <c r="AH45" s="1241"/>
      <c r="AI45" s="1230"/>
      <c r="AJ45" s="1230"/>
      <c r="AK45" s="1230"/>
    </row>
    <row r="46" spans="1:47" ht="42" customHeight="1" thickBot="1">
      <c r="A46" s="1133"/>
      <c r="B46" s="1220"/>
      <c r="C46" s="1221"/>
      <c r="D46" s="1221"/>
      <c r="E46" s="1222" t="str">
        <f t="shared" si="0"/>
        <v/>
      </c>
      <c r="F46" s="1223" t="str">
        <f t="shared" si="9"/>
        <v/>
      </c>
      <c r="G46" s="1224"/>
      <c r="H46" s="1412" t="str">
        <f t="shared" si="10"/>
        <v/>
      </c>
      <c r="I46" s="1413" t="str">
        <f t="shared" si="11"/>
        <v/>
      </c>
      <c r="J46" s="1413" t="str">
        <f t="shared" si="12"/>
        <v/>
      </c>
      <c r="K46" s="1413" t="str">
        <f t="shared" si="13"/>
        <v/>
      </c>
      <c r="L46" s="1413" t="str">
        <f t="shared" si="14"/>
        <v/>
      </c>
      <c r="M46" s="1413" t="str">
        <f t="shared" si="15"/>
        <v/>
      </c>
      <c r="N46" s="1413" t="str">
        <f t="shared" si="16"/>
        <v/>
      </c>
      <c r="O46" s="1414" t="str">
        <f t="shared" si="17"/>
        <v/>
      </c>
      <c r="P46" s="1225"/>
      <c r="Q46" s="1418" t="s">
        <v>766</v>
      </c>
      <c r="R46" s="1418"/>
      <c r="S46" s="1134"/>
      <c r="T46" s="1134"/>
      <c r="U46" s="1243" t="str">
        <f>IF('Concr. Pg 1'!BO106="","",'Concr. Pg 1'!BO106)</f>
        <v/>
      </c>
      <c r="V46" s="1147"/>
      <c r="W46" s="1134"/>
      <c r="X46" s="1136"/>
      <c r="Y46" s="1136"/>
      <c r="Z46" s="1136"/>
      <c r="AA46" s="1236">
        <f t="shared" si="18"/>
        <v>6</v>
      </c>
      <c r="AB46" s="1237">
        <f t="shared" si="19"/>
        <v>0</v>
      </c>
      <c r="AC46" s="1238"/>
      <c r="AD46" s="1239"/>
      <c r="AE46" s="1239"/>
      <c r="AF46" s="1239"/>
      <c r="AG46" s="1240"/>
      <c r="AH46" s="1241"/>
      <c r="AI46" s="1230"/>
      <c r="AJ46" s="1230"/>
      <c r="AK46" s="1230"/>
    </row>
    <row r="47" spans="1:47" ht="42" customHeight="1" thickBot="1">
      <c r="A47" s="1133"/>
      <c r="B47" s="1220"/>
      <c r="C47" s="1221"/>
      <c r="D47" s="1221"/>
      <c r="E47" s="1222" t="str">
        <f t="shared" si="0"/>
        <v/>
      </c>
      <c r="F47" s="1223" t="str">
        <f t="shared" si="9"/>
        <v/>
      </c>
      <c r="G47" s="1224"/>
      <c r="H47" s="1412" t="str">
        <f t="shared" si="10"/>
        <v/>
      </c>
      <c r="I47" s="1413" t="str">
        <f t="shared" si="11"/>
        <v/>
      </c>
      <c r="J47" s="1413" t="str">
        <f t="shared" si="12"/>
        <v/>
      </c>
      <c r="K47" s="1413" t="str">
        <f t="shared" si="13"/>
        <v/>
      </c>
      <c r="L47" s="1413" t="str">
        <f t="shared" si="14"/>
        <v/>
      </c>
      <c r="M47" s="1413" t="str">
        <f t="shared" si="15"/>
        <v/>
      </c>
      <c r="N47" s="1413" t="str">
        <f t="shared" si="16"/>
        <v/>
      </c>
      <c r="O47" s="1414" t="str">
        <f t="shared" si="17"/>
        <v/>
      </c>
      <c r="P47" s="1225"/>
      <c r="Q47" s="1418" t="s">
        <v>765</v>
      </c>
      <c r="R47" s="1418"/>
      <c r="S47" s="1134"/>
      <c r="T47" s="1134"/>
      <c r="U47" s="1243" t="str">
        <f>'Concr. Pg 1'!BL94</f>
        <v/>
      </c>
      <c r="V47" s="1147"/>
      <c r="W47" s="1134"/>
      <c r="X47" s="1136"/>
      <c r="Y47" s="1136"/>
      <c r="Z47" s="1136"/>
      <c r="AA47" s="1236">
        <f t="shared" si="18"/>
        <v>7</v>
      </c>
      <c r="AB47" s="1237">
        <f t="shared" si="19"/>
        <v>0</v>
      </c>
      <c r="AC47" s="1238"/>
      <c r="AD47" s="1239"/>
      <c r="AE47" s="1239"/>
      <c r="AF47" s="1239"/>
      <c r="AG47" s="1240"/>
      <c r="AH47" s="1241"/>
      <c r="AI47" s="1230"/>
      <c r="AJ47" s="1230"/>
      <c r="AK47" s="1230"/>
    </row>
    <row r="48" spans="1:47" ht="42" customHeight="1" thickBot="1">
      <c r="A48" s="1133"/>
      <c r="B48" s="1220"/>
      <c r="C48" s="1221"/>
      <c r="D48" s="1221"/>
      <c r="E48" s="1222" t="str">
        <f t="shared" si="0"/>
        <v/>
      </c>
      <c r="F48" s="1223" t="str">
        <f t="shared" si="9"/>
        <v/>
      </c>
      <c r="G48" s="1224"/>
      <c r="H48" s="1412" t="str">
        <f t="shared" si="10"/>
        <v/>
      </c>
      <c r="I48" s="1413" t="str">
        <f t="shared" si="11"/>
        <v/>
      </c>
      <c r="J48" s="1413" t="str">
        <f t="shared" si="12"/>
        <v/>
      </c>
      <c r="K48" s="1413" t="str">
        <f t="shared" si="13"/>
        <v/>
      </c>
      <c r="L48" s="1413" t="str">
        <f t="shared" si="14"/>
        <v/>
      </c>
      <c r="M48" s="1413" t="str">
        <f t="shared" si="15"/>
        <v/>
      </c>
      <c r="N48" s="1413" t="str">
        <f t="shared" si="16"/>
        <v/>
      </c>
      <c r="O48" s="1414" t="str">
        <f t="shared" si="17"/>
        <v/>
      </c>
      <c r="P48" s="1225"/>
      <c r="Q48" s="1418" t="s">
        <v>764</v>
      </c>
      <c r="R48" s="1418"/>
      <c r="S48" s="1134"/>
      <c r="T48" s="1134"/>
      <c r="U48" s="1243" t="str">
        <f>IF(OR(U46="",(U47)=""),"", U47/U46)</f>
        <v/>
      </c>
      <c r="V48" s="1147"/>
      <c r="W48" s="1134"/>
      <c r="X48" s="1136"/>
      <c r="Y48" s="1136"/>
      <c r="Z48" s="1136"/>
      <c r="AA48" s="1236">
        <f t="shared" si="18"/>
        <v>8</v>
      </c>
      <c r="AB48" s="1237">
        <f t="shared" ref="AB48:AB50" si="20">Q79</f>
        <v>0</v>
      </c>
      <c r="AC48" s="1238"/>
      <c r="AD48" s="1239"/>
      <c r="AE48" s="1239"/>
      <c r="AF48" s="1239"/>
      <c r="AG48" s="1240"/>
      <c r="AH48" s="1241"/>
      <c r="AI48" s="1230"/>
      <c r="AJ48" s="1230"/>
      <c r="AK48" s="1230"/>
    </row>
    <row r="49" spans="1:37" ht="42" customHeight="1" thickBot="1">
      <c r="A49" s="1133"/>
      <c r="B49" s="1220"/>
      <c r="C49" s="1221"/>
      <c r="D49" s="1221"/>
      <c r="E49" s="1222" t="str">
        <f t="shared" si="0"/>
        <v/>
      </c>
      <c r="F49" s="1223" t="str">
        <f t="shared" si="9"/>
        <v/>
      </c>
      <c r="G49" s="1224"/>
      <c r="H49" s="1412" t="str">
        <f t="shared" si="10"/>
        <v/>
      </c>
      <c r="I49" s="1413" t="str">
        <f t="shared" si="11"/>
        <v/>
      </c>
      <c r="J49" s="1413" t="str">
        <f t="shared" si="12"/>
        <v/>
      </c>
      <c r="K49" s="1413" t="str">
        <f t="shared" si="13"/>
        <v/>
      </c>
      <c r="L49" s="1413" t="str">
        <f t="shared" si="14"/>
        <v/>
      </c>
      <c r="M49" s="1413" t="str">
        <f t="shared" si="15"/>
        <v/>
      </c>
      <c r="N49" s="1413" t="str">
        <f t="shared" si="16"/>
        <v/>
      </c>
      <c r="O49" s="1414" t="str">
        <f t="shared" si="17"/>
        <v/>
      </c>
      <c r="P49" s="1391" t="s">
        <v>679</v>
      </c>
      <c r="Q49" s="1392"/>
      <c r="R49" s="1134"/>
      <c r="S49" s="1134"/>
      <c r="T49" s="1134"/>
      <c r="U49" s="1134"/>
      <c r="V49" s="1147"/>
      <c r="W49" s="1134"/>
      <c r="X49" s="1136"/>
      <c r="Y49" s="1136"/>
      <c r="Z49" s="1136"/>
      <c r="AA49" s="1236">
        <f t="shared" si="18"/>
        <v>9</v>
      </c>
      <c r="AB49" s="1237">
        <f t="shared" si="20"/>
        <v>0</v>
      </c>
      <c r="AC49" s="1238"/>
      <c r="AD49" s="1239"/>
      <c r="AE49" s="1239"/>
      <c r="AF49" s="1239"/>
      <c r="AG49" s="1240"/>
      <c r="AH49" s="1241"/>
      <c r="AI49" s="1230"/>
      <c r="AJ49" s="1230"/>
      <c r="AK49" s="1230"/>
    </row>
    <row r="50" spans="1:37" ht="42" customHeight="1" thickBot="1">
      <c r="A50" s="1133"/>
      <c r="B50" s="1220"/>
      <c r="C50" s="1221"/>
      <c r="D50" s="1221"/>
      <c r="E50" s="1222" t="str">
        <f t="shared" si="0"/>
        <v/>
      </c>
      <c r="F50" s="1223" t="str">
        <f t="shared" si="9"/>
        <v/>
      </c>
      <c r="G50" s="1224"/>
      <c r="H50" s="1412" t="str">
        <f t="shared" si="10"/>
        <v/>
      </c>
      <c r="I50" s="1413" t="str">
        <f t="shared" si="11"/>
        <v/>
      </c>
      <c r="J50" s="1413" t="str">
        <f t="shared" si="12"/>
        <v/>
      </c>
      <c r="K50" s="1413" t="str">
        <f t="shared" si="13"/>
        <v/>
      </c>
      <c r="L50" s="1413" t="str">
        <f t="shared" si="14"/>
        <v/>
      </c>
      <c r="M50" s="1413" t="str">
        <f t="shared" si="15"/>
        <v/>
      </c>
      <c r="N50" s="1413" t="str">
        <f t="shared" si="16"/>
        <v/>
      </c>
      <c r="O50" s="1414" t="str">
        <f t="shared" si="17"/>
        <v/>
      </c>
      <c r="P50" s="1393"/>
      <c r="Q50" s="1394"/>
      <c r="R50" s="1395"/>
      <c r="S50" s="1395"/>
      <c r="T50" s="1395"/>
      <c r="U50" s="1395"/>
      <c r="V50" s="1396"/>
      <c r="W50" s="1134"/>
      <c r="X50" s="1136"/>
      <c r="Y50" s="1136"/>
      <c r="Z50" s="1136"/>
      <c r="AA50" s="1244">
        <f t="shared" si="18"/>
        <v>10</v>
      </c>
      <c r="AB50" s="1245">
        <f t="shared" si="20"/>
        <v>0</v>
      </c>
      <c r="AC50" s="1246"/>
      <c r="AD50" s="1247"/>
      <c r="AE50" s="1247"/>
      <c r="AF50" s="1247"/>
      <c r="AG50" s="1248"/>
      <c r="AH50" s="1249"/>
      <c r="AI50" s="1230"/>
      <c r="AJ50" s="1230"/>
      <c r="AK50" s="1230"/>
    </row>
    <row r="51" spans="1:37" ht="42" customHeight="1" thickBot="1">
      <c r="A51" s="1133"/>
      <c r="B51" s="1220"/>
      <c r="C51" s="1221"/>
      <c r="D51" s="1221"/>
      <c r="E51" s="1222" t="str">
        <f t="shared" si="0"/>
        <v/>
      </c>
      <c r="F51" s="1223" t="str">
        <f t="shared" si="9"/>
        <v/>
      </c>
      <c r="G51" s="1224"/>
      <c r="H51" s="1412" t="str">
        <f t="shared" si="10"/>
        <v/>
      </c>
      <c r="I51" s="1413" t="str">
        <f t="shared" si="11"/>
        <v/>
      </c>
      <c r="J51" s="1413" t="str">
        <f t="shared" si="12"/>
        <v/>
      </c>
      <c r="K51" s="1413" t="str">
        <f t="shared" si="13"/>
        <v/>
      </c>
      <c r="L51" s="1413" t="str">
        <f t="shared" si="14"/>
        <v/>
      </c>
      <c r="M51" s="1413" t="str">
        <f t="shared" si="15"/>
        <v/>
      </c>
      <c r="N51" s="1413" t="str">
        <f t="shared" si="16"/>
        <v/>
      </c>
      <c r="O51" s="1414" t="str">
        <f t="shared" si="17"/>
        <v/>
      </c>
      <c r="P51" s="1397"/>
      <c r="Q51" s="1398"/>
      <c r="R51" s="1398"/>
      <c r="S51" s="1398"/>
      <c r="T51" s="1398"/>
      <c r="U51" s="1398"/>
      <c r="V51" s="1399"/>
      <c r="W51" s="1134"/>
      <c r="X51" s="1136"/>
      <c r="Y51" s="1136"/>
      <c r="Z51" s="1136"/>
      <c r="AA51" s="1136"/>
      <c r="AB51" s="1136"/>
      <c r="AC51" s="1136"/>
      <c r="AD51" s="1136"/>
      <c r="AE51" s="1136"/>
      <c r="AF51" s="1136"/>
      <c r="AG51" s="1230"/>
      <c r="AH51" s="1230"/>
      <c r="AI51" s="1230"/>
      <c r="AJ51" s="1230"/>
      <c r="AK51" s="1230"/>
    </row>
    <row r="52" spans="1:37" ht="42" customHeight="1" thickBot="1">
      <c r="A52" s="1133"/>
      <c r="B52" s="1220"/>
      <c r="C52" s="1221"/>
      <c r="D52" s="1221"/>
      <c r="E52" s="1222" t="str">
        <f t="shared" si="0"/>
        <v/>
      </c>
      <c r="F52" s="1223" t="str">
        <f t="shared" si="9"/>
        <v/>
      </c>
      <c r="G52" s="1224"/>
      <c r="H52" s="1412" t="str">
        <f t="shared" si="10"/>
        <v/>
      </c>
      <c r="I52" s="1413" t="str">
        <f t="shared" si="11"/>
        <v/>
      </c>
      <c r="J52" s="1413" t="str">
        <f t="shared" si="12"/>
        <v/>
      </c>
      <c r="K52" s="1413" t="str">
        <f t="shared" si="13"/>
        <v/>
      </c>
      <c r="L52" s="1413" t="str">
        <f t="shared" si="14"/>
        <v/>
      </c>
      <c r="M52" s="1413" t="str">
        <f t="shared" si="15"/>
        <v/>
      </c>
      <c r="N52" s="1413" t="str">
        <f t="shared" si="16"/>
        <v/>
      </c>
      <c r="O52" s="1414" t="str">
        <f t="shared" si="17"/>
        <v/>
      </c>
      <c r="P52" s="1397"/>
      <c r="Q52" s="1398"/>
      <c r="R52" s="1398"/>
      <c r="S52" s="1398"/>
      <c r="T52" s="1398"/>
      <c r="U52" s="1398"/>
      <c r="V52" s="1399"/>
      <c r="W52" s="1134"/>
      <c r="X52" s="1136"/>
      <c r="Y52" s="1136"/>
      <c r="Z52" s="1136"/>
      <c r="AA52" s="1136"/>
      <c r="AB52" s="1136"/>
      <c r="AC52" s="1136"/>
      <c r="AD52" s="1136"/>
      <c r="AE52" s="1136"/>
      <c r="AF52" s="1136"/>
      <c r="AG52" s="1136"/>
    </row>
    <row r="53" spans="1:37" ht="42" customHeight="1" thickBot="1">
      <c r="A53" s="1133"/>
      <c r="B53" s="1220"/>
      <c r="C53" s="1221"/>
      <c r="D53" s="1221"/>
      <c r="E53" s="1222" t="str">
        <f t="shared" si="0"/>
        <v/>
      </c>
      <c r="F53" s="1223" t="str">
        <f t="shared" si="9"/>
        <v/>
      </c>
      <c r="G53" s="1224"/>
      <c r="H53" s="1412" t="str">
        <f t="shared" si="10"/>
        <v/>
      </c>
      <c r="I53" s="1413" t="str">
        <f t="shared" si="11"/>
        <v/>
      </c>
      <c r="J53" s="1413" t="str">
        <f t="shared" si="12"/>
        <v/>
      </c>
      <c r="K53" s="1413" t="str">
        <f t="shared" si="13"/>
        <v/>
      </c>
      <c r="L53" s="1413" t="str">
        <f t="shared" si="14"/>
        <v/>
      </c>
      <c r="M53" s="1413" t="str">
        <f t="shared" si="15"/>
        <v/>
      </c>
      <c r="N53" s="1413" t="str">
        <f t="shared" si="16"/>
        <v/>
      </c>
      <c r="O53" s="1414" t="str">
        <f t="shared" si="17"/>
        <v/>
      </c>
      <c r="P53" s="1397"/>
      <c r="Q53" s="1398"/>
      <c r="R53" s="1398"/>
      <c r="S53" s="1398"/>
      <c r="T53" s="1398"/>
      <c r="U53" s="1398"/>
      <c r="V53" s="1399"/>
      <c r="W53" s="1134"/>
      <c r="X53" s="1136"/>
      <c r="Y53" s="1136"/>
      <c r="Z53" s="1136"/>
      <c r="AA53" s="1136"/>
      <c r="AB53" s="1136"/>
      <c r="AC53" s="1136"/>
      <c r="AD53" s="1136"/>
      <c r="AE53" s="1136"/>
      <c r="AF53" s="1136"/>
      <c r="AG53" s="1136"/>
    </row>
    <row r="54" spans="1:37" ht="42" customHeight="1" thickBot="1">
      <c r="A54" s="1133"/>
      <c r="B54" s="1220"/>
      <c r="C54" s="1221"/>
      <c r="D54" s="1221"/>
      <c r="E54" s="1222" t="str">
        <f t="shared" si="0"/>
        <v/>
      </c>
      <c r="F54" s="1223" t="str">
        <f t="shared" si="9"/>
        <v/>
      </c>
      <c r="G54" s="1224"/>
      <c r="H54" s="1412" t="str">
        <f t="shared" si="10"/>
        <v/>
      </c>
      <c r="I54" s="1413" t="str">
        <f t="shared" si="11"/>
        <v/>
      </c>
      <c r="J54" s="1413" t="str">
        <f t="shared" si="12"/>
        <v/>
      </c>
      <c r="K54" s="1413" t="str">
        <f t="shared" si="13"/>
        <v/>
      </c>
      <c r="L54" s="1413" t="str">
        <f t="shared" si="14"/>
        <v/>
      </c>
      <c r="M54" s="1413" t="str">
        <f t="shared" si="15"/>
        <v/>
      </c>
      <c r="N54" s="1413" t="str">
        <f t="shared" si="16"/>
        <v/>
      </c>
      <c r="O54" s="1414" t="str">
        <f t="shared" si="17"/>
        <v/>
      </c>
      <c r="P54" s="1397"/>
      <c r="Q54" s="1398"/>
      <c r="R54" s="1398"/>
      <c r="S54" s="1398"/>
      <c r="T54" s="1398"/>
      <c r="U54" s="1398"/>
      <c r="V54" s="1399"/>
      <c r="W54" s="1134"/>
      <c r="X54" s="1136"/>
      <c r="Y54" s="1136"/>
      <c r="Z54" s="1136"/>
      <c r="AA54" s="1136"/>
      <c r="AB54" s="1136"/>
      <c r="AC54" s="1136"/>
      <c r="AD54" s="1136"/>
      <c r="AE54" s="1136"/>
      <c r="AF54" s="1136"/>
      <c r="AG54" s="1136"/>
    </row>
    <row r="55" spans="1:37" ht="42" customHeight="1" thickBot="1">
      <c r="A55" s="1133"/>
      <c r="B55" s="1220"/>
      <c r="C55" s="1221"/>
      <c r="D55" s="1221"/>
      <c r="E55" s="1222" t="str">
        <f t="shared" si="0"/>
        <v/>
      </c>
      <c r="F55" s="1223" t="str">
        <f t="shared" si="9"/>
        <v/>
      </c>
      <c r="G55" s="1224"/>
      <c r="H55" s="1412" t="str">
        <f t="shared" si="10"/>
        <v/>
      </c>
      <c r="I55" s="1413" t="str">
        <f t="shared" si="11"/>
        <v/>
      </c>
      <c r="J55" s="1413" t="str">
        <f t="shared" si="12"/>
        <v/>
      </c>
      <c r="K55" s="1413" t="str">
        <f t="shared" si="13"/>
        <v/>
      </c>
      <c r="L55" s="1413" t="str">
        <f t="shared" si="14"/>
        <v/>
      </c>
      <c r="M55" s="1413" t="str">
        <f t="shared" si="15"/>
        <v/>
      </c>
      <c r="N55" s="1413" t="str">
        <f t="shared" si="16"/>
        <v/>
      </c>
      <c r="O55" s="1414" t="str">
        <f t="shared" si="17"/>
        <v/>
      </c>
      <c r="P55" s="1397"/>
      <c r="Q55" s="1398"/>
      <c r="R55" s="1398"/>
      <c r="S55" s="1398"/>
      <c r="T55" s="1398"/>
      <c r="U55" s="1398"/>
      <c r="V55" s="1399"/>
      <c r="W55" s="1134"/>
      <c r="X55" s="1136"/>
      <c r="Y55" s="1136"/>
      <c r="Z55" s="1136"/>
      <c r="AA55" s="1136"/>
      <c r="AB55" s="1136"/>
      <c r="AC55" s="1136"/>
      <c r="AD55" s="1136"/>
      <c r="AE55" s="1136"/>
      <c r="AF55" s="1136"/>
      <c r="AG55" s="1136"/>
    </row>
    <row r="56" spans="1:37" ht="42" customHeight="1" thickBot="1">
      <c r="A56" s="1133"/>
      <c r="B56" s="1220"/>
      <c r="C56" s="1221"/>
      <c r="D56" s="1221"/>
      <c r="E56" s="1222" t="str">
        <f t="shared" si="0"/>
        <v/>
      </c>
      <c r="F56" s="1223" t="str">
        <f t="shared" si="9"/>
        <v/>
      </c>
      <c r="G56" s="1224"/>
      <c r="H56" s="1412" t="str">
        <f t="shared" si="10"/>
        <v/>
      </c>
      <c r="I56" s="1413" t="str">
        <f t="shared" si="11"/>
        <v/>
      </c>
      <c r="J56" s="1413" t="str">
        <f t="shared" si="12"/>
        <v/>
      </c>
      <c r="K56" s="1413" t="str">
        <f t="shared" si="13"/>
        <v/>
      </c>
      <c r="L56" s="1413" t="str">
        <f t="shared" si="14"/>
        <v/>
      </c>
      <c r="M56" s="1413" t="str">
        <f t="shared" si="15"/>
        <v/>
      </c>
      <c r="N56" s="1413" t="str">
        <f t="shared" si="16"/>
        <v/>
      </c>
      <c r="O56" s="1414" t="str">
        <f t="shared" si="17"/>
        <v/>
      </c>
      <c r="P56" s="1397"/>
      <c r="Q56" s="1398"/>
      <c r="R56" s="1398"/>
      <c r="S56" s="1398"/>
      <c r="T56" s="1398"/>
      <c r="U56" s="1398"/>
      <c r="V56" s="1399"/>
      <c r="W56" s="1134"/>
      <c r="X56" s="1136"/>
      <c r="Y56" s="1136"/>
      <c r="Z56" s="1136"/>
      <c r="AA56" s="1136"/>
      <c r="AB56" s="1136"/>
      <c r="AC56" s="1136"/>
      <c r="AD56" s="1136"/>
      <c r="AE56" s="1136"/>
      <c r="AF56" s="1136"/>
      <c r="AG56" s="1136"/>
    </row>
    <row r="57" spans="1:37" ht="42" customHeight="1" thickBot="1">
      <c r="A57" s="1133"/>
      <c r="B57" s="1220"/>
      <c r="C57" s="1221"/>
      <c r="D57" s="1221"/>
      <c r="E57" s="1222" t="str">
        <f t="shared" si="0"/>
        <v/>
      </c>
      <c r="F57" s="1223" t="str">
        <f t="shared" si="9"/>
        <v/>
      </c>
      <c r="G57" s="1224"/>
      <c r="H57" s="1412" t="str">
        <f t="shared" si="10"/>
        <v/>
      </c>
      <c r="I57" s="1413" t="str">
        <f t="shared" si="11"/>
        <v/>
      </c>
      <c r="J57" s="1413" t="str">
        <f t="shared" si="12"/>
        <v/>
      </c>
      <c r="K57" s="1413" t="str">
        <f t="shared" si="13"/>
        <v/>
      </c>
      <c r="L57" s="1413" t="str">
        <f t="shared" si="14"/>
        <v/>
      </c>
      <c r="M57" s="1413" t="str">
        <f t="shared" si="15"/>
        <v/>
      </c>
      <c r="N57" s="1413" t="str">
        <f t="shared" si="16"/>
        <v/>
      </c>
      <c r="O57" s="1414" t="str">
        <f t="shared" si="17"/>
        <v/>
      </c>
      <c r="P57" s="1397"/>
      <c r="Q57" s="1398"/>
      <c r="R57" s="1398"/>
      <c r="S57" s="1398"/>
      <c r="T57" s="1398"/>
      <c r="U57" s="1398"/>
      <c r="V57" s="1399"/>
      <c r="W57" s="1134"/>
      <c r="X57" s="1136"/>
      <c r="Y57" s="1136"/>
      <c r="Z57" s="1136"/>
      <c r="AA57" s="1136"/>
      <c r="AB57" s="1136"/>
      <c r="AC57" s="1136"/>
      <c r="AD57" s="1136"/>
      <c r="AE57" s="1136"/>
      <c r="AF57" s="1136"/>
      <c r="AG57" s="1136"/>
    </row>
    <row r="58" spans="1:37" ht="42" customHeight="1" thickBot="1">
      <c r="A58" s="1133"/>
      <c r="B58" s="1220"/>
      <c r="C58" s="1221"/>
      <c r="D58" s="1221"/>
      <c r="E58" s="1222" t="str">
        <f t="shared" si="0"/>
        <v/>
      </c>
      <c r="F58" s="1223" t="str">
        <f t="shared" si="9"/>
        <v/>
      </c>
      <c r="G58" s="1224"/>
      <c r="H58" s="1412" t="str">
        <f t="shared" si="10"/>
        <v/>
      </c>
      <c r="I58" s="1413" t="str">
        <f t="shared" si="11"/>
        <v/>
      </c>
      <c r="J58" s="1413" t="str">
        <f t="shared" si="12"/>
        <v/>
      </c>
      <c r="K58" s="1413" t="str">
        <f t="shared" si="13"/>
        <v/>
      </c>
      <c r="L58" s="1413" t="str">
        <f t="shared" si="14"/>
        <v/>
      </c>
      <c r="M58" s="1413" t="str">
        <f t="shared" si="15"/>
        <v/>
      </c>
      <c r="N58" s="1413" t="str">
        <f t="shared" si="16"/>
        <v/>
      </c>
      <c r="O58" s="1414" t="str">
        <f t="shared" si="17"/>
        <v/>
      </c>
      <c r="P58" s="1397"/>
      <c r="Q58" s="1398"/>
      <c r="R58" s="1398"/>
      <c r="S58" s="1398"/>
      <c r="T58" s="1398"/>
      <c r="U58" s="1398"/>
      <c r="V58" s="1399"/>
      <c r="W58" s="1134"/>
      <c r="X58" s="1136"/>
      <c r="Y58" s="1136"/>
      <c r="Z58" s="1136"/>
      <c r="AA58" s="1136"/>
      <c r="AB58" s="1136"/>
      <c r="AC58" s="1136"/>
      <c r="AD58" s="1136"/>
      <c r="AE58" s="1136"/>
      <c r="AF58" s="1136"/>
      <c r="AG58" s="1136"/>
    </row>
    <row r="59" spans="1:37" ht="42" customHeight="1" thickBot="1">
      <c r="A59" s="1133"/>
      <c r="B59" s="1220"/>
      <c r="C59" s="1221"/>
      <c r="D59" s="1221"/>
      <c r="E59" s="1222" t="str">
        <f t="shared" si="0"/>
        <v/>
      </c>
      <c r="F59" s="1223" t="str">
        <f t="shared" si="9"/>
        <v/>
      </c>
      <c r="G59" s="1224"/>
      <c r="H59" s="1412" t="str">
        <f t="shared" si="10"/>
        <v/>
      </c>
      <c r="I59" s="1413" t="str">
        <f t="shared" si="11"/>
        <v/>
      </c>
      <c r="J59" s="1413" t="str">
        <f t="shared" si="12"/>
        <v/>
      </c>
      <c r="K59" s="1413" t="str">
        <f t="shared" si="13"/>
        <v/>
      </c>
      <c r="L59" s="1413" t="str">
        <f t="shared" si="14"/>
        <v/>
      </c>
      <c r="M59" s="1413" t="str">
        <f t="shared" si="15"/>
        <v/>
      </c>
      <c r="N59" s="1413" t="str">
        <f t="shared" si="16"/>
        <v/>
      </c>
      <c r="O59" s="1414" t="str">
        <f t="shared" si="17"/>
        <v/>
      </c>
      <c r="P59" s="1397"/>
      <c r="Q59" s="1398"/>
      <c r="R59" s="1398"/>
      <c r="S59" s="1398"/>
      <c r="T59" s="1398"/>
      <c r="U59" s="1398"/>
      <c r="V59" s="1399"/>
      <c r="W59" s="1134"/>
      <c r="X59" s="1136"/>
      <c r="Y59" s="1136"/>
      <c r="Z59" s="1136"/>
      <c r="AA59" s="1136"/>
      <c r="AB59" s="1136"/>
      <c r="AC59" s="1136"/>
      <c r="AD59" s="1136"/>
      <c r="AE59" s="1136"/>
      <c r="AF59" s="1136"/>
      <c r="AG59" s="1136"/>
    </row>
    <row r="60" spans="1:37" ht="42" customHeight="1" thickBot="1">
      <c r="A60" s="1133"/>
      <c r="B60" s="1220"/>
      <c r="C60" s="1221"/>
      <c r="D60" s="1221"/>
      <c r="E60" s="1222" t="str">
        <f t="shared" si="0"/>
        <v/>
      </c>
      <c r="F60" s="1223" t="str">
        <f t="shared" si="9"/>
        <v/>
      </c>
      <c r="G60" s="1224"/>
      <c r="H60" s="1412" t="str">
        <f t="shared" si="10"/>
        <v/>
      </c>
      <c r="I60" s="1413" t="str">
        <f t="shared" si="11"/>
        <v/>
      </c>
      <c r="J60" s="1413" t="str">
        <f t="shared" si="12"/>
        <v/>
      </c>
      <c r="K60" s="1413" t="str">
        <f t="shared" si="13"/>
        <v/>
      </c>
      <c r="L60" s="1413" t="str">
        <f t="shared" si="14"/>
        <v/>
      </c>
      <c r="M60" s="1413" t="str">
        <f t="shared" si="15"/>
        <v/>
      </c>
      <c r="N60" s="1413" t="str">
        <f t="shared" si="16"/>
        <v/>
      </c>
      <c r="O60" s="1414" t="str">
        <f t="shared" si="17"/>
        <v/>
      </c>
      <c r="P60" s="1397"/>
      <c r="Q60" s="1398"/>
      <c r="R60" s="1398"/>
      <c r="S60" s="1398"/>
      <c r="T60" s="1398"/>
      <c r="U60" s="1398"/>
      <c r="V60" s="1399"/>
      <c r="W60" s="1134"/>
      <c r="X60" s="1136"/>
      <c r="Y60" s="1136"/>
      <c r="Z60" s="1136"/>
      <c r="AA60" s="1136"/>
      <c r="AB60" s="1136"/>
      <c r="AC60" s="1136"/>
      <c r="AD60" s="1136"/>
      <c r="AE60" s="1136"/>
      <c r="AF60" s="1136"/>
      <c r="AG60" s="1136"/>
    </row>
    <row r="61" spans="1:37" ht="42" customHeight="1" thickBot="1">
      <c r="A61" s="1133"/>
      <c r="B61" s="1220"/>
      <c r="C61" s="1221"/>
      <c r="D61" s="1221"/>
      <c r="E61" s="1222" t="str">
        <f t="shared" si="0"/>
        <v/>
      </c>
      <c r="F61" s="1223" t="str">
        <f t="shared" si="9"/>
        <v/>
      </c>
      <c r="G61" s="1224"/>
      <c r="H61" s="1412" t="str">
        <f t="shared" si="10"/>
        <v/>
      </c>
      <c r="I61" s="1413" t="str">
        <f t="shared" si="11"/>
        <v/>
      </c>
      <c r="J61" s="1413" t="str">
        <f t="shared" si="12"/>
        <v/>
      </c>
      <c r="K61" s="1413" t="str">
        <f t="shared" si="13"/>
        <v/>
      </c>
      <c r="L61" s="1413" t="str">
        <f t="shared" si="14"/>
        <v/>
      </c>
      <c r="M61" s="1413" t="str">
        <f t="shared" si="15"/>
        <v/>
      </c>
      <c r="N61" s="1413" t="str">
        <f t="shared" si="16"/>
        <v/>
      </c>
      <c r="O61" s="1414" t="str">
        <f t="shared" si="17"/>
        <v/>
      </c>
      <c r="P61" s="1397"/>
      <c r="Q61" s="1398"/>
      <c r="R61" s="1398"/>
      <c r="S61" s="1398"/>
      <c r="T61" s="1398"/>
      <c r="U61" s="1398"/>
      <c r="V61" s="1399"/>
      <c r="W61" s="1134"/>
      <c r="X61" s="1136"/>
      <c r="Y61" s="1136"/>
      <c r="Z61" s="1136"/>
      <c r="AA61" s="1136"/>
      <c r="AB61" s="1136"/>
      <c r="AC61" s="1136"/>
      <c r="AD61" s="1136"/>
      <c r="AE61" s="1136"/>
      <c r="AF61" s="1136"/>
      <c r="AG61" s="1136"/>
    </row>
    <row r="62" spans="1:37" ht="42" customHeight="1" thickBot="1">
      <c r="A62" s="1133"/>
      <c r="B62" s="1220"/>
      <c r="C62" s="1221"/>
      <c r="D62" s="1221"/>
      <c r="E62" s="1222" t="str">
        <f t="shared" si="0"/>
        <v/>
      </c>
      <c r="F62" s="1223" t="str">
        <f t="shared" si="9"/>
        <v/>
      </c>
      <c r="G62" s="1224"/>
      <c r="H62" s="1412" t="str">
        <f t="shared" si="10"/>
        <v/>
      </c>
      <c r="I62" s="1413" t="str">
        <f t="shared" si="11"/>
        <v/>
      </c>
      <c r="J62" s="1413" t="str">
        <f t="shared" si="12"/>
        <v/>
      </c>
      <c r="K62" s="1413" t="str">
        <f t="shared" si="13"/>
        <v/>
      </c>
      <c r="L62" s="1413" t="str">
        <f t="shared" si="14"/>
        <v/>
      </c>
      <c r="M62" s="1413" t="str">
        <f t="shared" si="15"/>
        <v/>
      </c>
      <c r="N62" s="1413" t="str">
        <f t="shared" si="16"/>
        <v/>
      </c>
      <c r="O62" s="1414" t="str">
        <f t="shared" si="17"/>
        <v/>
      </c>
      <c r="P62" s="1397"/>
      <c r="Q62" s="1398"/>
      <c r="R62" s="1398"/>
      <c r="S62" s="1398"/>
      <c r="T62" s="1398"/>
      <c r="U62" s="1398"/>
      <c r="V62" s="1399"/>
      <c r="W62" s="1134"/>
      <c r="X62" s="1136"/>
      <c r="Y62" s="1136"/>
      <c r="Z62" s="1136"/>
      <c r="AA62" s="1136"/>
      <c r="AB62" s="1136"/>
      <c r="AC62" s="1136"/>
      <c r="AD62" s="1136"/>
      <c r="AE62" s="1136"/>
      <c r="AF62" s="1136"/>
      <c r="AG62" s="1136"/>
    </row>
    <row r="63" spans="1:37" ht="42" customHeight="1" thickBot="1">
      <c r="A63" s="1133"/>
      <c r="B63" s="1220"/>
      <c r="C63" s="1221"/>
      <c r="D63" s="1221"/>
      <c r="E63" s="1250" t="str">
        <f t="shared" si="0"/>
        <v/>
      </c>
      <c r="F63" s="1223" t="str">
        <f t="shared" si="9"/>
        <v/>
      </c>
      <c r="G63" s="1224"/>
      <c r="H63" s="1412" t="str">
        <f t="shared" si="10"/>
        <v/>
      </c>
      <c r="I63" s="1413" t="str">
        <f t="shared" si="11"/>
        <v/>
      </c>
      <c r="J63" s="1413" t="str">
        <f t="shared" si="12"/>
        <v/>
      </c>
      <c r="K63" s="1413" t="str">
        <f t="shared" si="13"/>
        <v/>
      </c>
      <c r="L63" s="1413" t="str">
        <f t="shared" si="14"/>
        <v/>
      </c>
      <c r="M63" s="1413" t="str">
        <f t="shared" si="15"/>
        <v/>
      </c>
      <c r="N63" s="1413" t="str">
        <f t="shared" si="16"/>
        <v/>
      </c>
      <c r="O63" s="1414" t="str">
        <f t="shared" si="17"/>
        <v/>
      </c>
      <c r="P63" s="1397"/>
      <c r="Q63" s="1398"/>
      <c r="R63" s="1398"/>
      <c r="S63" s="1398"/>
      <c r="T63" s="1398"/>
      <c r="U63" s="1398"/>
      <c r="V63" s="1399"/>
      <c r="W63" s="1134"/>
      <c r="X63" s="1136"/>
      <c r="Y63" s="1136"/>
      <c r="Z63" s="1136"/>
      <c r="AA63" s="1136"/>
      <c r="AB63" s="1136"/>
      <c r="AC63" s="1136"/>
      <c r="AD63" s="1136"/>
      <c r="AE63" s="1136"/>
      <c r="AF63" s="1136"/>
      <c r="AG63" s="1136"/>
    </row>
    <row r="64" spans="1:37" ht="42" customHeight="1" thickBot="1">
      <c r="A64" s="1133"/>
      <c r="B64" s="1419" t="s">
        <v>958</v>
      </c>
      <c r="C64" s="1420"/>
      <c r="D64" s="1420"/>
      <c r="E64" s="1420"/>
      <c r="F64" s="1420"/>
      <c r="G64" s="1420"/>
      <c r="H64" s="1420"/>
      <c r="I64" s="1421"/>
      <c r="J64" s="1422"/>
      <c r="K64" s="1422"/>
      <c r="L64" s="1422"/>
      <c r="M64" s="1422"/>
      <c r="N64" s="1422"/>
      <c r="O64" s="1422"/>
      <c r="P64" s="1422"/>
      <c r="Q64" s="1422"/>
      <c r="R64" s="1422"/>
      <c r="S64" s="1422"/>
      <c r="T64" s="1422"/>
      <c r="U64" s="1422"/>
      <c r="V64" s="1423"/>
      <c r="W64" s="1134"/>
      <c r="X64" s="1136"/>
      <c r="Y64" s="1136"/>
      <c r="Z64" s="1136"/>
      <c r="AA64" s="1136"/>
      <c r="AB64" s="1136"/>
      <c r="AC64" s="1136"/>
      <c r="AD64" s="1136"/>
      <c r="AE64" s="1136"/>
      <c r="AF64" s="1136"/>
      <c r="AG64" s="1136"/>
    </row>
    <row r="65" spans="1:33" ht="41.1" customHeight="1" thickBot="1">
      <c r="A65" s="1133"/>
      <c r="B65" s="1424"/>
      <c r="C65" s="1425"/>
      <c r="D65" s="1425"/>
      <c r="E65" s="1425"/>
      <c r="F65" s="1425"/>
      <c r="G65" s="1425"/>
      <c r="H65" s="1425"/>
      <c r="I65" s="1425"/>
      <c r="J65" s="1425"/>
      <c r="K65" s="1425"/>
      <c r="L65" s="1425"/>
      <c r="M65" s="1425"/>
      <c r="N65" s="1425"/>
      <c r="O65" s="1425"/>
      <c r="P65" s="1425"/>
      <c r="Q65" s="1425"/>
      <c r="R65" s="1425"/>
      <c r="S65" s="1425"/>
      <c r="T65" s="1425"/>
      <c r="U65" s="1425"/>
      <c r="V65" s="1426"/>
      <c r="W65" s="1134"/>
      <c r="X65" s="1136"/>
      <c r="Y65" s="1136"/>
      <c r="Z65" s="1136"/>
      <c r="AA65" s="1136"/>
      <c r="AB65" s="1136"/>
      <c r="AC65" s="1136"/>
      <c r="AD65" s="1136"/>
      <c r="AE65" s="1136"/>
      <c r="AF65" s="1136"/>
      <c r="AG65" s="1136"/>
    </row>
    <row r="66" spans="1:33">
      <c r="A66" s="1133"/>
      <c r="B66" s="1134"/>
      <c r="C66" s="1134"/>
      <c r="D66" s="1134"/>
      <c r="E66" s="1134"/>
      <c r="F66" s="1134"/>
      <c r="G66" s="1134"/>
      <c r="H66" s="1134"/>
      <c r="I66" s="1135"/>
      <c r="J66" s="1134"/>
      <c r="K66" s="1134"/>
      <c r="L66" s="1134"/>
      <c r="M66" s="1134"/>
      <c r="N66" s="1134"/>
      <c r="O66" s="1134"/>
      <c r="P66" s="1134"/>
      <c r="Q66" s="1134"/>
      <c r="R66" s="1134"/>
      <c r="S66" s="1134"/>
      <c r="T66" s="1134"/>
      <c r="U66" s="1134"/>
      <c r="V66" s="1134"/>
      <c r="W66" s="1134"/>
      <c r="X66" s="1136"/>
      <c r="Y66" s="1136"/>
      <c r="Z66" s="1136"/>
      <c r="AA66" s="1136"/>
      <c r="AB66" s="1136"/>
      <c r="AC66" s="1136"/>
      <c r="AD66" s="1136"/>
      <c r="AE66" s="1136"/>
      <c r="AF66" s="1136"/>
      <c r="AG66" s="1136"/>
    </row>
    <row r="67" spans="1:33" ht="21" customHeight="1"/>
    <row r="68" spans="1:33" ht="27.6" customHeight="1" thickBot="1"/>
    <row r="69" spans="1:33" ht="29.4" customHeight="1">
      <c r="O69" s="1403" t="s">
        <v>976</v>
      </c>
      <c r="P69" s="1404"/>
      <c r="Q69" s="1403" t="s">
        <v>959</v>
      </c>
      <c r="R69" s="1409"/>
      <c r="S69" s="1409"/>
      <c r="T69" s="1409"/>
      <c r="U69" s="1409"/>
      <c r="V69" s="1409"/>
      <c r="W69" s="1409"/>
      <c r="X69" s="1404"/>
    </row>
    <row r="70" spans="1:33" ht="21" customHeight="1">
      <c r="O70" s="1405"/>
      <c r="P70" s="1406"/>
      <c r="Q70" s="1405"/>
      <c r="R70" s="1410"/>
      <c r="S70" s="1410"/>
      <c r="T70" s="1410"/>
      <c r="U70" s="1410"/>
      <c r="V70" s="1410"/>
      <c r="W70" s="1410"/>
      <c r="X70" s="1406"/>
    </row>
    <row r="71" spans="1:33" ht="21.6" customHeight="1" thickBot="1">
      <c r="O71" s="1407"/>
      <c r="P71" s="1408"/>
      <c r="Q71" s="1407"/>
      <c r="R71" s="1411"/>
      <c r="S71" s="1411"/>
      <c r="T71" s="1411"/>
      <c r="U71" s="1411"/>
      <c r="V71" s="1411"/>
      <c r="W71" s="1411"/>
      <c r="X71" s="1408"/>
    </row>
    <row r="72" spans="1:33" ht="27.6">
      <c r="G72" s="1254"/>
      <c r="O72" s="1255">
        <v>1</v>
      </c>
      <c r="P72" s="1256"/>
      <c r="Q72" s="1385"/>
      <c r="R72" s="1386"/>
      <c r="S72" s="1386"/>
      <c r="T72" s="1386"/>
      <c r="U72" s="1386"/>
      <c r="V72" s="1386"/>
      <c r="W72" s="1386"/>
      <c r="X72" s="1387"/>
    </row>
    <row r="73" spans="1:33" ht="27.6">
      <c r="O73" s="1257">
        <v>2</v>
      </c>
      <c r="P73" s="1258"/>
      <c r="Q73" s="1385"/>
      <c r="R73" s="1386"/>
      <c r="S73" s="1386"/>
      <c r="T73" s="1386"/>
      <c r="U73" s="1386"/>
      <c r="V73" s="1386"/>
      <c r="W73" s="1386"/>
      <c r="X73" s="1387"/>
    </row>
    <row r="74" spans="1:33" ht="27.6">
      <c r="O74" s="1257">
        <v>3</v>
      </c>
      <c r="P74" s="1258"/>
      <c r="Q74" s="1385"/>
      <c r="R74" s="1386"/>
      <c r="S74" s="1386"/>
      <c r="T74" s="1386"/>
      <c r="U74" s="1386"/>
      <c r="V74" s="1386"/>
      <c r="W74" s="1386"/>
      <c r="X74" s="1387"/>
    </row>
    <row r="75" spans="1:33" ht="27.6">
      <c r="O75" s="1257">
        <v>4</v>
      </c>
      <c r="P75" s="1258"/>
      <c r="Q75" s="1385"/>
      <c r="R75" s="1386"/>
      <c r="S75" s="1386"/>
      <c r="T75" s="1386"/>
      <c r="U75" s="1386"/>
      <c r="V75" s="1386"/>
      <c r="W75" s="1386"/>
      <c r="X75" s="1387"/>
    </row>
    <row r="76" spans="1:33" ht="27.6">
      <c r="O76" s="1257">
        <v>5</v>
      </c>
      <c r="P76" s="1258"/>
      <c r="Q76" s="1385"/>
      <c r="R76" s="1386"/>
      <c r="S76" s="1386"/>
      <c r="T76" s="1386"/>
      <c r="U76" s="1386"/>
      <c r="V76" s="1386"/>
      <c r="W76" s="1386"/>
      <c r="X76" s="1387"/>
    </row>
    <row r="77" spans="1:33" ht="27.6">
      <c r="O77" s="1257">
        <v>6</v>
      </c>
      <c r="P77" s="1258"/>
      <c r="Q77" s="1385"/>
      <c r="R77" s="1386"/>
      <c r="S77" s="1386"/>
      <c r="T77" s="1386"/>
      <c r="U77" s="1386"/>
      <c r="V77" s="1386"/>
      <c r="W77" s="1386"/>
      <c r="X77" s="1387"/>
    </row>
    <row r="78" spans="1:33" ht="27.6">
      <c r="O78" s="1257">
        <v>7</v>
      </c>
      <c r="P78" s="1258"/>
      <c r="Q78" s="1385"/>
      <c r="R78" s="1386"/>
      <c r="S78" s="1386"/>
      <c r="T78" s="1386"/>
      <c r="U78" s="1386"/>
      <c r="V78" s="1386"/>
      <c r="W78" s="1386"/>
      <c r="X78" s="1387"/>
    </row>
    <row r="79" spans="1:33" ht="27.6">
      <c r="O79" s="1257">
        <v>8</v>
      </c>
      <c r="P79" s="1258"/>
      <c r="Q79" s="1385"/>
      <c r="R79" s="1386"/>
      <c r="S79" s="1386"/>
      <c r="T79" s="1386"/>
      <c r="U79" s="1386"/>
      <c r="V79" s="1386"/>
      <c r="W79" s="1386"/>
      <c r="X79" s="1387"/>
    </row>
    <row r="80" spans="1:33" ht="27.6">
      <c r="O80" s="1257">
        <v>9</v>
      </c>
      <c r="P80" s="1258"/>
      <c r="Q80" s="1385"/>
      <c r="R80" s="1386"/>
      <c r="S80" s="1386"/>
      <c r="T80" s="1386"/>
      <c r="U80" s="1386"/>
      <c r="V80" s="1386"/>
      <c r="W80" s="1386"/>
      <c r="X80" s="1387"/>
    </row>
    <row r="81" spans="15:24" ht="28.2" thickBot="1">
      <c r="O81" s="1259">
        <v>10</v>
      </c>
      <c r="P81" s="1260"/>
      <c r="Q81" s="1388"/>
      <c r="R81" s="1389"/>
      <c r="S81" s="1389"/>
      <c r="T81" s="1389"/>
      <c r="U81" s="1389"/>
      <c r="V81" s="1389"/>
      <c r="W81" s="1389"/>
      <c r="X81" s="1390"/>
    </row>
    <row r="82" spans="15:24" ht="24.6">
      <c r="O82" s="1261"/>
    </row>
  </sheetData>
  <sheetProtection algorithmName="SHA-512" hashValue="/AQz4bDV6egGmj3fd+aoFB7j+ILqyHCHMouHF3MXMbsABWkvkhJTE9CNVbLTfb6HyNi9UqQK+fAbU8gUqwQHsQ==" saltValue="lWmztNRHMqupXYrPJEz3EA==" spinCount="100000" sheet="1" selectLockedCells="1"/>
  <mergeCells count="155">
    <mergeCell ref="B8:C8"/>
    <mergeCell ref="D8:O8"/>
    <mergeCell ref="S8:U8"/>
    <mergeCell ref="B9:C9"/>
    <mergeCell ref="U1:V1"/>
    <mergeCell ref="B2:V2"/>
    <mergeCell ref="B4:V4"/>
    <mergeCell ref="T5:U5"/>
    <mergeCell ref="B7:C7"/>
    <mergeCell ref="S7:U7"/>
    <mergeCell ref="U3:V3"/>
    <mergeCell ref="C3:T3"/>
    <mergeCell ref="D7:O7"/>
    <mergeCell ref="S9:U9"/>
    <mergeCell ref="D9:J9"/>
    <mergeCell ref="M10:O10"/>
    <mergeCell ref="C23:D23"/>
    <mergeCell ref="K23:L23"/>
    <mergeCell ref="Q23:V24"/>
    <mergeCell ref="C24:D24"/>
    <mergeCell ref="K24:L24"/>
    <mergeCell ref="B15:O15"/>
    <mergeCell ref="B16:M16"/>
    <mergeCell ref="Q16:V17"/>
    <mergeCell ref="C17:D17"/>
    <mergeCell ref="S18:T18"/>
    <mergeCell ref="D10:G10"/>
    <mergeCell ref="S12:U12"/>
    <mergeCell ref="D11:O13"/>
    <mergeCell ref="B11:C13"/>
    <mergeCell ref="B10:C10"/>
    <mergeCell ref="I10:J10"/>
    <mergeCell ref="S10:U10"/>
    <mergeCell ref="Q11:R11"/>
    <mergeCell ref="K17:L17"/>
    <mergeCell ref="F21:G21"/>
    <mergeCell ref="B28:B29"/>
    <mergeCell ref="C28:D28"/>
    <mergeCell ref="E28:E29"/>
    <mergeCell ref="F28:F29"/>
    <mergeCell ref="H28:O29"/>
    <mergeCell ref="Q29:S29"/>
    <mergeCell ref="C22:D22"/>
    <mergeCell ref="K22:L22"/>
    <mergeCell ref="C19:D19"/>
    <mergeCell ref="S19:T19"/>
    <mergeCell ref="C20:D20"/>
    <mergeCell ref="J20:J21"/>
    <mergeCell ref="K20:L21"/>
    <mergeCell ref="Q28:S28"/>
    <mergeCell ref="M20:M21"/>
    <mergeCell ref="N20:N21"/>
    <mergeCell ref="O20:O21"/>
    <mergeCell ref="H19:I19"/>
    <mergeCell ref="H20:I20"/>
    <mergeCell ref="H21:I21"/>
    <mergeCell ref="S20:T20"/>
    <mergeCell ref="C21:D21"/>
    <mergeCell ref="S21:T21"/>
    <mergeCell ref="H30:O30"/>
    <mergeCell ref="Q30:R30"/>
    <mergeCell ref="T30:U30"/>
    <mergeCell ref="H31:O31"/>
    <mergeCell ref="Q31:R31"/>
    <mergeCell ref="T31:U31"/>
    <mergeCell ref="T29:U29"/>
    <mergeCell ref="C26:D26"/>
    <mergeCell ref="Q26:R26"/>
    <mergeCell ref="T26:U26"/>
    <mergeCell ref="H26:I26"/>
    <mergeCell ref="G28:G29"/>
    <mergeCell ref="T27:U28"/>
    <mergeCell ref="H36:O36"/>
    <mergeCell ref="Q36:R36"/>
    <mergeCell ref="H37:O37"/>
    <mergeCell ref="R37:S37"/>
    <mergeCell ref="T37:U37"/>
    <mergeCell ref="H32:O32"/>
    <mergeCell ref="R32:S32"/>
    <mergeCell ref="T32:U32"/>
    <mergeCell ref="H33:O33"/>
    <mergeCell ref="Q33:Q34"/>
    <mergeCell ref="H35:O35"/>
    <mergeCell ref="Q35:V35"/>
    <mergeCell ref="T33:U33"/>
    <mergeCell ref="H34:O34"/>
    <mergeCell ref="R34:S34"/>
    <mergeCell ref="T34:U34"/>
    <mergeCell ref="H38:O38"/>
    <mergeCell ref="R38:S38"/>
    <mergeCell ref="T38:U38"/>
    <mergeCell ref="H39:O39"/>
    <mergeCell ref="Q39:R39"/>
    <mergeCell ref="T39:U39"/>
    <mergeCell ref="H40:O40"/>
    <mergeCell ref="Q40:S40"/>
    <mergeCell ref="T40:U40"/>
    <mergeCell ref="Q48:R48"/>
    <mergeCell ref="H41:O41"/>
    <mergeCell ref="Q41:S41"/>
    <mergeCell ref="T41:U41"/>
    <mergeCell ref="H42:O42"/>
    <mergeCell ref="Q42:S42"/>
    <mergeCell ref="T42:U42"/>
    <mergeCell ref="H43:O43"/>
    <mergeCell ref="Q43:S43"/>
    <mergeCell ref="T43:U43"/>
    <mergeCell ref="B64:H64"/>
    <mergeCell ref="I64:V64"/>
    <mergeCell ref="B65:V65"/>
    <mergeCell ref="AN16:AP16"/>
    <mergeCell ref="H17:J17"/>
    <mergeCell ref="H22:I22"/>
    <mergeCell ref="H24:I24"/>
    <mergeCell ref="H23:I23"/>
    <mergeCell ref="H61:O61"/>
    <mergeCell ref="H62:O62"/>
    <mergeCell ref="H63:O63"/>
    <mergeCell ref="H58:O58"/>
    <mergeCell ref="H59:O59"/>
    <mergeCell ref="H60:O60"/>
    <mergeCell ref="H54:O54"/>
    <mergeCell ref="H55:O55"/>
    <mergeCell ref="H56:O56"/>
    <mergeCell ref="H57:O57"/>
    <mergeCell ref="H49:O49"/>
    <mergeCell ref="H50:O50"/>
    <mergeCell ref="H51:O51"/>
    <mergeCell ref="H52:O52"/>
    <mergeCell ref="H53:O53"/>
    <mergeCell ref="H44:O44"/>
    <mergeCell ref="X10:AH14"/>
    <mergeCell ref="Q80:X80"/>
    <mergeCell ref="Q81:X81"/>
    <mergeCell ref="P49:Q49"/>
    <mergeCell ref="P50:V63"/>
    <mergeCell ref="Z23:AF23"/>
    <mergeCell ref="Q72:X72"/>
    <mergeCell ref="Q73:X73"/>
    <mergeCell ref="Q74:X74"/>
    <mergeCell ref="Q75:X75"/>
    <mergeCell ref="Q76:X76"/>
    <mergeCell ref="Q77:X77"/>
    <mergeCell ref="Q78:X78"/>
    <mergeCell ref="Q79:X79"/>
    <mergeCell ref="S11:U11"/>
    <mergeCell ref="O69:P71"/>
    <mergeCell ref="Q69:X71"/>
    <mergeCell ref="H45:O45"/>
    <mergeCell ref="Q45:V45"/>
    <mergeCell ref="H46:O46"/>
    <mergeCell ref="Q46:R46"/>
    <mergeCell ref="H47:O47"/>
    <mergeCell ref="Q47:R47"/>
    <mergeCell ref="H48:O48"/>
  </mergeCells>
  <dataValidations count="1">
    <dataValidation type="list" showInputMessage="1" sqref="G30:G63" xr:uid="{00000000-0002-0000-0100-000000000000}">
      <formula1>$O$72:$O$82</formula1>
    </dataValidation>
  </dataValidations>
  <printOptions horizontalCentered="1"/>
  <pageMargins left="0.25" right="0.25" top="0.5" bottom="0.5" header="0" footer="0"/>
  <pageSetup scale="30" orientation="portrait" r:id="rId1"/>
  <drawing r:id="rId2"/>
  <legacyDrawing r:id="rId3"/>
  <extLst>
    <ext xmlns:x14="http://schemas.microsoft.com/office/spreadsheetml/2009/9/main" uri="{CCE6A557-97BC-4b89-ADB6-D9C93CAAB3DF}">
      <x14:dataValidations xmlns:xm="http://schemas.microsoft.com/office/excel/2006/main" count="4">
        <x14:dataValidation type="list" showInputMessage="1" xr:uid="{00000000-0002-0000-0100-000001000000}">
          <x14:formula1>
            <xm:f>List!$F$37:$F$43</xm:f>
          </x14:formula1>
          <xm:sqref>U6</xm:sqref>
        </x14:dataValidation>
        <x14:dataValidation type="list" allowBlank="1" showInputMessage="1" xr:uid="{00000000-0002-0000-0100-000002000000}">
          <x14:formula1>
            <xm:f>List!$B$47:$B$49</xm:f>
          </x14:formula1>
          <xm:sqref>H19:I19 C19:D19</xm:sqref>
        </x14:dataValidation>
        <x14:dataValidation type="list" allowBlank="1" showInputMessage="1" xr:uid="{00000000-0002-0000-0100-000004000000}">
          <x14:formula1>
            <xm:f>List!$D$47:$D$48</xm:f>
          </x14:formula1>
          <xm:sqref>F17</xm:sqref>
        </x14:dataValidation>
        <x14:dataValidation type="list" allowBlank="1" showInputMessage="1" xr:uid="{00000000-0002-0000-0100-000005000000}">
          <x14:formula1>
            <xm:f>List!$E$47:$E$48</xm:f>
          </x14:formula1>
          <xm:sqref>M17</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6">
    <tabColor rgb="FFFF3399"/>
    <pageSetUpPr fitToPage="1"/>
  </sheetPr>
  <dimension ref="A1:AN64"/>
  <sheetViews>
    <sheetView zoomScale="94" zoomScaleNormal="94" workbookViewId="0">
      <selection activeCell="O10" sqref="O10:P10"/>
    </sheetView>
  </sheetViews>
  <sheetFormatPr defaultRowHeight="14.4"/>
  <cols>
    <col min="1" max="1" width="0.6640625" customWidth="1"/>
    <col min="2" max="2" width="3.88671875" customWidth="1"/>
    <col min="3" max="3" width="4" customWidth="1"/>
    <col min="4" max="4" width="2.44140625" customWidth="1"/>
    <col min="5" max="5" width="1.6640625" customWidth="1"/>
    <col min="6" max="6" width="11" customWidth="1"/>
    <col min="7" max="7" width="2.5546875" customWidth="1"/>
    <col min="8" max="8" width="3" customWidth="1"/>
    <col min="9" max="10" width="3.109375" customWidth="1"/>
    <col min="11" max="11" width="2.44140625" customWidth="1"/>
    <col min="12" max="12" width="2.88671875" customWidth="1"/>
    <col min="13" max="13" width="0.6640625" customWidth="1"/>
    <col min="14" max="14" width="5.33203125" customWidth="1"/>
    <col min="15" max="15" width="10.5546875" customWidth="1"/>
    <col min="16" max="16" width="5.109375" customWidth="1"/>
    <col min="17" max="17" width="7.44140625" style="112" customWidth="1"/>
    <col min="18" max="18" width="6.6640625" style="112" customWidth="1"/>
    <col min="19" max="19" width="4.33203125" style="112" customWidth="1"/>
    <col min="20" max="20" width="2" customWidth="1"/>
    <col min="21" max="22" width="2.6640625" customWidth="1"/>
    <col min="23" max="24" width="2.109375" customWidth="1"/>
    <col min="25" max="25" width="4.6640625" customWidth="1"/>
    <col min="26" max="26" width="1.6640625" customWidth="1"/>
    <col min="27" max="27" width="6.6640625" customWidth="1"/>
    <col min="28" max="29" width="1.88671875" customWidth="1"/>
    <col min="30" max="30" width="3" customWidth="1"/>
    <col min="31" max="31" width="4" customWidth="1"/>
    <col min="32" max="32" width="4.33203125" customWidth="1"/>
    <col min="33" max="33" width="1.109375" customWidth="1"/>
    <col min="34" max="35" width="4.33203125" customWidth="1"/>
    <col min="36" max="36" width="5" customWidth="1"/>
    <col min="37" max="37" width="1.33203125" customWidth="1"/>
    <col min="38" max="256" width="9.109375"/>
    <col min="257" max="257" width="0.6640625" customWidth="1"/>
    <col min="258" max="258" width="3.88671875" customWidth="1"/>
    <col min="259" max="259" width="4" customWidth="1"/>
    <col min="260" max="260" width="2.44140625" customWidth="1"/>
    <col min="261" max="261" width="1.6640625" customWidth="1"/>
    <col min="262" max="262" width="11" customWidth="1"/>
    <col min="263" max="263" width="2.5546875" customWidth="1"/>
    <col min="264" max="264" width="3" customWidth="1"/>
    <col min="265" max="266" width="3.109375" customWidth="1"/>
    <col min="267" max="267" width="2.44140625" customWidth="1"/>
    <col min="268" max="268" width="2.88671875" customWidth="1"/>
    <col min="269" max="269" width="0.6640625" customWidth="1"/>
    <col min="270" max="270" width="5.33203125" customWidth="1"/>
    <col min="271" max="271" width="10.5546875" customWidth="1"/>
    <col min="272" max="272" width="5.109375" customWidth="1"/>
    <col min="273" max="273" width="7.44140625" customWidth="1"/>
    <col min="274" max="274" width="6.6640625" customWidth="1"/>
    <col min="275" max="275" width="4.33203125" customWidth="1"/>
    <col min="276" max="276" width="2" customWidth="1"/>
    <col min="277" max="278" width="2.6640625" customWidth="1"/>
    <col min="279" max="280" width="2.109375" customWidth="1"/>
    <col min="281" max="281" width="4.6640625" customWidth="1"/>
    <col min="282" max="282" width="1.6640625" customWidth="1"/>
    <col min="283" max="283" width="6.6640625" customWidth="1"/>
    <col min="284" max="285" width="1.88671875" customWidth="1"/>
    <col min="286" max="286" width="3" customWidth="1"/>
    <col min="287" max="287" width="4" customWidth="1"/>
    <col min="288" max="288" width="4.33203125" customWidth="1"/>
    <col min="289" max="289" width="1.109375" customWidth="1"/>
    <col min="290" max="291" width="4.33203125" customWidth="1"/>
    <col min="292" max="292" width="5" customWidth="1"/>
    <col min="293" max="293" width="1.33203125" customWidth="1"/>
    <col min="294" max="512" width="9.109375"/>
    <col min="513" max="513" width="0.6640625" customWidth="1"/>
    <col min="514" max="514" width="3.88671875" customWidth="1"/>
    <col min="515" max="515" width="4" customWidth="1"/>
    <col min="516" max="516" width="2.44140625" customWidth="1"/>
    <col min="517" max="517" width="1.6640625" customWidth="1"/>
    <col min="518" max="518" width="11" customWidth="1"/>
    <col min="519" max="519" width="2.5546875" customWidth="1"/>
    <col min="520" max="520" width="3" customWidth="1"/>
    <col min="521" max="522" width="3.109375" customWidth="1"/>
    <col min="523" max="523" width="2.44140625" customWidth="1"/>
    <col min="524" max="524" width="2.88671875" customWidth="1"/>
    <col min="525" max="525" width="0.6640625" customWidth="1"/>
    <col min="526" max="526" width="5.33203125" customWidth="1"/>
    <col min="527" max="527" width="10.5546875" customWidth="1"/>
    <col min="528" max="528" width="5.109375" customWidth="1"/>
    <col min="529" max="529" width="7.44140625" customWidth="1"/>
    <col min="530" max="530" width="6.6640625" customWidth="1"/>
    <col min="531" max="531" width="4.33203125" customWidth="1"/>
    <col min="532" max="532" width="2" customWidth="1"/>
    <col min="533" max="534" width="2.6640625" customWidth="1"/>
    <col min="535" max="536" width="2.109375" customWidth="1"/>
    <col min="537" max="537" width="4.6640625" customWidth="1"/>
    <col min="538" max="538" width="1.6640625" customWidth="1"/>
    <col min="539" max="539" width="6.6640625" customWidth="1"/>
    <col min="540" max="541" width="1.88671875" customWidth="1"/>
    <col min="542" max="542" width="3" customWidth="1"/>
    <col min="543" max="543" width="4" customWidth="1"/>
    <col min="544" max="544" width="4.33203125" customWidth="1"/>
    <col min="545" max="545" width="1.109375" customWidth="1"/>
    <col min="546" max="547" width="4.33203125" customWidth="1"/>
    <col min="548" max="548" width="5" customWidth="1"/>
    <col min="549" max="549" width="1.33203125" customWidth="1"/>
    <col min="550" max="768" width="9.109375"/>
    <col min="769" max="769" width="0.6640625" customWidth="1"/>
    <col min="770" max="770" width="3.88671875" customWidth="1"/>
    <col min="771" max="771" width="4" customWidth="1"/>
    <col min="772" max="772" width="2.44140625" customWidth="1"/>
    <col min="773" max="773" width="1.6640625" customWidth="1"/>
    <col min="774" max="774" width="11" customWidth="1"/>
    <col min="775" max="775" width="2.5546875" customWidth="1"/>
    <col min="776" max="776" width="3" customWidth="1"/>
    <col min="777" max="778" width="3.109375" customWidth="1"/>
    <col min="779" max="779" width="2.44140625" customWidth="1"/>
    <col min="780" max="780" width="2.88671875" customWidth="1"/>
    <col min="781" max="781" width="0.6640625" customWidth="1"/>
    <col min="782" max="782" width="5.33203125" customWidth="1"/>
    <col min="783" max="783" width="10.5546875" customWidth="1"/>
    <col min="784" max="784" width="5.109375" customWidth="1"/>
    <col min="785" max="785" width="7.44140625" customWidth="1"/>
    <col min="786" max="786" width="6.6640625" customWidth="1"/>
    <col min="787" max="787" width="4.33203125" customWidth="1"/>
    <col min="788" max="788" width="2" customWidth="1"/>
    <col min="789" max="790" width="2.6640625" customWidth="1"/>
    <col min="791" max="792" width="2.109375" customWidth="1"/>
    <col min="793" max="793" width="4.6640625" customWidth="1"/>
    <col min="794" max="794" width="1.6640625" customWidth="1"/>
    <col min="795" max="795" width="6.6640625" customWidth="1"/>
    <col min="796" max="797" width="1.88671875" customWidth="1"/>
    <col min="798" max="798" width="3" customWidth="1"/>
    <col min="799" max="799" width="4" customWidth="1"/>
    <col min="800" max="800" width="4.33203125" customWidth="1"/>
    <col min="801" max="801" width="1.109375" customWidth="1"/>
    <col min="802" max="803" width="4.33203125" customWidth="1"/>
    <col min="804" max="804" width="5" customWidth="1"/>
    <col min="805" max="805" width="1.33203125" customWidth="1"/>
    <col min="806" max="1024" width="9.109375"/>
    <col min="1025" max="1025" width="0.6640625" customWidth="1"/>
    <col min="1026" max="1026" width="3.88671875" customWidth="1"/>
    <col min="1027" max="1027" width="4" customWidth="1"/>
    <col min="1028" max="1028" width="2.44140625" customWidth="1"/>
    <col min="1029" max="1029" width="1.6640625" customWidth="1"/>
    <col min="1030" max="1030" width="11" customWidth="1"/>
    <col min="1031" max="1031" width="2.5546875" customWidth="1"/>
    <col min="1032" max="1032" width="3" customWidth="1"/>
    <col min="1033" max="1034" width="3.109375" customWidth="1"/>
    <col min="1035" max="1035" width="2.44140625" customWidth="1"/>
    <col min="1036" max="1036" width="2.88671875" customWidth="1"/>
    <col min="1037" max="1037" width="0.6640625" customWidth="1"/>
    <col min="1038" max="1038" width="5.33203125" customWidth="1"/>
    <col min="1039" max="1039" width="10.5546875" customWidth="1"/>
    <col min="1040" max="1040" width="5.109375" customWidth="1"/>
    <col min="1041" max="1041" width="7.44140625" customWidth="1"/>
    <col min="1042" max="1042" width="6.6640625" customWidth="1"/>
    <col min="1043" max="1043" width="4.33203125" customWidth="1"/>
    <col min="1044" max="1044" width="2" customWidth="1"/>
    <col min="1045" max="1046" width="2.6640625" customWidth="1"/>
    <col min="1047" max="1048" width="2.109375" customWidth="1"/>
    <col min="1049" max="1049" width="4.6640625" customWidth="1"/>
    <col min="1050" max="1050" width="1.6640625" customWidth="1"/>
    <col min="1051" max="1051" width="6.6640625" customWidth="1"/>
    <col min="1052" max="1053" width="1.88671875" customWidth="1"/>
    <col min="1054" max="1054" width="3" customWidth="1"/>
    <col min="1055" max="1055" width="4" customWidth="1"/>
    <col min="1056" max="1056" width="4.33203125" customWidth="1"/>
    <col min="1057" max="1057" width="1.109375" customWidth="1"/>
    <col min="1058" max="1059" width="4.33203125" customWidth="1"/>
    <col min="1060" max="1060" width="5" customWidth="1"/>
    <col min="1061" max="1061" width="1.33203125" customWidth="1"/>
    <col min="1062" max="1280" width="9.109375"/>
    <col min="1281" max="1281" width="0.6640625" customWidth="1"/>
    <col min="1282" max="1282" width="3.88671875" customWidth="1"/>
    <col min="1283" max="1283" width="4" customWidth="1"/>
    <col min="1284" max="1284" width="2.44140625" customWidth="1"/>
    <col min="1285" max="1285" width="1.6640625" customWidth="1"/>
    <col min="1286" max="1286" width="11" customWidth="1"/>
    <col min="1287" max="1287" width="2.5546875" customWidth="1"/>
    <col min="1288" max="1288" width="3" customWidth="1"/>
    <col min="1289" max="1290" width="3.109375" customWidth="1"/>
    <col min="1291" max="1291" width="2.44140625" customWidth="1"/>
    <col min="1292" max="1292" width="2.88671875" customWidth="1"/>
    <col min="1293" max="1293" width="0.6640625" customWidth="1"/>
    <col min="1294" max="1294" width="5.33203125" customWidth="1"/>
    <col min="1295" max="1295" width="10.5546875" customWidth="1"/>
    <col min="1296" max="1296" width="5.109375" customWidth="1"/>
    <col min="1297" max="1297" width="7.44140625" customWidth="1"/>
    <col min="1298" max="1298" width="6.6640625" customWidth="1"/>
    <col min="1299" max="1299" width="4.33203125" customWidth="1"/>
    <col min="1300" max="1300" width="2" customWidth="1"/>
    <col min="1301" max="1302" width="2.6640625" customWidth="1"/>
    <col min="1303" max="1304" width="2.109375" customWidth="1"/>
    <col min="1305" max="1305" width="4.6640625" customWidth="1"/>
    <col min="1306" max="1306" width="1.6640625" customWidth="1"/>
    <col min="1307" max="1307" width="6.6640625" customWidth="1"/>
    <col min="1308" max="1309" width="1.88671875" customWidth="1"/>
    <col min="1310" max="1310" width="3" customWidth="1"/>
    <col min="1311" max="1311" width="4" customWidth="1"/>
    <col min="1312" max="1312" width="4.33203125" customWidth="1"/>
    <col min="1313" max="1313" width="1.109375" customWidth="1"/>
    <col min="1314" max="1315" width="4.33203125" customWidth="1"/>
    <col min="1316" max="1316" width="5" customWidth="1"/>
    <col min="1317" max="1317" width="1.33203125" customWidth="1"/>
    <col min="1318" max="1536" width="9.109375"/>
    <col min="1537" max="1537" width="0.6640625" customWidth="1"/>
    <col min="1538" max="1538" width="3.88671875" customWidth="1"/>
    <col min="1539" max="1539" width="4" customWidth="1"/>
    <col min="1540" max="1540" width="2.44140625" customWidth="1"/>
    <col min="1541" max="1541" width="1.6640625" customWidth="1"/>
    <col min="1542" max="1542" width="11" customWidth="1"/>
    <col min="1543" max="1543" width="2.5546875" customWidth="1"/>
    <col min="1544" max="1544" width="3" customWidth="1"/>
    <col min="1545" max="1546" width="3.109375" customWidth="1"/>
    <col min="1547" max="1547" width="2.44140625" customWidth="1"/>
    <col min="1548" max="1548" width="2.88671875" customWidth="1"/>
    <col min="1549" max="1549" width="0.6640625" customWidth="1"/>
    <col min="1550" max="1550" width="5.33203125" customWidth="1"/>
    <col min="1551" max="1551" width="10.5546875" customWidth="1"/>
    <col min="1552" max="1552" width="5.109375" customWidth="1"/>
    <col min="1553" max="1553" width="7.44140625" customWidth="1"/>
    <col min="1554" max="1554" width="6.6640625" customWidth="1"/>
    <col min="1555" max="1555" width="4.33203125" customWidth="1"/>
    <col min="1556" max="1556" width="2" customWidth="1"/>
    <col min="1557" max="1558" width="2.6640625" customWidth="1"/>
    <col min="1559" max="1560" width="2.109375" customWidth="1"/>
    <col min="1561" max="1561" width="4.6640625" customWidth="1"/>
    <col min="1562" max="1562" width="1.6640625" customWidth="1"/>
    <col min="1563" max="1563" width="6.6640625" customWidth="1"/>
    <col min="1564" max="1565" width="1.88671875" customWidth="1"/>
    <col min="1566" max="1566" width="3" customWidth="1"/>
    <col min="1567" max="1567" width="4" customWidth="1"/>
    <col min="1568" max="1568" width="4.33203125" customWidth="1"/>
    <col min="1569" max="1569" width="1.109375" customWidth="1"/>
    <col min="1570" max="1571" width="4.33203125" customWidth="1"/>
    <col min="1572" max="1572" width="5" customWidth="1"/>
    <col min="1573" max="1573" width="1.33203125" customWidth="1"/>
    <col min="1574" max="1792" width="9.109375"/>
    <col min="1793" max="1793" width="0.6640625" customWidth="1"/>
    <col min="1794" max="1794" width="3.88671875" customWidth="1"/>
    <col min="1795" max="1795" width="4" customWidth="1"/>
    <col min="1796" max="1796" width="2.44140625" customWidth="1"/>
    <col min="1797" max="1797" width="1.6640625" customWidth="1"/>
    <col min="1798" max="1798" width="11" customWidth="1"/>
    <col min="1799" max="1799" width="2.5546875" customWidth="1"/>
    <col min="1800" max="1800" width="3" customWidth="1"/>
    <col min="1801" max="1802" width="3.109375" customWidth="1"/>
    <col min="1803" max="1803" width="2.44140625" customWidth="1"/>
    <col min="1804" max="1804" width="2.88671875" customWidth="1"/>
    <col min="1805" max="1805" width="0.6640625" customWidth="1"/>
    <col min="1806" max="1806" width="5.33203125" customWidth="1"/>
    <col min="1807" max="1807" width="10.5546875" customWidth="1"/>
    <col min="1808" max="1808" width="5.109375" customWidth="1"/>
    <col min="1809" max="1809" width="7.44140625" customWidth="1"/>
    <col min="1810" max="1810" width="6.6640625" customWidth="1"/>
    <col min="1811" max="1811" width="4.33203125" customWidth="1"/>
    <col min="1812" max="1812" width="2" customWidth="1"/>
    <col min="1813" max="1814" width="2.6640625" customWidth="1"/>
    <col min="1815" max="1816" width="2.109375" customWidth="1"/>
    <col min="1817" max="1817" width="4.6640625" customWidth="1"/>
    <col min="1818" max="1818" width="1.6640625" customWidth="1"/>
    <col min="1819" max="1819" width="6.6640625" customWidth="1"/>
    <col min="1820" max="1821" width="1.88671875" customWidth="1"/>
    <col min="1822" max="1822" width="3" customWidth="1"/>
    <col min="1823" max="1823" width="4" customWidth="1"/>
    <col min="1824" max="1824" width="4.33203125" customWidth="1"/>
    <col min="1825" max="1825" width="1.109375" customWidth="1"/>
    <col min="1826" max="1827" width="4.33203125" customWidth="1"/>
    <col min="1828" max="1828" width="5" customWidth="1"/>
    <col min="1829" max="1829" width="1.33203125" customWidth="1"/>
    <col min="1830" max="2048" width="9.109375"/>
    <col min="2049" max="2049" width="0.6640625" customWidth="1"/>
    <col min="2050" max="2050" width="3.88671875" customWidth="1"/>
    <col min="2051" max="2051" width="4" customWidth="1"/>
    <col min="2052" max="2052" width="2.44140625" customWidth="1"/>
    <col min="2053" max="2053" width="1.6640625" customWidth="1"/>
    <col min="2054" max="2054" width="11" customWidth="1"/>
    <col min="2055" max="2055" width="2.5546875" customWidth="1"/>
    <col min="2056" max="2056" width="3" customWidth="1"/>
    <col min="2057" max="2058" width="3.109375" customWidth="1"/>
    <col min="2059" max="2059" width="2.44140625" customWidth="1"/>
    <col min="2060" max="2060" width="2.88671875" customWidth="1"/>
    <col min="2061" max="2061" width="0.6640625" customWidth="1"/>
    <col min="2062" max="2062" width="5.33203125" customWidth="1"/>
    <col min="2063" max="2063" width="10.5546875" customWidth="1"/>
    <col min="2064" max="2064" width="5.109375" customWidth="1"/>
    <col min="2065" max="2065" width="7.44140625" customWidth="1"/>
    <col min="2066" max="2066" width="6.6640625" customWidth="1"/>
    <col min="2067" max="2067" width="4.33203125" customWidth="1"/>
    <col min="2068" max="2068" width="2" customWidth="1"/>
    <col min="2069" max="2070" width="2.6640625" customWidth="1"/>
    <col min="2071" max="2072" width="2.109375" customWidth="1"/>
    <col min="2073" max="2073" width="4.6640625" customWidth="1"/>
    <col min="2074" max="2074" width="1.6640625" customWidth="1"/>
    <col min="2075" max="2075" width="6.6640625" customWidth="1"/>
    <col min="2076" max="2077" width="1.88671875" customWidth="1"/>
    <col min="2078" max="2078" width="3" customWidth="1"/>
    <col min="2079" max="2079" width="4" customWidth="1"/>
    <col min="2080" max="2080" width="4.33203125" customWidth="1"/>
    <col min="2081" max="2081" width="1.109375" customWidth="1"/>
    <col min="2082" max="2083" width="4.33203125" customWidth="1"/>
    <col min="2084" max="2084" width="5" customWidth="1"/>
    <col min="2085" max="2085" width="1.33203125" customWidth="1"/>
    <col min="2086" max="2304" width="9.109375"/>
    <col min="2305" max="2305" width="0.6640625" customWidth="1"/>
    <col min="2306" max="2306" width="3.88671875" customWidth="1"/>
    <col min="2307" max="2307" width="4" customWidth="1"/>
    <col min="2308" max="2308" width="2.44140625" customWidth="1"/>
    <col min="2309" max="2309" width="1.6640625" customWidth="1"/>
    <col min="2310" max="2310" width="11" customWidth="1"/>
    <col min="2311" max="2311" width="2.5546875" customWidth="1"/>
    <col min="2312" max="2312" width="3" customWidth="1"/>
    <col min="2313" max="2314" width="3.109375" customWidth="1"/>
    <col min="2315" max="2315" width="2.44140625" customWidth="1"/>
    <col min="2316" max="2316" width="2.88671875" customWidth="1"/>
    <col min="2317" max="2317" width="0.6640625" customWidth="1"/>
    <col min="2318" max="2318" width="5.33203125" customWidth="1"/>
    <col min="2319" max="2319" width="10.5546875" customWidth="1"/>
    <col min="2320" max="2320" width="5.109375" customWidth="1"/>
    <col min="2321" max="2321" width="7.44140625" customWidth="1"/>
    <col min="2322" max="2322" width="6.6640625" customWidth="1"/>
    <col min="2323" max="2323" width="4.33203125" customWidth="1"/>
    <col min="2324" max="2324" width="2" customWidth="1"/>
    <col min="2325" max="2326" width="2.6640625" customWidth="1"/>
    <col min="2327" max="2328" width="2.109375" customWidth="1"/>
    <col min="2329" max="2329" width="4.6640625" customWidth="1"/>
    <col min="2330" max="2330" width="1.6640625" customWidth="1"/>
    <col min="2331" max="2331" width="6.6640625" customWidth="1"/>
    <col min="2332" max="2333" width="1.88671875" customWidth="1"/>
    <col min="2334" max="2334" width="3" customWidth="1"/>
    <col min="2335" max="2335" width="4" customWidth="1"/>
    <col min="2336" max="2336" width="4.33203125" customWidth="1"/>
    <col min="2337" max="2337" width="1.109375" customWidth="1"/>
    <col min="2338" max="2339" width="4.33203125" customWidth="1"/>
    <col min="2340" max="2340" width="5" customWidth="1"/>
    <col min="2341" max="2341" width="1.33203125" customWidth="1"/>
    <col min="2342" max="2560" width="9.109375"/>
    <col min="2561" max="2561" width="0.6640625" customWidth="1"/>
    <col min="2562" max="2562" width="3.88671875" customWidth="1"/>
    <col min="2563" max="2563" width="4" customWidth="1"/>
    <col min="2564" max="2564" width="2.44140625" customWidth="1"/>
    <col min="2565" max="2565" width="1.6640625" customWidth="1"/>
    <col min="2566" max="2566" width="11" customWidth="1"/>
    <col min="2567" max="2567" width="2.5546875" customWidth="1"/>
    <col min="2568" max="2568" width="3" customWidth="1"/>
    <col min="2569" max="2570" width="3.109375" customWidth="1"/>
    <col min="2571" max="2571" width="2.44140625" customWidth="1"/>
    <col min="2572" max="2572" width="2.88671875" customWidth="1"/>
    <col min="2573" max="2573" width="0.6640625" customWidth="1"/>
    <col min="2574" max="2574" width="5.33203125" customWidth="1"/>
    <col min="2575" max="2575" width="10.5546875" customWidth="1"/>
    <col min="2576" max="2576" width="5.109375" customWidth="1"/>
    <col min="2577" max="2577" width="7.44140625" customWidth="1"/>
    <col min="2578" max="2578" width="6.6640625" customWidth="1"/>
    <col min="2579" max="2579" width="4.33203125" customWidth="1"/>
    <col min="2580" max="2580" width="2" customWidth="1"/>
    <col min="2581" max="2582" width="2.6640625" customWidth="1"/>
    <col min="2583" max="2584" width="2.109375" customWidth="1"/>
    <col min="2585" max="2585" width="4.6640625" customWidth="1"/>
    <col min="2586" max="2586" width="1.6640625" customWidth="1"/>
    <col min="2587" max="2587" width="6.6640625" customWidth="1"/>
    <col min="2588" max="2589" width="1.88671875" customWidth="1"/>
    <col min="2590" max="2590" width="3" customWidth="1"/>
    <col min="2591" max="2591" width="4" customWidth="1"/>
    <col min="2592" max="2592" width="4.33203125" customWidth="1"/>
    <col min="2593" max="2593" width="1.109375" customWidth="1"/>
    <col min="2594" max="2595" width="4.33203125" customWidth="1"/>
    <col min="2596" max="2596" width="5" customWidth="1"/>
    <col min="2597" max="2597" width="1.33203125" customWidth="1"/>
    <col min="2598" max="2816" width="9.109375"/>
    <col min="2817" max="2817" width="0.6640625" customWidth="1"/>
    <col min="2818" max="2818" width="3.88671875" customWidth="1"/>
    <col min="2819" max="2819" width="4" customWidth="1"/>
    <col min="2820" max="2820" width="2.44140625" customWidth="1"/>
    <col min="2821" max="2821" width="1.6640625" customWidth="1"/>
    <col min="2822" max="2822" width="11" customWidth="1"/>
    <col min="2823" max="2823" width="2.5546875" customWidth="1"/>
    <col min="2824" max="2824" width="3" customWidth="1"/>
    <col min="2825" max="2826" width="3.109375" customWidth="1"/>
    <col min="2827" max="2827" width="2.44140625" customWidth="1"/>
    <col min="2828" max="2828" width="2.88671875" customWidth="1"/>
    <col min="2829" max="2829" width="0.6640625" customWidth="1"/>
    <col min="2830" max="2830" width="5.33203125" customWidth="1"/>
    <col min="2831" max="2831" width="10.5546875" customWidth="1"/>
    <col min="2832" max="2832" width="5.109375" customWidth="1"/>
    <col min="2833" max="2833" width="7.44140625" customWidth="1"/>
    <col min="2834" max="2834" width="6.6640625" customWidth="1"/>
    <col min="2835" max="2835" width="4.33203125" customWidth="1"/>
    <col min="2836" max="2836" width="2" customWidth="1"/>
    <col min="2837" max="2838" width="2.6640625" customWidth="1"/>
    <col min="2839" max="2840" width="2.109375" customWidth="1"/>
    <col min="2841" max="2841" width="4.6640625" customWidth="1"/>
    <col min="2842" max="2842" width="1.6640625" customWidth="1"/>
    <col min="2843" max="2843" width="6.6640625" customWidth="1"/>
    <col min="2844" max="2845" width="1.88671875" customWidth="1"/>
    <col min="2846" max="2846" width="3" customWidth="1"/>
    <col min="2847" max="2847" width="4" customWidth="1"/>
    <col min="2848" max="2848" width="4.33203125" customWidth="1"/>
    <col min="2849" max="2849" width="1.109375" customWidth="1"/>
    <col min="2850" max="2851" width="4.33203125" customWidth="1"/>
    <col min="2852" max="2852" width="5" customWidth="1"/>
    <col min="2853" max="2853" width="1.33203125" customWidth="1"/>
    <col min="2854" max="3072" width="9.109375"/>
    <col min="3073" max="3073" width="0.6640625" customWidth="1"/>
    <col min="3074" max="3074" width="3.88671875" customWidth="1"/>
    <col min="3075" max="3075" width="4" customWidth="1"/>
    <col min="3076" max="3076" width="2.44140625" customWidth="1"/>
    <col min="3077" max="3077" width="1.6640625" customWidth="1"/>
    <col min="3078" max="3078" width="11" customWidth="1"/>
    <col min="3079" max="3079" width="2.5546875" customWidth="1"/>
    <col min="3080" max="3080" width="3" customWidth="1"/>
    <col min="3081" max="3082" width="3.109375" customWidth="1"/>
    <col min="3083" max="3083" width="2.44140625" customWidth="1"/>
    <col min="3084" max="3084" width="2.88671875" customWidth="1"/>
    <col min="3085" max="3085" width="0.6640625" customWidth="1"/>
    <col min="3086" max="3086" width="5.33203125" customWidth="1"/>
    <col min="3087" max="3087" width="10.5546875" customWidth="1"/>
    <col min="3088" max="3088" width="5.109375" customWidth="1"/>
    <col min="3089" max="3089" width="7.44140625" customWidth="1"/>
    <col min="3090" max="3090" width="6.6640625" customWidth="1"/>
    <col min="3091" max="3091" width="4.33203125" customWidth="1"/>
    <col min="3092" max="3092" width="2" customWidth="1"/>
    <col min="3093" max="3094" width="2.6640625" customWidth="1"/>
    <col min="3095" max="3096" width="2.109375" customWidth="1"/>
    <col min="3097" max="3097" width="4.6640625" customWidth="1"/>
    <col min="3098" max="3098" width="1.6640625" customWidth="1"/>
    <col min="3099" max="3099" width="6.6640625" customWidth="1"/>
    <col min="3100" max="3101" width="1.88671875" customWidth="1"/>
    <col min="3102" max="3102" width="3" customWidth="1"/>
    <col min="3103" max="3103" width="4" customWidth="1"/>
    <col min="3104" max="3104" width="4.33203125" customWidth="1"/>
    <col min="3105" max="3105" width="1.109375" customWidth="1"/>
    <col min="3106" max="3107" width="4.33203125" customWidth="1"/>
    <col min="3108" max="3108" width="5" customWidth="1"/>
    <col min="3109" max="3109" width="1.33203125" customWidth="1"/>
    <col min="3110" max="3328" width="9.109375"/>
    <col min="3329" max="3329" width="0.6640625" customWidth="1"/>
    <col min="3330" max="3330" width="3.88671875" customWidth="1"/>
    <col min="3331" max="3331" width="4" customWidth="1"/>
    <col min="3332" max="3332" width="2.44140625" customWidth="1"/>
    <col min="3333" max="3333" width="1.6640625" customWidth="1"/>
    <col min="3334" max="3334" width="11" customWidth="1"/>
    <col min="3335" max="3335" width="2.5546875" customWidth="1"/>
    <col min="3336" max="3336" width="3" customWidth="1"/>
    <col min="3337" max="3338" width="3.109375" customWidth="1"/>
    <col min="3339" max="3339" width="2.44140625" customWidth="1"/>
    <col min="3340" max="3340" width="2.88671875" customWidth="1"/>
    <col min="3341" max="3341" width="0.6640625" customWidth="1"/>
    <col min="3342" max="3342" width="5.33203125" customWidth="1"/>
    <col min="3343" max="3343" width="10.5546875" customWidth="1"/>
    <col min="3344" max="3344" width="5.109375" customWidth="1"/>
    <col min="3345" max="3345" width="7.44140625" customWidth="1"/>
    <col min="3346" max="3346" width="6.6640625" customWidth="1"/>
    <col min="3347" max="3347" width="4.33203125" customWidth="1"/>
    <col min="3348" max="3348" width="2" customWidth="1"/>
    <col min="3349" max="3350" width="2.6640625" customWidth="1"/>
    <col min="3351" max="3352" width="2.109375" customWidth="1"/>
    <col min="3353" max="3353" width="4.6640625" customWidth="1"/>
    <col min="3354" max="3354" width="1.6640625" customWidth="1"/>
    <col min="3355" max="3355" width="6.6640625" customWidth="1"/>
    <col min="3356" max="3357" width="1.88671875" customWidth="1"/>
    <col min="3358" max="3358" width="3" customWidth="1"/>
    <col min="3359" max="3359" width="4" customWidth="1"/>
    <col min="3360" max="3360" width="4.33203125" customWidth="1"/>
    <col min="3361" max="3361" width="1.109375" customWidth="1"/>
    <col min="3362" max="3363" width="4.33203125" customWidth="1"/>
    <col min="3364" max="3364" width="5" customWidth="1"/>
    <col min="3365" max="3365" width="1.33203125" customWidth="1"/>
    <col min="3366" max="3584" width="9.109375"/>
    <col min="3585" max="3585" width="0.6640625" customWidth="1"/>
    <col min="3586" max="3586" width="3.88671875" customWidth="1"/>
    <col min="3587" max="3587" width="4" customWidth="1"/>
    <col min="3588" max="3588" width="2.44140625" customWidth="1"/>
    <col min="3589" max="3589" width="1.6640625" customWidth="1"/>
    <col min="3590" max="3590" width="11" customWidth="1"/>
    <col min="3591" max="3591" width="2.5546875" customWidth="1"/>
    <col min="3592" max="3592" width="3" customWidth="1"/>
    <col min="3593" max="3594" width="3.109375" customWidth="1"/>
    <col min="3595" max="3595" width="2.44140625" customWidth="1"/>
    <col min="3596" max="3596" width="2.88671875" customWidth="1"/>
    <col min="3597" max="3597" width="0.6640625" customWidth="1"/>
    <col min="3598" max="3598" width="5.33203125" customWidth="1"/>
    <col min="3599" max="3599" width="10.5546875" customWidth="1"/>
    <col min="3600" max="3600" width="5.109375" customWidth="1"/>
    <col min="3601" max="3601" width="7.44140625" customWidth="1"/>
    <col min="3602" max="3602" width="6.6640625" customWidth="1"/>
    <col min="3603" max="3603" width="4.33203125" customWidth="1"/>
    <col min="3604" max="3604" width="2" customWidth="1"/>
    <col min="3605" max="3606" width="2.6640625" customWidth="1"/>
    <col min="3607" max="3608" width="2.109375" customWidth="1"/>
    <col min="3609" max="3609" width="4.6640625" customWidth="1"/>
    <col min="3610" max="3610" width="1.6640625" customWidth="1"/>
    <col min="3611" max="3611" width="6.6640625" customWidth="1"/>
    <col min="3612" max="3613" width="1.88671875" customWidth="1"/>
    <col min="3614" max="3614" width="3" customWidth="1"/>
    <col min="3615" max="3615" width="4" customWidth="1"/>
    <col min="3616" max="3616" width="4.33203125" customWidth="1"/>
    <col min="3617" max="3617" width="1.109375" customWidth="1"/>
    <col min="3618" max="3619" width="4.33203125" customWidth="1"/>
    <col min="3620" max="3620" width="5" customWidth="1"/>
    <col min="3621" max="3621" width="1.33203125" customWidth="1"/>
    <col min="3622" max="3840" width="9.109375"/>
    <col min="3841" max="3841" width="0.6640625" customWidth="1"/>
    <col min="3842" max="3842" width="3.88671875" customWidth="1"/>
    <col min="3843" max="3843" width="4" customWidth="1"/>
    <col min="3844" max="3844" width="2.44140625" customWidth="1"/>
    <col min="3845" max="3845" width="1.6640625" customWidth="1"/>
    <col min="3846" max="3846" width="11" customWidth="1"/>
    <col min="3847" max="3847" width="2.5546875" customWidth="1"/>
    <col min="3848" max="3848" width="3" customWidth="1"/>
    <col min="3849" max="3850" width="3.109375" customWidth="1"/>
    <col min="3851" max="3851" width="2.44140625" customWidth="1"/>
    <col min="3852" max="3852" width="2.88671875" customWidth="1"/>
    <col min="3853" max="3853" width="0.6640625" customWidth="1"/>
    <col min="3854" max="3854" width="5.33203125" customWidth="1"/>
    <col min="3855" max="3855" width="10.5546875" customWidth="1"/>
    <col min="3856" max="3856" width="5.109375" customWidth="1"/>
    <col min="3857" max="3857" width="7.44140625" customWidth="1"/>
    <col min="3858" max="3858" width="6.6640625" customWidth="1"/>
    <col min="3859" max="3859" width="4.33203125" customWidth="1"/>
    <col min="3860" max="3860" width="2" customWidth="1"/>
    <col min="3861" max="3862" width="2.6640625" customWidth="1"/>
    <col min="3863" max="3864" width="2.109375" customWidth="1"/>
    <col min="3865" max="3865" width="4.6640625" customWidth="1"/>
    <col min="3866" max="3866" width="1.6640625" customWidth="1"/>
    <col min="3867" max="3867" width="6.6640625" customWidth="1"/>
    <col min="3868" max="3869" width="1.88671875" customWidth="1"/>
    <col min="3870" max="3870" width="3" customWidth="1"/>
    <col min="3871" max="3871" width="4" customWidth="1"/>
    <col min="3872" max="3872" width="4.33203125" customWidth="1"/>
    <col min="3873" max="3873" width="1.109375" customWidth="1"/>
    <col min="3874" max="3875" width="4.33203125" customWidth="1"/>
    <col min="3876" max="3876" width="5" customWidth="1"/>
    <col min="3877" max="3877" width="1.33203125" customWidth="1"/>
    <col min="3878" max="4096" width="9.109375"/>
    <col min="4097" max="4097" width="0.6640625" customWidth="1"/>
    <col min="4098" max="4098" width="3.88671875" customWidth="1"/>
    <col min="4099" max="4099" width="4" customWidth="1"/>
    <col min="4100" max="4100" width="2.44140625" customWidth="1"/>
    <col min="4101" max="4101" width="1.6640625" customWidth="1"/>
    <col min="4102" max="4102" width="11" customWidth="1"/>
    <col min="4103" max="4103" width="2.5546875" customWidth="1"/>
    <col min="4104" max="4104" width="3" customWidth="1"/>
    <col min="4105" max="4106" width="3.109375" customWidth="1"/>
    <col min="4107" max="4107" width="2.44140625" customWidth="1"/>
    <col min="4108" max="4108" width="2.88671875" customWidth="1"/>
    <col min="4109" max="4109" width="0.6640625" customWidth="1"/>
    <col min="4110" max="4110" width="5.33203125" customWidth="1"/>
    <col min="4111" max="4111" width="10.5546875" customWidth="1"/>
    <col min="4112" max="4112" width="5.109375" customWidth="1"/>
    <col min="4113" max="4113" width="7.44140625" customWidth="1"/>
    <col min="4114" max="4114" width="6.6640625" customWidth="1"/>
    <col min="4115" max="4115" width="4.33203125" customWidth="1"/>
    <col min="4116" max="4116" width="2" customWidth="1"/>
    <col min="4117" max="4118" width="2.6640625" customWidth="1"/>
    <col min="4119" max="4120" width="2.109375" customWidth="1"/>
    <col min="4121" max="4121" width="4.6640625" customWidth="1"/>
    <col min="4122" max="4122" width="1.6640625" customWidth="1"/>
    <col min="4123" max="4123" width="6.6640625" customWidth="1"/>
    <col min="4124" max="4125" width="1.88671875" customWidth="1"/>
    <col min="4126" max="4126" width="3" customWidth="1"/>
    <col min="4127" max="4127" width="4" customWidth="1"/>
    <col min="4128" max="4128" width="4.33203125" customWidth="1"/>
    <col min="4129" max="4129" width="1.109375" customWidth="1"/>
    <col min="4130" max="4131" width="4.33203125" customWidth="1"/>
    <col min="4132" max="4132" width="5" customWidth="1"/>
    <col min="4133" max="4133" width="1.33203125" customWidth="1"/>
    <col min="4134" max="4352" width="9.109375"/>
    <col min="4353" max="4353" width="0.6640625" customWidth="1"/>
    <col min="4354" max="4354" width="3.88671875" customWidth="1"/>
    <col min="4355" max="4355" width="4" customWidth="1"/>
    <col min="4356" max="4356" width="2.44140625" customWidth="1"/>
    <col min="4357" max="4357" width="1.6640625" customWidth="1"/>
    <col min="4358" max="4358" width="11" customWidth="1"/>
    <col min="4359" max="4359" width="2.5546875" customWidth="1"/>
    <col min="4360" max="4360" width="3" customWidth="1"/>
    <col min="4361" max="4362" width="3.109375" customWidth="1"/>
    <col min="4363" max="4363" width="2.44140625" customWidth="1"/>
    <col min="4364" max="4364" width="2.88671875" customWidth="1"/>
    <col min="4365" max="4365" width="0.6640625" customWidth="1"/>
    <col min="4366" max="4366" width="5.33203125" customWidth="1"/>
    <col min="4367" max="4367" width="10.5546875" customWidth="1"/>
    <col min="4368" max="4368" width="5.109375" customWidth="1"/>
    <col min="4369" max="4369" width="7.44140625" customWidth="1"/>
    <col min="4370" max="4370" width="6.6640625" customWidth="1"/>
    <col min="4371" max="4371" width="4.33203125" customWidth="1"/>
    <col min="4372" max="4372" width="2" customWidth="1"/>
    <col min="4373" max="4374" width="2.6640625" customWidth="1"/>
    <col min="4375" max="4376" width="2.109375" customWidth="1"/>
    <col min="4377" max="4377" width="4.6640625" customWidth="1"/>
    <col min="4378" max="4378" width="1.6640625" customWidth="1"/>
    <col min="4379" max="4379" width="6.6640625" customWidth="1"/>
    <col min="4380" max="4381" width="1.88671875" customWidth="1"/>
    <col min="4382" max="4382" width="3" customWidth="1"/>
    <col min="4383" max="4383" width="4" customWidth="1"/>
    <col min="4384" max="4384" width="4.33203125" customWidth="1"/>
    <col min="4385" max="4385" width="1.109375" customWidth="1"/>
    <col min="4386" max="4387" width="4.33203125" customWidth="1"/>
    <col min="4388" max="4388" width="5" customWidth="1"/>
    <col min="4389" max="4389" width="1.33203125" customWidth="1"/>
    <col min="4390" max="4608" width="9.109375"/>
    <col min="4609" max="4609" width="0.6640625" customWidth="1"/>
    <col min="4610" max="4610" width="3.88671875" customWidth="1"/>
    <col min="4611" max="4611" width="4" customWidth="1"/>
    <col min="4612" max="4612" width="2.44140625" customWidth="1"/>
    <col min="4613" max="4613" width="1.6640625" customWidth="1"/>
    <col min="4614" max="4614" width="11" customWidth="1"/>
    <col min="4615" max="4615" width="2.5546875" customWidth="1"/>
    <col min="4616" max="4616" width="3" customWidth="1"/>
    <col min="4617" max="4618" width="3.109375" customWidth="1"/>
    <col min="4619" max="4619" width="2.44140625" customWidth="1"/>
    <col min="4620" max="4620" width="2.88671875" customWidth="1"/>
    <col min="4621" max="4621" width="0.6640625" customWidth="1"/>
    <col min="4622" max="4622" width="5.33203125" customWidth="1"/>
    <col min="4623" max="4623" width="10.5546875" customWidth="1"/>
    <col min="4624" max="4624" width="5.109375" customWidth="1"/>
    <col min="4625" max="4625" width="7.44140625" customWidth="1"/>
    <col min="4626" max="4626" width="6.6640625" customWidth="1"/>
    <col min="4627" max="4627" width="4.33203125" customWidth="1"/>
    <col min="4628" max="4628" width="2" customWidth="1"/>
    <col min="4629" max="4630" width="2.6640625" customWidth="1"/>
    <col min="4631" max="4632" width="2.109375" customWidth="1"/>
    <col min="4633" max="4633" width="4.6640625" customWidth="1"/>
    <col min="4634" max="4634" width="1.6640625" customWidth="1"/>
    <col min="4635" max="4635" width="6.6640625" customWidth="1"/>
    <col min="4636" max="4637" width="1.88671875" customWidth="1"/>
    <col min="4638" max="4638" width="3" customWidth="1"/>
    <col min="4639" max="4639" width="4" customWidth="1"/>
    <col min="4640" max="4640" width="4.33203125" customWidth="1"/>
    <col min="4641" max="4641" width="1.109375" customWidth="1"/>
    <col min="4642" max="4643" width="4.33203125" customWidth="1"/>
    <col min="4644" max="4644" width="5" customWidth="1"/>
    <col min="4645" max="4645" width="1.33203125" customWidth="1"/>
    <col min="4646" max="4864" width="9.109375"/>
    <col min="4865" max="4865" width="0.6640625" customWidth="1"/>
    <col min="4866" max="4866" width="3.88671875" customWidth="1"/>
    <col min="4867" max="4867" width="4" customWidth="1"/>
    <col min="4868" max="4868" width="2.44140625" customWidth="1"/>
    <col min="4869" max="4869" width="1.6640625" customWidth="1"/>
    <col min="4870" max="4870" width="11" customWidth="1"/>
    <col min="4871" max="4871" width="2.5546875" customWidth="1"/>
    <col min="4872" max="4872" width="3" customWidth="1"/>
    <col min="4873" max="4874" width="3.109375" customWidth="1"/>
    <col min="4875" max="4875" width="2.44140625" customWidth="1"/>
    <col min="4876" max="4876" width="2.88671875" customWidth="1"/>
    <col min="4877" max="4877" width="0.6640625" customWidth="1"/>
    <col min="4878" max="4878" width="5.33203125" customWidth="1"/>
    <col min="4879" max="4879" width="10.5546875" customWidth="1"/>
    <col min="4880" max="4880" width="5.109375" customWidth="1"/>
    <col min="4881" max="4881" width="7.44140625" customWidth="1"/>
    <col min="4882" max="4882" width="6.6640625" customWidth="1"/>
    <col min="4883" max="4883" width="4.33203125" customWidth="1"/>
    <col min="4884" max="4884" width="2" customWidth="1"/>
    <col min="4885" max="4886" width="2.6640625" customWidth="1"/>
    <col min="4887" max="4888" width="2.109375" customWidth="1"/>
    <col min="4889" max="4889" width="4.6640625" customWidth="1"/>
    <col min="4890" max="4890" width="1.6640625" customWidth="1"/>
    <col min="4891" max="4891" width="6.6640625" customWidth="1"/>
    <col min="4892" max="4893" width="1.88671875" customWidth="1"/>
    <col min="4894" max="4894" width="3" customWidth="1"/>
    <col min="4895" max="4895" width="4" customWidth="1"/>
    <col min="4896" max="4896" width="4.33203125" customWidth="1"/>
    <col min="4897" max="4897" width="1.109375" customWidth="1"/>
    <col min="4898" max="4899" width="4.33203125" customWidth="1"/>
    <col min="4900" max="4900" width="5" customWidth="1"/>
    <col min="4901" max="4901" width="1.33203125" customWidth="1"/>
    <col min="4902" max="5120" width="9.109375"/>
    <col min="5121" max="5121" width="0.6640625" customWidth="1"/>
    <col min="5122" max="5122" width="3.88671875" customWidth="1"/>
    <col min="5123" max="5123" width="4" customWidth="1"/>
    <col min="5124" max="5124" width="2.44140625" customWidth="1"/>
    <col min="5125" max="5125" width="1.6640625" customWidth="1"/>
    <col min="5126" max="5126" width="11" customWidth="1"/>
    <col min="5127" max="5127" width="2.5546875" customWidth="1"/>
    <col min="5128" max="5128" width="3" customWidth="1"/>
    <col min="5129" max="5130" width="3.109375" customWidth="1"/>
    <col min="5131" max="5131" width="2.44140625" customWidth="1"/>
    <col min="5132" max="5132" width="2.88671875" customWidth="1"/>
    <col min="5133" max="5133" width="0.6640625" customWidth="1"/>
    <col min="5134" max="5134" width="5.33203125" customWidth="1"/>
    <col min="5135" max="5135" width="10.5546875" customWidth="1"/>
    <col min="5136" max="5136" width="5.109375" customWidth="1"/>
    <col min="5137" max="5137" width="7.44140625" customWidth="1"/>
    <col min="5138" max="5138" width="6.6640625" customWidth="1"/>
    <col min="5139" max="5139" width="4.33203125" customWidth="1"/>
    <col min="5140" max="5140" width="2" customWidth="1"/>
    <col min="5141" max="5142" width="2.6640625" customWidth="1"/>
    <col min="5143" max="5144" width="2.109375" customWidth="1"/>
    <col min="5145" max="5145" width="4.6640625" customWidth="1"/>
    <col min="5146" max="5146" width="1.6640625" customWidth="1"/>
    <col min="5147" max="5147" width="6.6640625" customWidth="1"/>
    <col min="5148" max="5149" width="1.88671875" customWidth="1"/>
    <col min="5150" max="5150" width="3" customWidth="1"/>
    <col min="5151" max="5151" width="4" customWidth="1"/>
    <col min="5152" max="5152" width="4.33203125" customWidth="1"/>
    <col min="5153" max="5153" width="1.109375" customWidth="1"/>
    <col min="5154" max="5155" width="4.33203125" customWidth="1"/>
    <col min="5156" max="5156" width="5" customWidth="1"/>
    <col min="5157" max="5157" width="1.33203125" customWidth="1"/>
    <col min="5158" max="5376" width="9.109375"/>
    <col min="5377" max="5377" width="0.6640625" customWidth="1"/>
    <col min="5378" max="5378" width="3.88671875" customWidth="1"/>
    <col min="5379" max="5379" width="4" customWidth="1"/>
    <col min="5380" max="5380" width="2.44140625" customWidth="1"/>
    <col min="5381" max="5381" width="1.6640625" customWidth="1"/>
    <col min="5382" max="5382" width="11" customWidth="1"/>
    <col min="5383" max="5383" width="2.5546875" customWidth="1"/>
    <col min="5384" max="5384" width="3" customWidth="1"/>
    <col min="5385" max="5386" width="3.109375" customWidth="1"/>
    <col min="5387" max="5387" width="2.44140625" customWidth="1"/>
    <col min="5388" max="5388" width="2.88671875" customWidth="1"/>
    <col min="5389" max="5389" width="0.6640625" customWidth="1"/>
    <col min="5390" max="5390" width="5.33203125" customWidth="1"/>
    <col min="5391" max="5391" width="10.5546875" customWidth="1"/>
    <col min="5392" max="5392" width="5.109375" customWidth="1"/>
    <col min="5393" max="5393" width="7.44140625" customWidth="1"/>
    <col min="5394" max="5394" width="6.6640625" customWidth="1"/>
    <col min="5395" max="5395" width="4.33203125" customWidth="1"/>
    <col min="5396" max="5396" width="2" customWidth="1"/>
    <col min="5397" max="5398" width="2.6640625" customWidth="1"/>
    <col min="5399" max="5400" width="2.109375" customWidth="1"/>
    <col min="5401" max="5401" width="4.6640625" customWidth="1"/>
    <col min="5402" max="5402" width="1.6640625" customWidth="1"/>
    <col min="5403" max="5403" width="6.6640625" customWidth="1"/>
    <col min="5404" max="5405" width="1.88671875" customWidth="1"/>
    <col min="5406" max="5406" width="3" customWidth="1"/>
    <col min="5407" max="5407" width="4" customWidth="1"/>
    <col min="5408" max="5408" width="4.33203125" customWidth="1"/>
    <col min="5409" max="5409" width="1.109375" customWidth="1"/>
    <col min="5410" max="5411" width="4.33203125" customWidth="1"/>
    <col min="5412" max="5412" width="5" customWidth="1"/>
    <col min="5413" max="5413" width="1.33203125" customWidth="1"/>
    <col min="5414" max="5632" width="9.109375"/>
    <col min="5633" max="5633" width="0.6640625" customWidth="1"/>
    <col min="5634" max="5634" width="3.88671875" customWidth="1"/>
    <col min="5635" max="5635" width="4" customWidth="1"/>
    <col min="5636" max="5636" width="2.44140625" customWidth="1"/>
    <col min="5637" max="5637" width="1.6640625" customWidth="1"/>
    <col min="5638" max="5638" width="11" customWidth="1"/>
    <col min="5639" max="5639" width="2.5546875" customWidth="1"/>
    <col min="5640" max="5640" width="3" customWidth="1"/>
    <col min="5641" max="5642" width="3.109375" customWidth="1"/>
    <col min="5643" max="5643" width="2.44140625" customWidth="1"/>
    <col min="5644" max="5644" width="2.88671875" customWidth="1"/>
    <col min="5645" max="5645" width="0.6640625" customWidth="1"/>
    <col min="5646" max="5646" width="5.33203125" customWidth="1"/>
    <col min="5647" max="5647" width="10.5546875" customWidth="1"/>
    <col min="5648" max="5648" width="5.109375" customWidth="1"/>
    <col min="5649" max="5649" width="7.44140625" customWidth="1"/>
    <col min="5650" max="5650" width="6.6640625" customWidth="1"/>
    <col min="5651" max="5651" width="4.33203125" customWidth="1"/>
    <col min="5652" max="5652" width="2" customWidth="1"/>
    <col min="5653" max="5654" width="2.6640625" customWidth="1"/>
    <col min="5655" max="5656" width="2.109375" customWidth="1"/>
    <col min="5657" max="5657" width="4.6640625" customWidth="1"/>
    <col min="5658" max="5658" width="1.6640625" customWidth="1"/>
    <col min="5659" max="5659" width="6.6640625" customWidth="1"/>
    <col min="5660" max="5661" width="1.88671875" customWidth="1"/>
    <col min="5662" max="5662" width="3" customWidth="1"/>
    <col min="5663" max="5663" width="4" customWidth="1"/>
    <col min="5664" max="5664" width="4.33203125" customWidth="1"/>
    <col min="5665" max="5665" width="1.109375" customWidth="1"/>
    <col min="5666" max="5667" width="4.33203125" customWidth="1"/>
    <col min="5668" max="5668" width="5" customWidth="1"/>
    <col min="5669" max="5669" width="1.33203125" customWidth="1"/>
    <col min="5670" max="5888" width="9.109375"/>
    <col min="5889" max="5889" width="0.6640625" customWidth="1"/>
    <col min="5890" max="5890" width="3.88671875" customWidth="1"/>
    <col min="5891" max="5891" width="4" customWidth="1"/>
    <col min="5892" max="5892" width="2.44140625" customWidth="1"/>
    <col min="5893" max="5893" width="1.6640625" customWidth="1"/>
    <col min="5894" max="5894" width="11" customWidth="1"/>
    <col min="5895" max="5895" width="2.5546875" customWidth="1"/>
    <col min="5896" max="5896" width="3" customWidth="1"/>
    <col min="5897" max="5898" width="3.109375" customWidth="1"/>
    <col min="5899" max="5899" width="2.44140625" customWidth="1"/>
    <col min="5900" max="5900" width="2.88671875" customWidth="1"/>
    <col min="5901" max="5901" width="0.6640625" customWidth="1"/>
    <col min="5902" max="5902" width="5.33203125" customWidth="1"/>
    <col min="5903" max="5903" width="10.5546875" customWidth="1"/>
    <col min="5904" max="5904" width="5.109375" customWidth="1"/>
    <col min="5905" max="5905" width="7.44140625" customWidth="1"/>
    <col min="5906" max="5906" width="6.6640625" customWidth="1"/>
    <col min="5907" max="5907" width="4.33203125" customWidth="1"/>
    <col min="5908" max="5908" width="2" customWidth="1"/>
    <col min="5909" max="5910" width="2.6640625" customWidth="1"/>
    <col min="5911" max="5912" width="2.109375" customWidth="1"/>
    <col min="5913" max="5913" width="4.6640625" customWidth="1"/>
    <col min="5914" max="5914" width="1.6640625" customWidth="1"/>
    <col min="5915" max="5915" width="6.6640625" customWidth="1"/>
    <col min="5916" max="5917" width="1.88671875" customWidth="1"/>
    <col min="5918" max="5918" width="3" customWidth="1"/>
    <col min="5919" max="5919" width="4" customWidth="1"/>
    <col min="5920" max="5920" width="4.33203125" customWidth="1"/>
    <col min="5921" max="5921" width="1.109375" customWidth="1"/>
    <col min="5922" max="5923" width="4.33203125" customWidth="1"/>
    <col min="5924" max="5924" width="5" customWidth="1"/>
    <col min="5925" max="5925" width="1.33203125" customWidth="1"/>
    <col min="5926" max="6144" width="9.109375"/>
    <col min="6145" max="6145" width="0.6640625" customWidth="1"/>
    <col min="6146" max="6146" width="3.88671875" customWidth="1"/>
    <col min="6147" max="6147" width="4" customWidth="1"/>
    <col min="6148" max="6148" width="2.44140625" customWidth="1"/>
    <col min="6149" max="6149" width="1.6640625" customWidth="1"/>
    <col min="6150" max="6150" width="11" customWidth="1"/>
    <col min="6151" max="6151" width="2.5546875" customWidth="1"/>
    <col min="6152" max="6152" width="3" customWidth="1"/>
    <col min="6153" max="6154" width="3.109375" customWidth="1"/>
    <col min="6155" max="6155" width="2.44140625" customWidth="1"/>
    <col min="6156" max="6156" width="2.88671875" customWidth="1"/>
    <col min="6157" max="6157" width="0.6640625" customWidth="1"/>
    <col min="6158" max="6158" width="5.33203125" customWidth="1"/>
    <col min="6159" max="6159" width="10.5546875" customWidth="1"/>
    <col min="6160" max="6160" width="5.109375" customWidth="1"/>
    <col min="6161" max="6161" width="7.44140625" customWidth="1"/>
    <col min="6162" max="6162" width="6.6640625" customWidth="1"/>
    <col min="6163" max="6163" width="4.33203125" customWidth="1"/>
    <col min="6164" max="6164" width="2" customWidth="1"/>
    <col min="6165" max="6166" width="2.6640625" customWidth="1"/>
    <col min="6167" max="6168" width="2.109375" customWidth="1"/>
    <col min="6169" max="6169" width="4.6640625" customWidth="1"/>
    <col min="6170" max="6170" width="1.6640625" customWidth="1"/>
    <col min="6171" max="6171" width="6.6640625" customWidth="1"/>
    <col min="6172" max="6173" width="1.88671875" customWidth="1"/>
    <col min="6174" max="6174" width="3" customWidth="1"/>
    <col min="6175" max="6175" width="4" customWidth="1"/>
    <col min="6176" max="6176" width="4.33203125" customWidth="1"/>
    <col min="6177" max="6177" width="1.109375" customWidth="1"/>
    <col min="6178" max="6179" width="4.33203125" customWidth="1"/>
    <col min="6180" max="6180" width="5" customWidth="1"/>
    <col min="6181" max="6181" width="1.33203125" customWidth="1"/>
    <col min="6182" max="6400" width="9.109375"/>
    <col min="6401" max="6401" width="0.6640625" customWidth="1"/>
    <col min="6402" max="6402" width="3.88671875" customWidth="1"/>
    <col min="6403" max="6403" width="4" customWidth="1"/>
    <col min="6404" max="6404" width="2.44140625" customWidth="1"/>
    <col min="6405" max="6405" width="1.6640625" customWidth="1"/>
    <col min="6406" max="6406" width="11" customWidth="1"/>
    <col min="6407" max="6407" width="2.5546875" customWidth="1"/>
    <col min="6408" max="6408" width="3" customWidth="1"/>
    <col min="6409" max="6410" width="3.109375" customWidth="1"/>
    <col min="6411" max="6411" width="2.44140625" customWidth="1"/>
    <col min="6412" max="6412" width="2.88671875" customWidth="1"/>
    <col min="6413" max="6413" width="0.6640625" customWidth="1"/>
    <col min="6414" max="6414" width="5.33203125" customWidth="1"/>
    <col min="6415" max="6415" width="10.5546875" customWidth="1"/>
    <col min="6416" max="6416" width="5.109375" customWidth="1"/>
    <col min="6417" max="6417" width="7.44140625" customWidth="1"/>
    <col min="6418" max="6418" width="6.6640625" customWidth="1"/>
    <col min="6419" max="6419" width="4.33203125" customWidth="1"/>
    <col min="6420" max="6420" width="2" customWidth="1"/>
    <col min="6421" max="6422" width="2.6640625" customWidth="1"/>
    <col min="6423" max="6424" width="2.109375" customWidth="1"/>
    <col min="6425" max="6425" width="4.6640625" customWidth="1"/>
    <col min="6426" max="6426" width="1.6640625" customWidth="1"/>
    <col min="6427" max="6427" width="6.6640625" customWidth="1"/>
    <col min="6428" max="6429" width="1.88671875" customWidth="1"/>
    <col min="6430" max="6430" width="3" customWidth="1"/>
    <col min="6431" max="6431" width="4" customWidth="1"/>
    <col min="6432" max="6432" width="4.33203125" customWidth="1"/>
    <col min="6433" max="6433" width="1.109375" customWidth="1"/>
    <col min="6434" max="6435" width="4.33203125" customWidth="1"/>
    <col min="6436" max="6436" width="5" customWidth="1"/>
    <col min="6437" max="6437" width="1.33203125" customWidth="1"/>
    <col min="6438" max="6656" width="9.109375"/>
    <col min="6657" max="6657" width="0.6640625" customWidth="1"/>
    <col min="6658" max="6658" width="3.88671875" customWidth="1"/>
    <col min="6659" max="6659" width="4" customWidth="1"/>
    <col min="6660" max="6660" width="2.44140625" customWidth="1"/>
    <col min="6661" max="6661" width="1.6640625" customWidth="1"/>
    <col min="6662" max="6662" width="11" customWidth="1"/>
    <col min="6663" max="6663" width="2.5546875" customWidth="1"/>
    <col min="6664" max="6664" width="3" customWidth="1"/>
    <col min="6665" max="6666" width="3.109375" customWidth="1"/>
    <col min="6667" max="6667" width="2.44140625" customWidth="1"/>
    <col min="6668" max="6668" width="2.88671875" customWidth="1"/>
    <col min="6669" max="6669" width="0.6640625" customWidth="1"/>
    <col min="6670" max="6670" width="5.33203125" customWidth="1"/>
    <col min="6671" max="6671" width="10.5546875" customWidth="1"/>
    <col min="6672" max="6672" width="5.109375" customWidth="1"/>
    <col min="6673" max="6673" width="7.44140625" customWidth="1"/>
    <col min="6674" max="6674" width="6.6640625" customWidth="1"/>
    <col min="6675" max="6675" width="4.33203125" customWidth="1"/>
    <col min="6676" max="6676" width="2" customWidth="1"/>
    <col min="6677" max="6678" width="2.6640625" customWidth="1"/>
    <col min="6679" max="6680" width="2.109375" customWidth="1"/>
    <col min="6681" max="6681" width="4.6640625" customWidth="1"/>
    <col min="6682" max="6682" width="1.6640625" customWidth="1"/>
    <col min="6683" max="6683" width="6.6640625" customWidth="1"/>
    <col min="6684" max="6685" width="1.88671875" customWidth="1"/>
    <col min="6686" max="6686" width="3" customWidth="1"/>
    <col min="6687" max="6687" width="4" customWidth="1"/>
    <col min="6688" max="6688" width="4.33203125" customWidth="1"/>
    <col min="6689" max="6689" width="1.109375" customWidth="1"/>
    <col min="6690" max="6691" width="4.33203125" customWidth="1"/>
    <col min="6692" max="6692" width="5" customWidth="1"/>
    <col min="6693" max="6693" width="1.33203125" customWidth="1"/>
    <col min="6694" max="6912" width="9.109375"/>
    <col min="6913" max="6913" width="0.6640625" customWidth="1"/>
    <col min="6914" max="6914" width="3.88671875" customWidth="1"/>
    <col min="6915" max="6915" width="4" customWidth="1"/>
    <col min="6916" max="6916" width="2.44140625" customWidth="1"/>
    <col min="6917" max="6917" width="1.6640625" customWidth="1"/>
    <col min="6918" max="6918" width="11" customWidth="1"/>
    <col min="6919" max="6919" width="2.5546875" customWidth="1"/>
    <col min="6920" max="6920" width="3" customWidth="1"/>
    <col min="6921" max="6922" width="3.109375" customWidth="1"/>
    <col min="6923" max="6923" width="2.44140625" customWidth="1"/>
    <col min="6924" max="6924" width="2.88671875" customWidth="1"/>
    <col min="6925" max="6925" width="0.6640625" customWidth="1"/>
    <col min="6926" max="6926" width="5.33203125" customWidth="1"/>
    <col min="6927" max="6927" width="10.5546875" customWidth="1"/>
    <col min="6928" max="6928" width="5.109375" customWidth="1"/>
    <col min="6929" max="6929" width="7.44140625" customWidth="1"/>
    <col min="6930" max="6930" width="6.6640625" customWidth="1"/>
    <col min="6931" max="6931" width="4.33203125" customWidth="1"/>
    <col min="6932" max="6932" width="2" customWidth="1"/>
    <col min="6933" max="6934" width="2.6640625" customWidth="1"/>
    <col min="6935" max="6936" width="2.109375" customWidth="1"/>
    <col min="6937" max="6937" width="4.6640625" customWidth="1"/>
    <col min="6938" max="6938" width="1.6640625" customWidth="1"/>
    <col min="6939" max="6939" width="6.6640625" customWidth="1"/>
    <col min="6940" max="6941" width="1.88671875" customWidth="1"/>
    <col min="6942" max="6942" width="3" customWidth="1"/>
    <col min="6943" max="6943" width="4" customWidth="1"/>
    <col min="6944" max="6944" width="4.33203125" customWidth="1"/>
    <col min="6945" max="6945" width="1.109375" customWidth="1"/>
    <col min="6946" max="6947" width="4.33203125" customWidth="1"/>
    <col min="6948" max="6948" width="5" customWidth="1"/>
    <col min="6949" max="6949" width="1.33203125" customWidth="1"/>
    <col min="6950" max="7168" width="9.109375"/>
    <col min="7169" max="7169" width="0.6640625" customWidth="1"/>
    <col min="7170" max="7170" width="3.88671875" customWidth="1"/>
    <col min="7171" max="7171" width="4" customWidth="1"/>
    <col min="7172" max="7172" width="2.44140625" customWidth="1"/>
    <col min="7173" max="7173" width="1.6640625" customWidth="1"/>
    <col min="7174" max="7174" width="11" customWidth="1"/>
    <col min="7175" max="7175" width="2.5546875" customWidth="1"/>
    <col min="7176" max="7176" width="3" customWidth="1"/>
    <col min="7177" max="7178" width="3.109375" customWidth="1"/>
    <col min="7179" max="7179" width="2.44140625" customWidth="1"/>
    <col min="7180" max="7180" width="2.88671875" customWidth="1"/>
    <col min="7181" max="7181" width="0.6640625" customWidth="1"/>
    <col min="7182" max="7182" width="5.33203125" customWidth="1"/>
    <col min="7183" max="7183" width="10.5546875" customWidth="1"/>
    <col min="7184" max="7184" width="5.109375" customWidth="1"/>
    <col min="7185" max="7185" width="7.44140625" customWidth="1"/>
    <col min="7186" max="7186" width="6.6640625" customWidth="1"/>
    <col min="7187" max="7187" width="4.33203125" customWidth="1"/>
    <col min="7188" max="7188" width="2" customWidth="1"/>
    <col min="7189" max="7190" width="2.6640625" customWidth="1"/>
    <col min="7191" max="7192" width="2.109375" customWidth="1"/>
    <col min="7193" max="7193" width="4.6640625" customWidth="1"/>
    <col min="7194" max="7194" width="1.6640625" customWidth="1"/>
    <col min="7195" max="7195" width="6.6640625" customWidth="1"/>
    <col min="7196" max="7197" width="1.88671875" customWidth="1"/>
    <col min="7198" max="7198" width="3" customWidth="1"/>
    <col min="7199" max="7199" width="4" customWidth="1"/>
    <col min="7200" max="7200" width="4.33203125" customWidth="1"/>
    <col min="7201" max="7201" width="1.109375" customWidth="1"/>
    <col min="7202" max="7203" width="4.33203125" customWidth="1"/>
    <col min="7204" max="7204" width="5" customWidth="1"/>
    <col min="7205" max="7205" width="1.33203125" customWidth="1"/>
    <col min="7206" max="7424" width="9.109375"/>
    <col min="7425" max="7425" width="0.6640625" customWidth="1"/>
    <col min="7426" max="7426" width="3.88671875" customWidth="1"/>
    <col min="7427" max="7427" width="4" customWidth="1"/>
    <col min="7428" max="7428" width="2.44140625" customWidth="1"/>
    <col min="7429" max="7429" width="1.6640625" customWidth="1"/>
    <col min="7430" max="7430" width="11" customWidth="1"/>
    <col min="7431" max="7431" width="2.5546875" customWidth="1"/>
    <col min="7432" max="7432" width="3" customWidth="1"/>
    <col min="7433" max="7434" width="3.109375" customWidth="1"/>
    <col min="7435" max="7435" width="2.44140625" customWidth="1"/>
    <col min="7436" max="7436" width="2.88671875" customWidth="1"/>
    <col min="7437" max="7437" width="0.6640625" customWidth="1"/>
    <col min="7438" max="7438" width="5.33203125" customWidth="1"/>
    <col min="7439" max="7439" width="10.5546875" customWidth="1"/>
    <col min="7440" max="7440" width="5.109375" customWidth="1"/>
    <col min="7441" max="7441" width="7.44140625" customWidth="1"/>
    <col min="7442" max="7442" width="6.6640625" customWidth="1"/>
    <col min="7443" max="7443" width="4.33203125" customWidth="1"/>
    <col min="7444" max="7444" width="2" customWidth="1"/>
    <col min="7445" max="7446" width="2.6640625" customWidth="1"/>
    <col min="7447" max="7448" width="2.109375" customWidth="1"/>
    <col min="7449" max="7449" width="4.6640625" customWidth="1"/>
    <col min="7450" max="7450" width="1.6640625" customWidth="1"/>
    <col min="7451" max="7451" width="6.6640625" customWidth="1"/>
    <col min="7452" max="7453" width="1.88671875" customWidth="1"/>
    <col min="7454" max="7454" width="3" customWidth="1"/>
    <col min="7455" max="7455" width="4" customWidth="1"/>
    <col min="7456" max="7456" width="4.33203125" customWidth="1"/>
    <col min="7457" max="7457" width="1.109375" customWidth="1"/>
    <col min="7458" max="7459" width="4.33203125" customWidth="1"/>
    <col min="7460" max="7460" width="5" customWidth="1"/>
    <col min="7461" max="7461" width="1.33203125" customWidth="1"/>
    <col min="7462" max="7680" width="9.109375"/>
    <col min="7681" max="7681" width="0.6640625" customWidth="1"/>
    <col min="7682" max="7682" width="3.88671875" customWidth="1"/>
    <col min="7683" max="7683" width="4" customWidth="1"/>
    <col min="7684" max="7684" width="2.44140625" customWidth="1"/>
    <col min="7685" max="7685" width="1.6640625" customWidth="1"/>
    <col min="7686" max="7686" width="11" customWidth="1"/>
    <col min="7687" max="7687" width="2.5546875" customWidth="1"/>
    <col min="7688" max="7688" width="3" customWidth="1"/>
    <col min="7689" max="7690" width="3.109375" customWidth="1"/>
    <col min="7691" max="7691" width="2.44140625" customWidth="1"/>
    <col min="7692" max="7692" width="2.88671875" customWidth="1"/>
    <col min="7693" max="7693" width="0.6640625" customWidth="1"/>
    <col min="7694" max="7694" width="5.33203125" customWidth="1"/>
    <col min="7695" max="7695" width="10.5546875" customWidth="1"/>
    <col min="7696" max="7696" width="5.109375" customWidth="1"/>
    <col min="7697" max="7697" width="7.44140625" customWidth="1"/>
    <col min="7698" max="7698" width="6.6640625" customWidth="1"/>
    <col min="7699" max="7699" width="4.33203125" customWidth="1"/>
    <col min="7700" max="7700" width="2" customWidth="1"/>
    <col min="7701" max="7702" width="2.6640625" customWidth="1"/>
    <col min="7703" max="7704" width="2.109375" customWidth="1"/>
    <col min="7705" max="7705" width="4.6640625" customWidth="1"/>
    <col min="7706" max="7706" width="1.6640625" customWidth="1"/>
    <col min="7707" max="7707" width="6.6640625" customWidth="1"/>
    <col min="7708" max="7709" width="1.88671875" customWidth="1"/>
    <col min="7710" max="7710" width="3" customWidth="1"/>
    <col min="7711" max="7711" width="4" customWidth="1"/>
    <col min="7712" max="7712" width="4.33203125" customWidth="1"/>
    <col min="7713" max="7713" width="1.109375" customWidth="1"/>
    <col min="7714" max="7715" width="4.33203125" customWidth="1"/>
    <col min="7716" max="7716" width="5" customWidth="1"/>
    <col min="7717" max="7717" width="1.33203125" customWidth="1"/>
    <col min="7718" max="7936" width="9.109375"/>
    <col min="7937" max="7937" width="0.6640625" customWidth="1"/>
    <col min="7938" max="7938" width="3.88671875" customWidth="1"/>
    <col min="7939" max="7939" width="4" customWidth="1"/>
    <col min="7940" max="7940" width="2.44140625" customWidth="1"/>
    <col min="7941" max="7941" width="1.6640625" customWidth="1"/>
    <col min="7942" max="7942" width="11" customWidth="1"/>
    <col min="7943" max="7943" width="2.5546875" customWidth="1"/>
    <col min="7944" max="7944" width="3" customWidth="1"/>
    <col min="7945" max="7946" width="3.109375" customWidth="1"/>
    <col min="7947" max="7947" width="2.44140625" customWidth="1"/>
    <col min="7948" max="7948" width="2.88671875" customWidth="1"/>
    <col min="7949" max="7949" width="0.6640625" customWidth="1"/>
    <col min="7950" max="7950" width="5.33203125" customWidth="1"/>
    <col min="7951" max="7951" width="10.5546875" customWidth="1"/>
    <col min="7952" max="7952" width="5.109375" customWidth="1"/>
    <col min="7953" max="7953" width="7.44140625" customWidth="1"/>
    <col min="7954" max="7954" width="6.6640625" customWidth="1"/>
    <col min="7955" max="7955" width="4.33203125" customWidth="1"/>
    <col min="7956" max="7956" width="2" customWidth="1"/>
    <col min="7957" max="7958" width="2.6640625" customWidth="1"/>
    <col min="7959" max="7960" width="2.109375" customWidth="1"/>
    <col min="7961" max="7961" width="4.6640625" customWidth="1"/>
    <col min="7962" max="7962" width="1.6640625" customWidth="1"/>
    <col min="7963" max="7963" width="6.6640625" customWidth="1"/>
    <col min="7964" max="7965" width="1.88671875" customWidth="1"/>
    <col min="7966" max="7966" width="3" customWidth="1"/>
    <col min="7967" max="7967" width="4" customWidth="1"/>
    <col min="7968" max="7968" width="4.33203125" customWidth="1"/>
    <col min="7969" max="7969" width="1.109375" customWidth="1"/>
    <col min="7970" max="7971" width="4.33203125" customWidth="1"/>
    <col min="7972" max="7972" width="5" customWidth="1"/>
    <col min="7973" max="7973" width="1.33203125" customWidth="1"/>
    <col min="7974" max="8192" width="9.109375"/>
    <col min="8193" max="8193" width="0.6640625" customWidth="1"/>
    <col min="8194" max="8194" width="3.88671875" customWidth="1"/>
    <col min="8195" max="8195" width="4" customWidth="1"/>
    <col min="8196" max="8196" width="2.44140625" customWidth="1"/>
    <col min="8197" max="8197" width="1.6640625" customWidth="1"/>
    <col min="8198" max="8198" width="11" customWidth="1"/>
    <col min="8199" max="8199" width="2.5546875" customWidth="1"/>
    <col min="8200" max="8200" width="3" customWidth="1"/>
    <col min="8201" max="8202" width="3.109375" customWidth="1"/>
    <col min="8203" max="8203" width="2.44140625" customWidth="1"/>
    <col min="8204" max="8204" width="2.88671875" customWidth="1"/>
    <col min="8205" max="8205" width="0.6640625" customWidth="1"/>
    <col min="8206" max="8206" width="5.33203125" customWidth="1"/>
    <col min="8207" max="8207" width="10.5546875" customWidth="1"/>
    <col min="8208" max="8208" width="5.109375" customWidth="1"/>
    <col min="8209" max="8209" width="7.44140625" customWidth="1"/>
    <col min="8210" max="8210" width="6.6640625" customWidth="1"/>
    <col min="8211" max="8211" width="4.33203125" customWidth="1"/>
    <col min="8212" max="8212" width="2" customWidth="1"/>
    <col min="8213" max="8214" width="2.6640625" customWidth="1"/>
    <col min="8215" max="8216" width="2.109375" customWidth="1"/>
    <col min="8217" max="8217" width="4.6640625" customWidth="1"/>
    <col min="8218" max="8218" width="1.6640625" customWidth="1"/>
    <col min="8219" max="8219" width="6.6640625" customWidth="1"/>
    <col min="8220" max="8221" width="1.88671875" customWidth="1"/>
    <col min="8222" max="8222" width="3" customWidth="1"/>
    <col min="8223" max="8223" width="4" customWidth="1"/>
    <col min="8224" max="8224" width="4.33203125" customWidth="1"/>
    <col min="8225" max="8225" width="1.109375" customWidth="1"/>
    <col min="8226" max="8227" width="4.33203125" customWidth="1"/>
    <col min="8228" max="8228" width="5" customWidth="1"/>
    <col min="8229" max="8229" width="1.33203125" customWidth="1"/>
    <col min="8230" max="8448" width="9.109375"/>
    <col min="8449" max="8449" width="0.6640625" customWidth="1"/>
    <col min="8450" max="8450" width="3.88671875" customWidth="1"/>
    <col min="8451" max="8451" width="4" customWidth="1"/>
    <col min="8452" max="8452" width="2.44140625" customWidth="1"/>
    <col min="8453" max="8453" width="1.6640625" customWidth="1"/>
    <col min="8454" max="8454" width="11" customWidth="1"/>
    <col min="8455" max="8455" width="2.5546875" customWidth="1"/>
    <col min="8456" max="8456" width="3" customWidth="1"/>
    <col min="8457" max="8458" width="3.109375" customWidth="1"/>
    <col min="8459" max="8459" width="2.44140625" customWidth="1"/>
    <col min="8460" max="8460" width="2.88671875" customWidth="1"/>
    <col min="8461" max="8461" width="0.6640625" customWidth="1"/>
    <col min="8462" max="8462" width="5.33203125" customWidth="1"/>
    <col min="8463" max="8463" width="10.5546875" customWidth="1"/>
    <col min="8464" max="8464" width="5.109375" customWidth="1"/>
    <col min="8465" max="8465" width="7.44140625" customWidth="1"/>
    <col min="8466" max="8466" width="6.6640625" customWidth="1"/>
    <col min="8467" max="8467" width="4.33203125" customWidth="1"/>
    <col min="8468" max="8468" width="2" customWidth="1"/>
    <col min="8469" max="8470" width="2.6640625" customWidth="1"/>
    <col min="8471" max="8472" width="2.109375" customWidth="1"/>
    <col min="8473" max="8473" width="4.6640625" customWidth="1"/>
    <col min="8474" max="8474" width="1.6640625" customWidth="1"/>
    <col min="8475" max="8475" width="6.6640625" customWidth="1"/>
    <col min="8476" max="8477" width="1.88671875" customWidth="1"/>
    <col min="8478" max="8478" width="3" customWidth="1"/>
    <col min="8479" max="8479" width="4" customWidth="1"/>
    <col min="8480" max="8480" width="4.33203125" customWidth="1"/>
    <col min="8481" max="8481" width="1.109375" customWidth="1"/>
    <col min="8482" max="8483" width="4.33203125" customWidth="1"/>
    <col min="8484" max="8484" width="5" customWidth="1"/>
    <col min="8485" max="8485" width="1.33203125" customWidth="1"/>
    <col min="8486" max="8704" width="9.109375"/>
    <col min="8705" max="8705" width="0.6640625" customWidth="1"/>
    <col min="8706" max="8706" width="3.88671875" customWidth="1"/>
    <col min="8707" max="8707" width="4" customWidth="1"/>
    <col min="8708" max="8708" width="2.44140625" customWidth="1"/>
    <col min="8709" max="8709" width="1.6640625" customWidth="1"/>
    <col min="8710" max="8710" width="11" customWidth="1"/>
    <col min="8711" max="8711" width="2.5546875" customWidth="1"/>
    <col min="8712" max="8712" width="3" customWidth="1"/>
    <col min="8713" max="8714" width="3.109375" customWidth="1"/>
    <col min="8715" max="8715" width="2.44140625" customWidth="1"/>
    <col min="8716" max="8716" width="2.88671875" customWidth="1"/>
    <col min="8717" max="8717" width="0.6640625" customWidth="1"/>
    <col min="8718" max="8718" width="5.33203125" customWidth="1"/>
    <col min="8719" max="8719" width="10.5546875" customWidth="1"/>
    <col min="8720" max="8720" width="5.109375" customWidth="1"/>
    <col min="8721" max="8721" width="7.44140625" customWidth="1"/>
    <col min="8722" max="8722" width="6.6640625" customWidth="1"/>
    <col min="8723" max="8723" width="4.33203125" customWidth="1"/>
    <col min="8724" max="8724" width="2" customWidth="1"/>
    <col min="8725" max="8726" width="2.6640625" customWidth="1"/>
    <col min="8727" max="8728" width="2.109375" customWidth="1"/>
    <col min="8729" max="8729" width="4.6640625" customWidth="1"/>
    <col min="8730" max="8730" width="1.6640625" customWidth="1"/>
    <col min="8731" max="8731" width="6.6640625" customWidth="1"/>
    <col min="8732" max="8733" width="1.88671875" customWidth="1"/>
    <col min="8734" max="8734" width="3" customWidth="1"/>
    <col min="8735" max="8735" width="4" customWidth="1"/>
    <col min="8736" max="8736" width="4.33203125" customWidth="1"/>
    <col min="8737" max="8737" width="1.109375" customWidth="1"/>
    <col min="8738" max="8739" width="4.33203125" customWidth="1"/>
    <col min="8740" max="8740" width="5" customWidth="1"/>
    <col min="8741" max="8741" width="1.33203125" customWidth="1"/>
    <col min="8742" max="8960" width="9.109375"/>
    <col min="8961" max="8961" width="0.6640625" customWidth="1"/>
    <col min="8962" max="8962" width="3.88671875" customWidth="1"/>
    <col min="8963" max="8963" width="4" customWidth="1"/>
    <col min="8964" max="8964" width="2.44140625" customWidth="1"/>
    <col min="8965" max="8965" width="1.6640625" customWidth="1"/>
    <col min="8966" max="8966" width="11" customWidth="1"/>
    <col min="8967" max="8967" width="2.5546875" customWidth="1"/>
    <col min="8968" max="8968" width="3" customWidth="1"/>
    <col min="8969" max="8970" width="3.109375" customWidth="1"/>
    <col min="8971" max="8971" width="2.44140625" customWidth="1"/>
    <col min="8972" max="8972" width="2.88671875" customWidth="1"/>
    <col min="8973" max="8973" width="0.6640625" customWidth="1"/>
    <col min="8974" max="8974" width="5.33203125" customWidth="1"/>
    <col min="8975" max="8975" width="10.5546875" customWidth="1"/>
    <col min="8976" max="8976" width="5.109375" customWidth="1"/>
    <col min="8977" max="8977" width="7.44140625" customWidth="1"/>
    <col min="8978" max="8978" width="6.6640625" customWidth="1"/>
    <col min="8979" max="8979" width="4.33203125" customWidth="1"/>
    <col min="8980" max="8980" width="2" customWidth="1"/>
    <col min="8981" max="8982" width="2.6640625" customWidth="1"/>
    <col min="8983" max="8984" width="2.109375" customWidth="1"/>
    <col min="8985" max="8985" width="4.6640625" customWidth="1"/>
    <col min="8986" max="8986" width="1.6640625" customWidth="1"/>
    <col min="8987" max="8987" width="6.6640625" customWidth="1"/>
    <col min="8988" max="8989" width="1.88671875" customWidth="1"/>
    <col min="8990" max="8990" width="3" customWidth="1"/>
    <col min="8991" max="8991" width="4" customWidth="1"/>
    <col min="8992" max="8992" width="4.33203125" customWidth="1"/>
    <col min="8993" max="8993" width="1.109375" customWidth="1"/>
    <col min="8994" max="8995" width="4.33203125" customWidth="1"/>
    <col min="8996" max="8996" width="5" customWidth="1"/>
    <col min="8997" max="8997" width="1.33203125" customWidth="1"/>
    <col min="8998" max="9216" width="9.109375"/>
    <col min="9217" max="9217" width="0.6640625" customWidth="1"/>
    <col min="9218" max="9218" width="3.88671875" customWidth="1"/>
    <col min="9219" max="9219" width="4" customWidth="1"/>
    <col min="9220" max="9220" width="2.44140625" customWidth="1"/>
    <col min="9221" max="9221" width="1.6640625" customWidth="1"/>
    <col min="9222" max="9222" width="11" customWidth="1"/>
    <col min="9223" max="9223" width="2.5546875" customWidth="1"/>
    <col min="9224" max="9224" width="3" customWidth="1"/>
    <col min="9225" max="9226" width="3.109375" customWidth="1"/>
    <col min="9227" max="9227" width="2.44140625" customWidth="1"/>
    <col min="9228" max="9228" width="2.88671875" customWidth="1"/>
    <col min="9229" max="9229" width="0.6640625" customWidth="1"/>
    <col min="9230" max="9230" width="5.33203125" customWidth="1"/>
    <col min="9231" max="9231" width="10.5546875" customWidth="1"/>
    <col min="9232" max="9232" width="5.109375" customWidth="1"/>
    <col min="9233" max="9233" width="7.44140625" customWidth="1"/>
    <col min="9234" max="9234" width="6.6640625" customWidth="1"/>
    <col min="9235" max="9235" width="4.33203125" customWidth="1"/>
    <col min="9236" max="9236" width="2" customWidth="1"/>
    <col min="9237" max="9238" width="2.6640625" customWidth="1"/>
    <col min="9239" max="9240" width="2.109375" customWidth="1"/>
    <col min="9241" max="9241" width="4.6640625" customWidth="1"/>
    <col min="9242" max="9242" width="1.6640625" customWidth="1"/>
    <col min="9243" max="9243" width="6.6640625" customWidth="1"/>
    <col min="9244" max="9245" width="1.88671875" customWidth="1"/>
    <col min="9246" max="9246" width="3" customWidth="1"/>
    <col min="9247" max="9247" width="4" customWidth="1"/>
    <col min="9248" max="9248" width="4.33203125" customWidth="1"/>
    <col min="9249" max="9249" width="1.109375" customWidth="1"/>
    <col min="9250" max="9251" width="4.33203125" customWidth="1"/>
    <col min="9252" max="9252" width="5" customWidth="1"/>
    <col min="9253" max="9253" width="1.33203125" customWidth="1"/>
    <col min="9254" max="9472" width="9.109375"/>
    <col min="9473" max="9473" width="0.6640625" customWidth="1"/>
    <col min="9474" max="9474" width="3.88671875" customWidth="1"/>
    <col min="9475" max="9475" width="4" customWidth="1"/>
    <col min="9476" max="9476" width="2.44140625" customWidth="1"/>
    <col min="9477" max="9477" width="1.6640625" customWidth="1"/>
    <col min="9478" max="9478" width="11" customWidth="1"/>
    <col min="9479" max="9479" width="2.5546875" customWidth="1"/>
    <col min="9480" max="9480" width="3" customWidth="1"/>
    <col min="9481" max="9482" width="3.109375" customWidth="1"/>
    <col min="9483" max="9483" width="2.44140625" customWidth="1"/>
    <col min="9484" max="9484" width="2.88671875" customWidth="1"/>
    <col min="9485" max="9485" width="0.6640625" customWidth="1"/>
    <col min="9486" max="9486" width="5.33203125" customWidth="1"/>
    <col min="9487" max="9487" width="10.5546875" customWidth="1"/>
    <col min="9488" max="9488" width="5.109375" customWidth="1"/>
    <col min="9489" max="9489" width="7.44140625" customWidth="1"/>
    <col min="9490" max="9490" width="6.6640625" customWidth="1"/>
    <col min="9491" max="9491" width="4.33203125" customWidth="1"/>
    <col min="9492" max="9492" width="2" customWidth="1"/>
    <col min="9493" max="9494" width="2.6640625" customWidth="1"/>
    <col min="9495" max="9496" width="2.109375" customWidth="1"/>
    <col min="9497" max="9497" width="4.6640625" customWidth="1"/>
    <col min="9498" max="9498" width="1.6640625" customWidth="1"/>
    <col min="9499" max="9499" width="6.6640625" customWidth="1"/>
    <col min="9500" max="9501" width="1.88671875" customWidth="1"/>
    <col min="9502" max="9502" width="3" customWidth="1"/>
    <col min="9503" max="9503" width="4" customWidth="1"/>
    <col min="9504" max="9504" width="4.33203125" customWidth="1"/>
    <col min="9505" max="9505" width="1.109375" customWidth="1"/>
    <col min="9506" max="9507" width="4.33203125" customWidth="1"/>
    <col min="9508" max="9508" width="5" customWidth="1"/>
    <col min="9509" max="9509" width="1.33203125" customWidth="1"/>
    <col min="9510" max="9728" width="9.109375"/>
    <col min="9729" max="9729" width="0.6640625" customWidth="1"/>
    <col min="9730" max="9730" width="3.88671875" customWidth="1"/>
    <col min="9731" max="9731" width="4" customWidth="1"/>
    <col min="9732" max="9732" width="2.44140625" customWidth="1"/>
    <col min="9733" max="9733" width="1.6640625" customWidth="1"/>
    <col min="9734" max="9734" width="11" customWidth="1"/>
    <col min="9735" max="9735" width="2.5546875" customWidth="1"/>
    <col min="9736" max="9736" width="3" customWidth="1"/>
    <col min="9737" max="9738" width="3.109375" customWidth="1"/>
    <col min="9739" max="9739" width="2.44140625" customWidth="1"/>
    <col min="9740" max="9740" width="2.88671875" customWidth="1"/>
    <col min="9741" max="9741" width="0.6640625" customWidth="1"/>
    <col min="9742" max="9742" width="5.33203125" customWidth="1"/>
    <col min="9743" max="9743" width="10.5546875" customWidth="1"/>
    <col min="9744" max="9744" width="5.109375" customWidth="1"/>
    <col min="9745" max="9745" width="7.44140625" customWidth="1"/>
    <col min="9746" max="9746" width="6.6640625" customWidth="1"/>
    <col min="9747" max="9747" width="4.33203125" customWidth="1"/>
    <col min="9748" max="9748" width="2" customWidth="1"/>
    <col min="9749" max="9750" width="2.6640625" customWidth="1"/>
    <col min="9751" max="9752" width="2.109375" customWidth="1"/>
    <col min="9753" max="9753" width="4.6640625" customWidth="1"/>
    <col min="9754" max="9754" width="1.6640625" customWidth="1"/>
    <col min="9755" max="9755" width="6.6640625" customWidth="1"/>
    <col min="9756" max="9757" width="1.88671875" customWidth="1"/>
    <col min="9758" max="9758" width="3" customWidth="1"/>
    <col min="9759" max="9759" width="4" customWidth="1"/>
    <col min="9760" max="9760" width="4.33203125" customWidth="1"/>
    <col min="9761" max="9761" width="1.109375" customWidth="1"/>
    <col min="9762" max="9763" width="4.33203125" customWidth="1"/>
    <col min="9764" max="9764" width="5" customWidth="1"/>
    <col min="9765" max="9765" width="1.33203125" customWidth="1"/>
    <col min="9766" max="9984" width="9.109375"/>
    <col min="9985" max="9985" width="0.6640625" customWidth="1"/>
    <col min="9986" max="9986" width="3.88671875" customWidth="1"/>
    <col min="9987" max="9987" width="4" customWidth="1"/>
    <col min="9988" max="9988" width="2.44140625" customWidth="1"/>
    <col min="9989" max="9989" width="1.6640625" customWidth="1"/>
    <col min="9990" max="9990" width="11" customWidth="1"/>
    <col min="9991" max="9991" width="2.5546875" customWidth="1"/>
    <col min="9992" max="9992" width="3" customWidth="1"/>
    <col min="9993" max="9994" width="3.109375" customWidth="1"/>
    <col min="9995" max="9995" width="2.44140625" customWidth="1"/>
    <col min="9996" max="9996" width="2.88671875" customWidth="1"/>
    <col min="9997" max="9997" width="0.6640625" customWidth="1"/>
    <col min="9998" max="9998" width="5.33203125" customWidth="1"/>
    <col min="9999" max="9999" width="10.5546875" customWidth="1"/>
    <col min="10000" max="10000" width="5.109375" customWidth="1"/>
    <col min="10001" max="10001" width="7.44140625" customWidth="1"/>
    <col min="10002" max="10002" width="6.6640625" customWidth="1"/>
    <col min="10003" max="10003" width="4.33203125" customWidth="1"/>
    <col min="10004" max="10004" width="2" customWidth="1"/>
    <col min="10005" max="10006" width="2.6640625" customWidth="1"/>
    <col min="10007" max="10008" width="2.109375" customWidth="1"/>
    <col min="10009" max="10009" width="4.6640625" customWidth="1"/>
    <col min="10010" max="10010" width="1.6640625" customWidth="1"/>
    <col min="10011" max="10011" width="6.6640625" customWidth="1"/>
    <col min="10012" max="10013" width="1.88671875" customWidth="1"/>
    <col min="10014" max="10014" width="3" customWidth="1"/>
    <col min="10015" max="10015" width="4" customWidth="1"/>
    <col min="10016" max="10016" width="4.33203125" customWidth="1"/>
    <col min="10017" max="10017" width="1.109375" customWidth="1"/>
    <col min="10018" max="10019" width="4.33203125" customWidth="1"/>
    <col min="10020" max="10020" width="5" customWidth="1"/>
    <col min="10021" max="10021" width="1.33203125" customWidth="1"/>
    <col min="10022" max="10240" width="9.109375"/>
    <col min="10241" max="10241" width="0.6640625" customWidth="1"/>
    <col min="10242" max="10242" width="3.88671875" customWidth="1"/>
    <col min="10243" max="10243" width="4" customWidth="1"/>
    <col min="10244" max="10244" width="2.44140625" customWidth="1"/>
    <col min="10245" max="10245" width="1.6640625" customWidth="1"/>
    <col min="10246" max="10246" width="11" customWidth="1"/>
    <col min="10247" max="10247" width="2.5546875" customWidth="1"/>
    <col min="10248" max="10248" width="3" customWidth="1"/>
    <col min="10249" max="10250" width="3.109375" customWidth="1"/>
    <col min="10251" max="10251" width="2.44140625" customWidth="1"/>
    <col min="10252" max="10252" width="2.88671875" customWidth="1"/>
    <col min="10253" max="10253" width="0.6640625" customWidth="1"/>
    <col min="10254" max="10254" width="5.33203125" customWidth="1"/>
    <col min="10255" max="10255" width="10.5546875" customWidth="1"/>
    <col min="10256" max="10256" width="5.109375" customWidth="1"/>
    <col min="10257" max="10257" width="7.44140625" customWidth="1"/>
    <col min="10258" max="10258" width="6.6640625" customWidth="1"/>
    <col min="10259" max="10259" width="4.33203125" customWidth="1"/>
    <col min="10260" max="10260" width="2" customWidth="1"/>
    <col min="10261" max="10262" width="2.6640625" customWidth="1"/>
    <col min="10263" max="10264" width="2.109375" customWidth="1"/>
    <col min="10265" max="10265" width="4.6640625" customWidth="1"/>
    <col min="10266" max="10266" width="1.6640625" customWidth="1"/>
    <col min="10267" max="10267" width="6.6640625" customWidth="1"/>
    <col min="10268" max="10269" width="1.88671875" customWidth="1"/>
    <col min="10270" max="10270" width="3" customWidth="1"/>
    <col min="10271" max="10271" width="4" customWidth="1"/>
    <col min="10272" max="10272" width="4.33203125" customWidth="1"/>
    <col min="10273" max="10273" width="1.109375" customWidth="1"/>
    <col min="10274" max="10275" width="4.33203125" customWidth="1"/>
    <col min="10276" max="10276" width="5" customWidth="1"/>
    <col min="10277" max="10277" width="1.33203125" customWidth="1"/>
    <col min="10278" max="10496" width="9.109375"/>
    <col min="10497" max="10497" width="0.6640625" customWidth="1"/>
    <col min="10498" max="10498" width="3.88671875" customWidth="1"/>
    <col min="10499" max="10499" width="4" customWidth="1"/>
    <col min="10500" max="10500" width="2.44140625" customWidth="1"/>
    <col min="10501" max="10501" width="1.6640625" customWidth="1"/>
    <col min="10502" max="10502" width="11" customWidth="1"/>
    <col min="10503" max="10503" width="2.5546875" customWidth="1"/>
    <col min="10504" max="10504" width="3" customWidth="1"/>
    <col min="10505" max="10506" width="3.109375" customWidth="1"/>
    <col min="10507" max="10507" width="2.44140625" customWidth="1"/>
    <col min="10508" max="10508" width="2.88671875" customWidth="1"/>
    <col min="10509" max="10509" width="0.6640625" customWidth="1"/>
    <col min="10510" max="10510" width="5.33203125" customWidth="1"/>
    <col min="10511" max="10511" width="10.5546875" customWidth="1"/>
    <col min="10512" max="10512" width="5.109375" customWidth="1"/>
    <col min="10513" max="10513" width="7.44140625" customWidth="1"/>
    <col min="10514" max="10514" width="6.6640625" customWidth="1"/>
    <col min="10515" max="10515" width="4.33203125" customWidth="1"/>
    <col min="10516" max="10516" width="2" customWidth="1"/>
    <col min="10517" max="10518" width="2.6640625" customWidth="1"/>
    <col min="10519" max="10520" width="2.109375" customWidth="1"/>
    <col min="10521" max="10521" width="4.6640625" customWidth="1"/>
    <col min="10522" max="10522" width="1.6640625" customWidth="1"/>
    <col min="10523" max="10523" width="6.6640625" customWidth="1"/>
    <col min="10524" max="10525" width="1.88671875" customWidth="1"/>
    <col min="10526" max="10526" width="3" customWidth="1"/>
    <col min="10527" max="10527" width="4" customWidth="1"/>
    <col min="10528" max="10528" width="4.33203125" customWidth="1"/>
    <col min="10529" max="10529" width="1.109375" customWidth="1"/>
    <col min="10530" max="10531" width="4.33203125" customWidth="1"/>
    <col min="10532" max="10532" width="5" customWidth="1"/>
    <col min="10533" max="10533" width="1.33203125" customWidth="1"/>
    <col min="10534" max="10752" width="9.109375"/>
    <col min="10753" max="10753" width="0.6640625" customWidth="1"/>
    <col min="10754" max="10754" width="3.88671875" customWidth="1"/>
    <col min="10755" max="10755" width="4" customWidth="1"/>
    <col min="10756" max="10756" width="2.44140625" customWidth="1"/>
    <col min="10757" max="10757" width="1.6640625" customWidth="1"/>
    <col min="10758" max="10758" width="11" customWidth="1"/>
    <col min="10759" max="10759" width="2.5546875" customWidth="1"/>
    <col min="10760" max="10760" width="3" customWidth="1"/>
    <col min="10761" max="10762" width="3.109375" customWidth="1"/>
    <col min="10763" max="10763" width="2.44140625" customWidth="1"/>
    <col min="10764" max="10764" width="2.88671875" customWidth="1"/>
    <col min="10765" max="10765" width="0.6640625" customWidth="1"/>
    <col min="10766" max="10766" width="5.33203125" customWidth="1"/>
    <col min="10767" max="10767" width="10.5546875" customWidth="1"/>
    <col min="10768" max="10768" width="5.109375" customWidth="1"/>
    <col min="10769" max="10769" width="7.44140625" customWidth="1"/>
    <col min="10770" max="10770" width="6.6640625" customWidth="1"/>
    <col min="10771" max="10771" width="4.33203125" customWidth="1"/>
    <col min="10772" max="10772" width="2" customWidth="1"/>
    <col min="10773" max="10774" width="2.6640625" customWidth="1"/>
    <col min="10775" max="10776" width="2.109375" customWidth="1"/>
    <col min="10777" max="10777" width="4.6640625" customWidth="1"/>
    <col min="10778" max="10778" width="1.6640625" customWidth="1"/>
    <col min="10779" max="10779" width="6.6640625" customWidth="1"/>
    <col min="10780" max="10781" width="1.88671875" customWidth="1"/>
    <col min="10782" max="10782" width="3" customWidth="1"/>
    <col min="10783" max="10783" width="4" customWidth="1"/>
    <col min="10784" max="10784" width="4.33203125" customWidth="1"/>
    <col min="10785" max="10785" width="1.109375" customWidth="1"/>
    <col min="10786" max="10787" width="4.33203125" customWidth="1"/>
    <col min="10788" max="10788" width="5" customWidth="1"/>
    <col min="10789" max="10789" width="1.33203125" customWidth="1"/>
    <col min="10790" max="11008" width="9.109375"/>
    <col min="11009" max="11009" width="0.6640625" customWidth="1"/>
    <col min="11010" max="11010" width="3.88671875" customWidth="1"/>
    <col min="11011" max="11011" width="4" customWidth="1"/>
    <col min="11012" max="11012" width="2.44140625" customWidth="1"/>
    <col min="11013" max="11013" width="1.6640625" customWidth="1"/>
    <col min="11014" max="11014" width="11" customWidth="1"/>
    <col min="11015" max="11015" width="2.5546875" customWidth="1"/>
    <col min="11016" max="11016" width="3" customWidth="1"/>
    <col min="11017" max="11018" width="3.109375" customWidth="1"/>
    <col min="11019" max="11019" width="2.44140625" customWidth="1"/>
    <col min="11020" max="11020" width="2.88671875" customWidth="1"/>
    <col min="11021" max="11021" width="0.6640625" customWidth="1"/>
    <col min="11022" max="11022" width="5.33203125" customWidth="1"/>
    <col min="11023" max="11023" width="10.5546875" customWidth="1"/>
    <col min="11024" max="11024" width="5.109375" customWidth="1"/>
    <col min="11025" max="11025" width="7.44140625" customWidth="1"/>
    <col min="11026" max="11026" width="6.6640625" customWidth="1"/>
    <col min="11027" max="11027" width="4.33203125" customWidth="1"/>
    <col min="11028" max="11028" width="2" customWidth="1"/>
    <col min="11029" max="11030" width="2.6640625" customWidth="1"/>
    <col min="11031" max="11032" width="2.109375" customWidth="1"/>
    <col min="11033" max="11033" width="4.6640625" customWidth="1"/>
    <col min="11034" max="11034" width="1.6640625" customWidth="1"/>
    <col min="11035" max="11035" width="6.6640625" customWidth="1"/>
    <col min="11036" max="11037" width="1.88671875" customWidth="1"/>
    <col min="11038" max="11038" width="3" customWidth="1"/>
    <col min="11039" max="11039" width="4" customWidth="1"/>
    <col min="11040" max="11040" width="4.33203125" customWidth="1"/>
    <col min="11041" max="11041" width="1.109375" customWidth="1"/>
    <col min="11042" max="11043" width="4.33203125" customWidth="1"/>
    <col min="11044" max="11044" width="5" customWidth="1"/>
    <col min="11045" max="11045" width="1.33203125" customWidth="1"/>
    <col min="11046" max="11264" width="9.109375"/>
    <col min="11265" max="11265" width="0.6640625" customWidth="1"/>
    <col min="11266" max="11266" width="3.88671875" customWidth="1"/>
    <col min="11267" max="11267" width="4" customWidth="1"/>
    <col min="11268" max="11268" width="2.44140625" customWidth="1"/>
    <col min="11269" max="11269" width="1.6640625" customWidth="1"/>
    <col min="11270" max="11270" width="11" customWidth="1"/>
    <col min="11271" max="11271" width="2.5546875" customWidth="1"/>
    <col min="11272" max="11272" width="3" customWidth="1"/>
    <col min="11273" max="11274" width="3.109375" customWidth="1"/>
    <col min="11275" max="11275" width="2.44140625" customWidth="1"/>
    <col min="11276" max="11276" width="2.88671875" customWidth="1"/>
    <col min="11277" max="11277" width="0.6640625" customWidth="1"/>
    <col min="11278" max="11278" width="5.33203125" customWidth="1"/>
    <col min="11279" max="11279" width="10.5546875" customWidth="1"/>
    <col min="11280" max="11280" width="5.109375" customWidth="1"/>
    <col min="11281" max="11281" width="7.44140625" customWidth="1"/>
    <col min="11282" max="11282" width="6.6640625" customWidth="1"/>
    <col min="11283" max="11283" width="4.33203125" customWidth="1"/>
    <col min="11284" max="11284" width="2" customWidth="1"/>
    <col min="11285" max="11286" width="2.6640625" customWidth="1"/>
    <col min="11287" max="11288" width="2.109375" customWidth="1"/>
    <col min="11289" max="11289" width="4.6640625" customWidth="1"/>
    <col min="11290" max="11290" width="1.6640625" customWidth="1"/>
    <col min="11291" max="11291" width="6.6640625" customWidth="1"/>
    <col min="11292" max="11293" width="1.88671875" customWidth="1"/>
    <col min="11294" max="11294" width="3" customWidth="1"/>
    <col min="11295" max="11295" width="4" customWidth="1"/>
    <col min="11296" max="11296" width="4.33203125" customWidth="1"/>
    <col min="11297" max="11297" width="1.109375" customWidth="1"/>
    <col min="11298" max="11299" width="4.33203125" customWidth="1"/>
    <col min="11300" max="11300" width="5" customWidth="1"/>
    <col min="11301" max="11301" width="1.33203125" customWidth="1"/>
    <col min="11302" max="11520" width="9.109375"/>
    <col min="11521" max="11521" width="0.6640625" customWidth="1"/>
    <col min="11522" max="11522" width="3.88671875" customWidth="1"/>
    <col min="11523" max="11523" width="4" customWidth="1"/>
    <col min="11524" max="11524" width="2.44140625" customWidth="1"/>
    <col min="11525" max="11525" width="1.6640625" customWidth="1"/>
    <col min="11526" max="11526" width="11" customWidth="1"/>
    <col min="11527" max="11527" width="2.5546875" customWidth="1"/>
    <col min="11528" max="11528" width="3" customWidth="1"/>
    <col min="11529" max="11530" width="3.109375" customWidth="1"/>
    <col min="11531" max="11531" width="2.44140625" customWidth="1"/>
    <col min="11532" max="11532" width="2.88671875" customWidth="1"/>
    <col min="11533" max="11533" width="0.6640625" customWidth="1"/>
    <col min="11534" max="11534" width="5.33203125" customWidth="1"/>
    <col min="11535" max="11535" width="10.5546875" customWidth="1"/>
    <col min="11536" max="11536" width="5.109375" customWidth="1"/>
    <col min="11537" max="11537" width="7.44140625" customWidth="1"/>
    <col min="11538" max="11538" width="6.6640625" customWidth="1"/>
    <col min="11539" max="11539" width="4.33203125" customWidth="1"/>
    <col min="11540" max="11540" width="2" customWidth="1"/>
    <col min="11541" max="11542" width="2.6640625" customWidth="1"/>
    <col min="11543" max="11544" width="2.109375" customWidth="1"/>
    <col min="11545" max="11545" width="4.6640625" customWidth="1"/>
    <col min="11546" max="11546" width="1.6640625" customWidth="1"/>
    <col min="11547" max="11547" width="6.6640625" customWidth="1"/>
    <col min="11548" max="11549" width="1.88671875" customWidth="1"/>
    <col min="11550" max="11550" width="3" customWidth="1"/>
    <col min="11551" max="11551" width="4" customWidth="1"/>
    <col min="11552" max="11552" width="4.33203125" customWidth="1"/>
    <col min="11553" max="11553" width="1.109375" customWidth="1"/>
    <col min="11554" max="11555" width="4.33203125" customWidth="1"/>
    <col min="11556" max="11556" width="5" customWidth="1"/>
    <col min="11557" max="11557" width="1.33203125" customWidth="1"/>
    <col min="11558" max="11776" width="9.109375"/>
    <col min="11777" max="11777" width="0.6640625" customWidth="1"/>
    <col min="11778" max="11778" width="3.88671875" customWidth="1"/>
    <col min="11779" max="11779" width="4" customWidth="1"/>
    <col min="11780" max="11780" width="2.44140625" customWidth="1"/>
    <col min="11781" max="11781" width="1.6640625" customWidth="1"/>
    <col min="11782" max="11782" width="11" customWidth="1"/>
    <col min="11783" max="11783" width="2.5546875" customWidth="1"/>
    <col min="11784" max="11784" width="3" customWidth="1"/>
    <col min="11785" max="11786" width="3.109375" customWidth="1"/>
    <col min="11787" max="11787" width="2.44140625" customWidth="1"/>
    <col min="11788" max="11788" width="2.88671875" customWidth="1"/>
    <col min="11789" max="11789" width="0.6640625" customWidth="1"/>
    <col min="11790" max="11790" width="5.33203125" customWidth="1"/>
    <col min="11791" max="11791" width="10.5546875" customWidth="1"/>
    <col min="11792" max="11792" width="5.109375" customWidth="1"/>
    <col min="11793" max="11793" width="7.44140625" customWidth="1"/>
    <col min="11794" max="11794" width="6.6640625" customWidth="1"/>
    <col min="11795" max="11795" width="4.33203125" customWidth="1"/>
    <col min="11796" max="11796" width="2" customWidth="1"/>
    <col min="11797" max="11798" width="2.6640625" customWidth="1"/>
    <col min="11799" max="11800" width="2.109375" customWidth="1"/>
    <col min="11801" max="11801" width="4.6640625" customWidth="1"/>
    <col min="11802" max="11802" width="1.6640625" customWidth="1"/>
    <col min="11803" max="11803" width="6.6640625" customWidth="1"/>
    <col min="11804" max="11805" width="1.88671875" customWidth="1"/>
    <col min="11806" max="11806" width="3" customWidth="1"/>
    <col min="11807" max="11807" width="4" customWidth="1"/>
    <col min="11808" max="11808" width="4.33203125" customWidth="1"/>
    <col min="11809" max="11809" width="1.109375" customWidth="1"/>
    <col min="11810" max="11811" width="4.33203125" customWidth="1"/>
    <col min="11812" max="11812" width="5" customWidth="1"/>
    <col min="11813" max="11813" width="1.33203125" customWidth="1"/>
    <col min="11814" max="12032" width="9.109375"/>
    <col min="12033" max="12033" width="0.6640625" customWidth="1"/>
    <col min="12034" max="12034" width="3.88671875" customWidth="1"/>
    <col min="12035" max="12035" width="4" customWidth="1"/>
    <col min="12036" max="12036" width="2.44140625" customWidth="1"/>
    <col min="12037" max="12037" width="1.6640625" customWidth="1"/>
    <col min="12038" max="12038" width="11" customWidth="1"/>
    <col min="12039" max="12039" width="2.5546875" customWidth="1"/>
    <col min="12040" max="12040" width="3" customWidth="1"/>
    <col min="12041" max="12042" width="3.109375" customWidth="1"/>
    <col min="12043" max="12043" width="2.44140625" customWidth="1"/>
    <col min="12044" max="12044" width="2.88671875" customWidth="1"/>
    <col min="12045" max="12045" width="0.6640625" customWidth="1"/>
    <col min="12046" max="12046" width="5.33203125" customWidth="1"/>
    <col min="12047" max="12047" width="10.5546875" customWidth="1"/>
    <col min="12048" max="12048" width="5.109375" customWidth="1"/>
    <col min="12049" max="12049" width="7.44140625" customWidth="1"/>
    <col min="12050" max="12050" width="6.6640625" customWidth="1"/>
    <col min="12051" max="12051" width="4.33203125" customWidth="1"/>
    <col min="12052" max="12052" width="2" customWidth="1"/>
    <col min="12053" max="12054" width="2.6640625" customWidth="1"/>
    <col min="12055" max="12056" width="2.109375" customWidth="1"/>
    <col min="12057" max="12057" width="4.6640625" customWidth="1"/>
    <col min="12058" max="12058" width="1.6640625" customWidth="1"/>
    <col min="12059" max="12059" width="6.6640625" customWidth="1"/>
    <col min="12060" max="12061" width="1.88671875" customWidth="1"/>
    <col min="12062" max="12062" width="3" customWidth="1"/>
    <col min="12063" max="12063" width="4" customWidth="1"/>
    <col min="12064" max="12064" width="4.33203125" customWidth="1"/>
    <col min="12065" max="12065" width="1.109375" customWidth="1"/>
    <col min="12066" max="12067" width="4.33203125" customWidth="1"/>
    <col min="12068" max="12068" width="5" customWidth="1"/>
    <col min="12069" max="12069" width="1.33203125" customWidth="1"/>
    <col min="12070" max="12288" width="9.109375"/>
    <col min="12289" max="12289" width="0.6640625" customWidth="1"/>
    <col min="12290" max="12290" width="3.88671875" customWidth="1"/>
    <col min="12291" max="12291" width="4" customWidth="1"/>
    <col min="12292" max="12292" width="2.44140625" customWidth="1"/>
    <col min="12293" max="12293" width="1.6640625" customWidth="1"/>
    <col min="12294" max="12294" width="11" customWidth="1"/>
    <col min="12295" max="12295" width="2.5546875" customWidth="1"/>
    <col min="12296" max="12296" width="3" customWidth="1"/>
    <col min="12297" max="12298" width="3.109375" customWidth="1"/>
    <col min="12299" max="12299" width="2.44140625" customWidth="1"/>
    <col min="12300" max="12300" width="2.88671875" customWidth="1"/>
    <col min="12301" max="12301" width="0.6640625" customWidth="1"/>
    <col min="12302" max="12302" width="5.33203125" customWidth="1"/>
    <col min="12303" max="12303" width="10.5546875" customWidth="1"/>
    <col min="12304" max="12304" width="5.109375" customWidth="1"/>
    <col min="12305" max="12305" width="7.44140625" customWidth="1"/>
    <col min="12306" max="12306" width="6.6640625" customWidth="1"/>
    <col min="12307" max="12307" width="4.33203125" customWidth="1"/>
    <col min="12308" max="12308" width="2" customWidth="1"/>
    <col min="12309" max="12310" width="2.6640625" customWidth="1"/>
    <col min="12311" max="12312" width="2.109375" customWidth="1"/>
    <col min="12313" max="12313" width="4.6640625" customWidth="1"/>
    <col min="12314" max="12314" width="1.6640625" customWidth="1"/>
    <col min="12315" max="12315" width="6.6640625" customWidth="1"/>
    <col min="12316" max="12317" width="1.88671875" customWidth="1"/>
    <col min="12318" max="12318" width="3" customWidth="1"/>
    <col min="12319" max="12319" width="4" customWidth="1"/>
    <col min="12320" max="12320" width="4.33203125" customWidth="1"/>
    <col min="12321" max="12321" width="1.109375" customWidth="1"/>
    <col min="12322" max="12323" width="4.33203125" customWidth="1"/>
    <col min="12324" max="12324" width="5" customWidth="1"/>
    <col min="12325" max="12325" width="1.33203125" customWidth="1"/>
    <col min="12326" max="12544" width="9.109375"/>
    <col min="12545" max="12545" width="0.6640625" customWidth="1"/>
    <col min="12546" max="12546" width="3.88671875" customWidth="1"/>
    <col min="12547" max="12547" width="4" customWidth="1"/>
    <col min="12548" max="12548" width="2.44140625" customWidth="1"/>
    <col min="12549" max="12549" width="1.6640625" customWidth="1"/>
    <col min="12550" max="12550" width="11" customWidth="1"/>
    <col min="12551" max="12551" width="2.5546875" customWidth="1"/>
    <col min="12552" max="12552" width="3" customWidth="1"/>
    <col min="12553" max="12554" width="3.109375" customWidth="1"/>
    <col min="12555" max="12555" width="2.44140625" customWidth="1"/>
    <col min="12556" max="12556" width="2.88671875" customWidth="1"/>
    <col min="12557" max="12557" width="0.6640625" customWidth="1"/>
    <col min="12558" max="12558" width="5.33203125" customWidth="1"/>
    <col min="12559" max="12559" width="10.5546875" customWidth="1"/>
    <col min="12560" max="12560" width="5.109375" customWidth="1"/>
    <col min="12561" max="12561" width="7.44140625" customWidth="1"/>
    <col min="12562" max="12562" width="6.6640625" customWidth="1"/>
    <col min="12563" max="12563" width="4.33203125" customWidth="1"/>
    <col min="12564" max="12564" width="2" customWidth="1"/>
    <col min="12565" max="12566" width="2.6640625" customWidth="1"/>
    <col min="12567" max="12568" width="2.109375" customWidth="1"/>
    <col min="12569" max="12569" width="4.6640625" customWidth="1"/>
    <col min="12570" max="12570" width="1.6640625" customWidth="1"/>
    <col min="12571" max="12571" width="6.6640625" customWidth="1"/>
    <col min="12572" max="12573" width="1.88671875" customWidth="1"/>
    <col min="12574" max="12574" width="3" customWidth="1"/>
    <col min="12575" max="12575" width="4" customWidth="1"/>
    <col min="12576" max="12576" width="4.33203125" customWidth="1"/>
    <col min="12577" max="12577" width="1.109375" customWidth="1"/>
    <col min="12578" max="12579" width="4.33203125" customWidth="1"/>
    <col min="12580" max="12580" width="5" customWidth="1"/>
    <col min="12581" max="12581" width="1.33203125" customWidth="1"/>
    <col min="12582" max="12800" width="9.109375"/>
    <col min="12801" max="12801" width="0.6640625" customWidth="1"/>
    <col min="12802" max="12802" width="3.88671875" customWidth="1"/>
    <col min="12803" max="12803" width="4" customWidth="1"/>
    <col min="12804" max="12804" width="2.44140625" customWidth="1"/>
    <col min="12805" max="12805" width="1.6640625" customWidth="1"/>
    <col min="12806" max="12806" width="11" customWidth="1"/>
    <col min="12807" max="12807" width="2.5546875" customWidth="1"/>
    <col min="12808" max="12808" width="3" customWidth="1"/>
    <col min="12809" max="12810" width="3.109375" customWidth="1"/>
    <col min="12811" max="12811" width="2.44140625" customWidth="1"/>
    <col min="12812" max="12812" width="2.88671875" customWidth="1"/>
    <col min="12813" max="12813" width="0.6640625" customWidth="1"/>
    <col min="12814" max="12814" width="5.33203125" customWidth="1"/>
    <col min="12815" max="12815" width="10.5546875" customWidth="1"/>
    <col min="12816" max="12816" width="5.109375" customWidth="1"/>
    <col min="12817" max="12817" width="7.44140625" customWidth="1"/>
    <col min="12818" max="12818" width="6.6640625" customWidth="1"/>
    <col min="12819" max="12819" width="4.33203125" customWidth="1"/>
    <col min="12820" max="12820" width="2" customWidth="1"/>
    <col min="12821" max="12822" width="2.6640625" customWidth="1"/>
    <col min="12823" max="12824" width="2.109375" customWidth="1"/>
    <col min="12825" max="12825" width="4.6640625" customWidth="1"/>
    <col min="12826" max="12826" width="1.6640625" customWidth="1"/>
    <col min="12827" max="12827" width="6.6640625" customWidth="1"/>
    <col min="12828" max="12829" width="1.88671875" customWidth="1"/>
    <col min="12830" max="12830" width="3" customWidth="1"/>
    <col min="12831" max="12831" width="4" customWidth="1"/>
    <col min="12832" max="12832" width="4.33203125" customWidth="1"/>
    <col min="12833" max="12833" width="1.109375" customWidth="1"/>
    <col min="12834" max="12835" width="4.33203125" customWidth="1"/>
    <col min="12836" max="12836" width="5" customWidth="1"/>
    <col min="12837" max="12837" width="1.33203125" customWidth="1"/>
    <col min="12838" max="13056" width="9.109375"/>
    <col min="13057" max="13057" width="0.6640625" customWidth="1"/>
    <col min="13058" max="13058" width="3.88671875" customWidth="1"/>
    <col min="13059" max="13059" width="4" customWidth="1"/>
    <col min="13060" max="13060" width="2.44140625" customWidth="1"/>
    <col min="13061" max="13061" width="1.6640625" customWidth="1"/>
    <col min="13062" max="13062" width="11" customWidth="1"/>
    <col min="13063" max="13063" width="2.5546875" customWidth="1"/>
    <col min="13064" max="13064" width="3" customWidth="1"/>
    <col min="13065" max="13066" width="3.109375" customWidth="1"/>
    <col min="13067" max="13067" width="2.44140625" customWidth="1"/>
    <col min="13068" max="13068" width="2.88671875" customWidth="1"/>
    <col min="13069" max="13069" width="0.6640625" customWidth="1"/>
    <col min="13070" max="13070" width="5.33203125" customWidth="1"/>
    <col min="13071" max="13071" width="10.5546875" customWidth="1"/>
    <col min="13072" max="13072" width="5.109375" customWidth="1"/>
    <col min="13073" max="13073" width="7.44140625" customWidth="1"/>
    <col min="13074" max="13074" width="6.6640625" customWidth="1"/>
    <col min="13075" max="13075" width="4.33203125" customWidth="1"/>
    <col min="13076" max="13076" width="2" customWidth="1"/>
    <col min="13077" max="13078" width="2.6640625" customWidth="1"/>
    <col min="13079" max="13080" width="2.109375" customWidth="1"/>
    <col min="13081" max="13081" width="4.6640625" customWidth="1"/>
    <col min="13082" max="13082" width="1.6640625" customWidth="1"/>
    <col min="13083" max="13083" width="6.6640625" customWidth="1"/>
    <col min="13084" max="13085" width="1.88671875" customWidth="1"/>
    <col min="13086" max="13086" width="3" customWidth="1"/>
    <col min="13087" max="13087" width="4" customWidth="1"/>
    <col min="13088" max="13088" width="4.33203125" customWidth="1"/>
    <col min="13089" max="13089" width="1.109375" customWidth="1"/>
    <col min="13090" max="13091" width="4.33203125" customWidth="1"/>
    <col min="13092" max="13092" width="5" customWidth="1"/>
    <col min="13093" max="13093" width="1.33203125" customWidth="1"/>
    <col min="13094" max="13312" width="9.109375"/>
    <col min="13313" max="13313" width="0.6640625" customWidth="1"/>
    <col min="13314" max="13314" width="3.88671875" customWidth="1"/>
    <col min="13315" max="13315" width="4" customWidth="1"/>
    <col min="13316" max="13316" width="2.44140625" customWidth="1"/>
    <col min="13317" max="13317" width="1.6640625" customWidth="1"/>
    <col min="13318" max="13318" width="11" customWidth="1"/>
    <col min="13319" max="13319" width="2.5546875" customWidth="1"/>
    <col min="13320" max="13320" width="3" customWidth="1"/>
    <col min="13321" max="13322" width="3.109375" customWidth="1"/>
    <col min="13323" max="13323" width="2.44140625" customWidth="1"/>
    <col min="13324" max="13324" width="2.88671875" customWidth="1"/>
    <col min="13325" max="13325" width="0.6640625" customWidth="1"/>
    <col min="13326" max="13326" width="5.33203125" customWidth="1"/>
    <col min="13327" max="13327" width="10.5546875" customWidth="1"/>
    <col min="13328" max="13328" width="5.109375" customWidth="1"/>
    <col min="13329" max="13329" width="7.44140625" customWidth="1"/>
    <col min="13330" max="13330" width="6.6640625" customWidth="1"/>
    <col min="13331" max="13331" width="4.33203125" customWidth="1"/>
    <col min="13332" max="13332" width="2" customWidth="1"/>
    <col min="13333" max="13334" width="2.6640625" customWidth="1"/>
    <col min="13335" max="13336" width="2.109375" customWidth="1"/>
    <col min="13337" max="13337" width="4.6640625" customWidth="1"/>
    <col min="13338" max="13338" width="1.6640625" customWidth="1"/>
    <col min="13339" max="13339" width="6.6640625" customWidth="1"/>
    <col min="13340" max="13341" width="1.88671875" customWidth="1"/>
    <col min="13342" max="13342" width="3" customWidth="1"/>
    <col min="13343" max="13343" width="4" customWidth="1"/>
    <col min="13344" max="13344" width="4.33203125" customWidth="1"/>
    <col min="13345" max="13345" width="1.109375" customWidth="1"/>
    <col min="13346" max="13347" width="4.33203125" customWidth="1"/>
    <col min="13348" max="13348" width="5" customWidth="1"/>
    <col min="13349" max="13349" width="1.33203125" customWidth="1"/>
    <col min="13350" max="13568" width="9.109375"/>
    <col min="13569" max="13569" width="0.6640625" customWidth="1"/>
    <col min="13570" max="13570" width="3.88671875" customWidth="1"/>
    <col min="13571" max="13571" width="4" customWidth="1"/>
    <col min="13572" max="13572" width="2.44140625" customWidth="1"/>
    <col min="13573" max="13573" width="1.6640625" customWidth="1"/>
    <col min="13574" max="13574" width="11" customWidth="1"/>
    <col min="13575" max="13575" width="2.5546875" customWidth="1"/>
    <col min="13576" max="13576" width="3" customWidth="1"/>
    <col min="13577" max="13578" width="3.109375" customWidth="1"/>
    <col min="13579" max="13579" width="2.44140625" customWidth="1"/>
    <col min="13580" max="13580" width="2.88671875" customWidth="1"/>
    <col min="13581" max="13581" width="0.6640625" customWidth="1"/>
    <col min="13582" max="13582" width="5.33203125" customWidth="1"/>
    <col min="13583" max="13583" width="10.5546875" customWidth="1"/>
    <col min="13584" max="13584" width="5.109375" customWidth="1"/>
    <col min="13585" max="13585" width="7.44140625" customWidth="1"/>
    <col min="13586" max="13586" width="6.6640625" customWidth="1"/>
    <col min="13587" max="13587" width="4.33203125" customWidth="1"/>
    <col min="13588" max="13588" width="2" customWidth="1"/>
    <col min="13589" max="13590" width="2.6640625" customWidth="1"/>
    <col min="13591" max="13592" width="2.109375" customWidth="1"/>
    <col min="13593" max="13593" width="4.6640625" customWidth="1"/>
    <col min="13594" max="13594" width="1.6640625" customWidth="1"/>
    <col min="13595" max="13595" width="6.6640625" customWidth="1"/>
    <col min="13596" max="13597" width="1.88671875" customWidth="1"/>
    <col min="13598" max="13598" width="3" customWidth="1"/>
    <col min="13599" max="13599" width="4" customWidth="1"/>
    <col min="13600" max="13600" width="4.33203125" customWidth="1"/>
    <col min="13601" max="13601" width="1.109375" customWidth="1"/>
    <col min="13602" max="13603" width="4.33203125" customWidth="1"/>
    <col min="13604" max="13604" width="5" customWidth="1"/>
    <col min="13605" max="13605" width="1.33203125" customWidth="1"/>
    <col min="13606" max="13824" width="9.109375"/>
    <col min="13825" max="13825" width="0.6640625" customWidth="1"/>
    <col min="13826" max="13826" width="3.88671875" customWidth="1"/>
    <col min="13827" max="13827" width="4" customWidth="1"/>
    <col min="13828" max="13828" width="2.44140625" customWidth="1"/>
    <col min="13829" max="13829" width="1.6640625" customWidth="1"/>
    <col min="13830" max="13830" width="11" customWidth="1"/>
    <col min="13831" max="13831" width="2.5546875" customWidth="1"/>
    <col min="13832" max="13832" width="3" customWidth="1"/>
    <col min="13833" max="13834" width="3.109375" customWidth="1"/>
    <col min="13835" max="13835" width="2.44140625" customWidth="1"/>
    <col min="13836" max="13836" width="2.88671875" customWidth="1"/>
    <col min="13837" max="13837" width="0.6640625" customWidth="1"/>
    <col min="13838" max="13838" width="5.33203125" customWidth="1"/>
    <col min="13839" max="13839" width="10.5546875" customWidth="1"/>
    <col min="13840" max="13840" width="5.109375" customWidth="1"/>
    <col min="13841" max="13841" width="7.44140625" customWidth="1"/>
    <col min="13842" max="13842" width="6.6640625" customWidth="1"/>
    <col min="13843" max="13843" width="4.33203125" customWidth="1"/>
    <col min="13844" max="13844" width="2" customWidth="1"/>
    <col min="13845" max="13846" width="2.6640625" customWidth="1"/>
    <col min="13847" max="13848" width="2.109375" customWidth="1"/>
    <col min="13849" max="13849" width="4.6640625" customWidth="1"/>
    <col min="13850" max="13850" width="1.6640625" customWidth="1"/>
    <col min="13851" max="13851" width="6.6640625" customWidth="1"/>
    <col min="13852" max="13853" width="1.88671875" customWidth="1"/>
    <col min="13854" max="13854" width="3" customWidth="1"/>
    <col min="13855" max="13855" width="4" customWidth="1"/>
    <col min="13856" max="13856" width="4.33203125" customWidth="1"/>
    <col min="13857" max="13857" width="1.109375" customWidth="1"/>
    <col min="13858" max="13859" width="4.33203125" customWidth="1"/>
    <col min="13860" max="13860" width="5" customWidth="1"/>
    <col min="13861" max="13861" width="1.33203125" customWidth="1"/>
    <col min="13862" max="14080" width="9.109375"/>
    <col min="14081" max="14081" width="0.6640625" customWidth="1"/>
    <col min="14082" max="14082" width="3.88671875" customWidth="1"/>
    <col min="14083" max="14083" width="4" customWidth="1"/>
    <col min="14084" max="14084" width="2.44140625" customWidth="1"/>
    <col min="14085" max="14085" width="1.6640625" customWidth="1"/>
    <col min="14086" max="14086" width="11" customWidth="1"/>
    <col min="14087" max="14087" width="2.5546875" customWidth="1"/>
    <col min="14088" max="14088" width="3" customWidth="1"/>
    <col min="14089" max="14090" width="3.109375" customWidth="1"/>
    <col min="14091" max="14091" width="2.44140625" customWidth="1"/>
    <col min="14092" max="14092" width="2.88671875" customWidth="1"/>
    <col min="14093" max="14093" width="0.6640625" customWidth="1"/>
    <col min="14094" max="14094" width="5.33203125" customWidth="1"/>
    <col min="14095" max="14095" width="10.5546875" customWidth="1"/>
    <col min="14096" max="14096" width="5.109375" customWidth="1"/>
    <col min="14097" max="14097" width="7.44140625" customWidth="1"/>
    <col min="14098" max="14098" width="6.6640625" customWidth="1"/>
    <col min="14099" max="14099" width="4.33203125" customWidth="1"/>
    <col min="14100" max="14100" width="2" customWidth="1"/>
    <col min="14101" max="14102" width="2.6640625" customWidth="1"/>
    <col min="14103" max="14104" width="2.109375" customWidth="1"/>
    <col min="14105" max="14105" width="4.6640625" customWidth="1"/>
    <col min="14106" max="14106" width="1.6640625" customWidth="1"/>
    <col min="14107" max="14107" width="6.6640625" customWidth="1"/>
    <col min="14108" max="14109" width="1.88671875" customWidth="1"/>
    <col min="14110" max="14110" width="3" customWidth="1"/>
    <col min="14111" max="14111" width="4" customWidth="1"/>
    <col min="14112" max="14112" width="4.33203125" customWidth="1"/>
    <col min="14113" max="14113" width="1.109375" customWidth="1"/>
    <col min="14114" max="14115" width="4.33203125" customWidth="1"/>
    <col min="14116" max="14116" width="5" customWidth="1"/>
    <col min="14117" max="14117" width="1.33203125" customWidth="1"/>
    <col min="14118" max="14336" width="9.109375"/>
    <col min="14337" max="14337" width="0.6640625" customWidth="1"/>
    <col min="14338" max="14338" width="3.88671875" customWidth="1"/>
    <col min="14339" max="14339" width="4" customWidth="1"/>
    <col min="14340" max="14340" width="2.44140625" customWidth="1"/>
    <col min="14341" max="14341" width="1.6640625" customWidth="1"/>
    <col min="14342" max="14342" width="11" customWidth="1"/>
    <col min="14343" max="14343" width="2.5546875" customWidth="1"/>
    <col min="14344" max="14344" width="3" customWidth="1"/>
    <col min="14345" max="14346" width="3.109375" customWidth="1"/>
    <col min="14347" max="14347" width="2.44140625" customWidth="1"/>
    <col min="14348" max="14348" width="2.88671875" customWidth="1"/>
    <col min="14349" max="14349" width="0.6640625" customWidth="1"/>
    <col min="14350" max="14350" width="5.33203125" customWidth="1"/>
    <col min="14351" max="14351" width="10.5546875" customWidth="1"/>
    <col min="14352" max="14352" width="5.109375" customWidth="1"/>
    <col min="14353" max="14353" width="7.44140625" customWidth="1"/>
    <col min="14354" max="14354" width="6.6640625" customWidth="1"/>
    <col min="14355" max="14355" width="4.33203125" customWidth="1"/>
    <col min="14356" max="14356" width="2" customWidth="1"/>
    <col min="14357" max="14358" width="2.6640625" customWidth="1"/>
    <col min="14359" max="14360" width="2.109375" customWidth="1"/>
    <col min="14361" max="14361" width="4.6640625" customWidth="1"/>
    <col min="14362" max="14362" width="1.6640625" customWidth="1"/>
    <col min="14363" max="14363" width="6.6640625" customWidth="1"/>
    <col min="14364" max="14365" width="1.88671875" customWidth="1"/>
    <col min="14366" max="14366" width="3" customWidth="1"/>
    <col min="14367" max="14367" width="4" customWidth="1"/>
    <col min="14368" max="14368" width="4.33203125" customWidth="1"/>
    <col min="14369" max="14369" width="1.109375" customWidth="1"/>
    <col min="14370" max="14371" width="4.33203125" customWidth="1"/>
    <col min="14372" max="14372" width="5" customWidth="1"/>
    <col min="14373" max="14373" width="1.33203125" customWidth="1"/>
    <col min="14374" max="14592" width="9.109375"/>
    <col min="14593" max="14593" width="0.6640625" customWidth="1"/>
    <col min="14594" max="14594" width="3.88671875" customWidth="1"/>
    <col min="14595" max="14595" width="4" customWidth="1"/>
    <col min="14596" max="14596" width="2.44140625" customWidth="1"/>
    <col min="14597" max="14597" width="1.6640625" customWidth="1"/>
    <col min="14598" max="14598" width="11" customWidth="1"/>
    <col min="14599" max="14599" width="2.5546875" customWidth="1"/>
    <col min="14600" max="14600" width="3" customWidth="1"/>
    <col min="14601" max="14602" width="3.109375" customWidth="1"/>
    <col min="14603" max="14603" width="2.44140625" customWidth="1"/>
    <col min="14604" max="14604" width="2.88671875" customWidth="1"/>
    <col min="14605" max="14605" width="0.6640625" customWidth="1"/>
    <col min="14606" max="14606" width="5.33203125" customWidth="1"/>
    <col min="14607" max="14607" width="10.5546875" customWidth="1"/>
    <col min="14608" max="14608" width="5.109375" customWidth="1"/>
    <col min="14609" max="14609" width="7.44140625" customWidth="1"/>
    <col min="14610" max="14610" width="6.6640625" customWidth="1"/>
    <col min="14611" max="14611" width="4.33203125" customWidth="1"/>
    <col min="14612" max="14612" width="2" customWidth="1"/>
    <col min="14613" max="14614" width="2.6640625" customWidth="1"/>
    <col min="14615" max="14616" width="2.109375" customWidth="1"/>
    <col min="14617" max="14617" width="4.6640625" customWidth="1"/>
    <col min="14618" max="14618" width="1.6640625" customWidth="1"/>
    <col min="14619" max="14619" width="6.6640625" customWidth="1"/>
    <col min="14620" max="14621" width="1.88671875" customWidth="1"/>
    <col min="14622" max="14622" width="3" customWidth="1"/>
    <col min="14623" max="14623" width="4" customWidth="1"/>
    <col min="14624" max="14624" width="4.33203125" customWidth="1"/>
    <col min="14625" max="14625" width="1.109375" customWidth="1"/>
    <col min="14626" max="14627" width="4.33203125" customWidth="1"/>
    <col min="14628" max="14628" width="5" customWidth="1"/>
    <col min="14629" max="14629" width="1.33203125" customWidth="1"/>
    <col min="14630" max="14848" width="9.109375"/>
    <col min="14849" max="14849" width="0.6640625" customWidth="1"/>
    <col min="14850" max="14850" width="3.88671875" customWidth="1"/>
    <col min="14851" max="14851" width="4" customWidth="1"/>
    <col min="14852" max="14852" width="2.44140625" customWidth="1"/>
    <col min="14853" max="14853" width="1.6640625" customWidth="1"/>
    <col min="14854" max="14854" width="11" customWidth="1"/>
    <col min="14855" max="14855" width="2.5546875" customWidth="1"/>
    <col min="14856" max="14856" width="3" customWidth="1"/>
    <col min="14857" max="14858" width="3.109375" customWidth="1"/>
    <col min="14859" max="14859" width="2.44140625" customWidth="1"/>
    <col min="14860" max="14860" width="2.88671875" customWidth="1"/>
    <col min="14861" max="14861" width="0.6640625" customWidth="1"/>
    <col min="14862" max="14862" width="5.33203125" customWidth="1"/>
    <col min="14863" max="14863" width="10.5546875" customWidth="1"/>
    <col min="14864" max="14864" width="5.109375" customWidth="1"/>
    <col min="14865" max="14865" width="7.44140625" customWidth="1"/>
    <col min="14866" max="14866" width="6.6640625" customWidth="1"/>
    <col min="14867" max="14867" width="4.33203125" customWidth="1"/>
    <col min="14868" max="14868" width="2" customWidth="1"/>
    <col min="14869" max="14870" width="2.6640625" customWidth="1"/>
    <col min="14871" max="14872" width="2.109375" customWidth="1"/>
    <col min="14873" max="14873" width="4.6640625" customWidth="1"/>
    <col min="14874" max="14874" width="1.6640625" customWidth="1"/>
    <col min="14875" max="14875" width="6.6640625" customWidth="1"/>
    <col min="14876" max="14877" width="1.88671875" customWidth="1"/>
    <col min="14878" max="14878" width="3" customWidth="1"/>
    <col min="14879" max="14879" width="4" customWidth="1"/>
    <col min="14880" max="14880" width="4.33203125" customWidth="1"/>
    <col min="14881" max="14881" width="1.109375" customWidth="1"/>
    <col min="14882" max="14883" width="4.33203125" customWidth="1"/>
    <col min="14884" max="14884" width="5" customWidth="1"/>
    <col min="14885" max="14885" width="1.33203125" customWidth="1"/>
    <col min="14886" max="15104" width="9.109375"/>
    <col min="15105" max="15105" width="0.6640625" customWidth="1"/>
    <col min="15106" max="15106" width="3.88671875" customWidth="1"/>
    <col min="15107" max="15107" width="4" customWidth="1"/>
    <col min="15108" max="15108" width="2.44140625" customWidth="1"/>
    <col min="15109" max="15109" width="1.6640625" customWidth="1"/>
    <col min="15110" max="15110" width="11" customWidth="1"/>
    <col min="15111" max="15111" width="2.5546875" customWidth="1"/>
    <col min="15112" max="15112" width="3" customWidth="1"/>
    <col min="15113" max="15114" width="3.109375" customWidth="1"/>
    <col min="15115" max="15115" width="2.44140625" customWidth="1"/>
    <col min="15116" max="15116" width="2.88671875" customWidth="1"/>
    <col min="15117" max="15117" width="0.6640625" customWidth="1"/>
    <col min="15118" max="15118" width="5.33203125" customWidth="1"/>
    <col min="15119" max="15119" width="10.5546875" customWidth="1"/>
    <col min="15120" max="15120" width="5.109375" customWidth="1"/>
    <col min="15121" max="15121" width="7.44140625" customWidth="1"/>
    <col min="15122" max="15122" width="6.6640625" customWidth="1"/>
    <col min="15123" max="15123" width="4.33203125" customWidth="1"/>
    <col min="15124" max="15124" width="2" customWidth="1"/>
    <col min="15125" max="15126" width="2.6640625" customWidth="1"/>
    <col min="15127" max="15128" width="2.109375" customWidth="1"/>
    <col min="15129" max="15129" width="4.6640625" customWidth="1"/>
    <col min="15130" max="15130" width="1.6640625" customWidth="1"/>
    <col min="15131" max="15131" width="6.6640625" customWidth="1"/>
    <col min="15132" max="15133" width="1.88671875" customWidth="1"/>
    <col min="15134" max="15134" width="3" customWidth="1"/>
    <col min="15135" max="15135" width="4" customWidth="1"/>
    <col min="15136" max="15136" width="4.33203125" customWidth="1"/>
    <col min="15137" max="15137" width="1.109375" customWidth="1"/>
    <col min="15138" max="15139" width="4.33203125" customWidth="1"/>
    <col min="15140" max="15140" width="5" customWidth="1"/>
    <col min="15141" max="15141" width="1.33203125" customWidth="1"/>
    <col min="15142" max="15360" width="9.109375"/>
    <col min="15361" max="15361" width="0.6640625" customWidth="1"/>
    <col min="15362" max="15362" width="3.88671875" customWidth="1"/>
    <col min="15363" max="15363" width="4" customWidth="1"/>
    <col min="15364" max="15364" width="2.44140625" customWidth="1"/>
    <col min="15365" max="15365" width="1.6640625" customWidth="1"/>
    <col min="15366" max="15366" width="11" customWidth="1"/>
    <col min="15367" max="15367" width="2.5546875" customWidth="1"/>
    <col min="15368" max="15368" width="3" customWidth="1"/>
    <col min="15369" max="15370" width="3.109375" customWidth="1"/>
    <col min="15371" max="15371" width="2.44140625" customWidth="1"/>
    <col min="15372" max="15372" width="2.88671875" customWidth="1"/>
    <col min="15373" max="15373" width="0.6640625" customWidth="1"/>
    <col min="15374" max="15374" width="5.33203125" customWidth="1"/>
    <col min="15375" max="15375" width="10.5546875" customWidth="1"/>
    <col min="15376" max="15376" width="5.109375" customWidth="1"/>
    <col min="15377" max="15377" width="7.44140625" customWidth="1"/>
    <col min="15378" max="15378" width="6.6640625" customWidth="1"/>
    <col min="15379" max="15379" width="4.33203125" customWidth="1"/>
    <col min="15380" max="15380" width="2" customWidth="1"/>
    <col min="15381" max="15382" width="2.6640625" customWidth="1"/>
    <col min="15383" max="15384" width="2.109375" customWidth="1"/>
    <col min="15385" max="15385" width="4.6640625" customWidth="1"/>
    <col min="15386" max="15386" width="1.6640625" customWidth="1"/>
    <col min="15387" max="15387" width="6.6640625" customWidth="1"/>
    <col min="15388" max="15389" width="1.88671875" customWidth="1"/>
    <col min="15390" max="15390" width="3" customWidth="1"/>
    <col min="15391" max="15391" width="4" customWidth="1"/>
    <col min="15392" max="15392" width="4.33203125" customWidth="1"/>
    <col min="15393" max="15393" width="1.109375" customWidth="1"/>
    <col min="15394" max="15395" width="4.33203125" customWidth="1"/>
    <col min="15396" max="15396" width="5" customWidth="1"/>
    <col min="15397" max="15397" width="1.33203125" customWidth="1"/>
    <col min="15398" max="15616" width="9.109375"/>
    <col min="15617" max="15617" width="0.6640625" customWidth="1"/>
    <col min="15618" max="15618" width="3.88671875" customWidth="1"/>
    <col min="15619" max="15619" width="4" customWidth="1"/>
    <col min="15620" max="15620" width="2.44140625" customWidth="1"/>
    <col min="15621" max="15621" width="1.6640625" customWidth="1"/>
    <col min="15622" max="15622" width="11" customWidth="1"/>
    <col min="15623" max="15623" width="2.5546875" customWidth="1"/>
    <col min="15624" max="15624" width="3" customWidth="1"/>
    <col min="15625" max="15626" width="3.109375" customWidth="1"/>
    <col min="15627" max="15627" width="2.44140625" customWidth="1"/>
    <col min="15628" max="15628" width="2.88671875" customWidth="1"/>
    <col min="15629" max="15629" width="0.6640625" customWidth="1"/>
    <col min="15630" max="15630" width="5.33203125" customWidth="1"/>
    <col min="15631" max="15631" width="10.5546875" customWidth="1"/>
    <col min="15632" max="15632" width="5.109375" customWidth="1"/>
    <col min="15633" max="15633" width="7.44140625" customWidth="1"/>
    <col min="15634" max="15634" width="6.6640625" customWidth="1"/>
    <col min="15635" max="15635" width="4.33203125" customWidth="1"/>
    <col min="15636" max="15636" width="2" customWidth="1"/>
    <col min="15637" max="15638" width="2.6640625" customWidth="1"/>
    <col min="15639" max="15640" width="2.109375" customWidth="1"/>
    <col min="15641" max="15641" width="4.6640625" customWidth="1"/>
    <col min="15642" max="15642" width="1.6640625" customWidth="1"/>
    <col min="15643" max="15643" width="6.6640625" customWidth="1"/>
    <col min="15644" max="15645" width="1.88671875" customWidth="1"/>
    <col min="15646" max="15646" width="3" customWidth="1"/>
    <col min="15647" max="15647" width="4" customWidth="1"/>
    <col min="15648" max="15648" width="4.33203125" customWidth="1"/>
    <col min="15649" max="15649" width="1.109375" customWidth="1"/>
    <col min="15650" max="15651" width="4.33203125" customWidth="1"/>
    <col min="15652" max="15652" width="5" customWidth="1"/>
    <col min="15653" max="15653" width="1.33203125" customWidth="1"/>
    <col min="15654" max="15872" width="9.109375"/>
    <col min="15873" max="15873" width="0.6640625" customWidth="1"/>
    <col min="15874" max="15874" width="3.88671875" customWidth="1"/>
    <col min="15875" max="15875" width="4" customWidth="1"/>
    <col min="15876" max="15876" width="2.44140625" customWidth="1"/>
    <col min="15877" max="15877" width="1.6640625" customWidth="1"/>
    <col min="15878" max="15878" width="11" customWidth="1"/>
    <col min="15879" max="15879" width="2.5546875" customWidth="1"/>
    <col min="15880" max="15880" width="3" customWidth="1"/>
    <col min="15881" max="15882" width="3.109375" customWidth="1"/>
    <col min="15883" max="15883" width="2.44140625" customWidth="1"/>
    <col min="15884" max="15884" width="2.88671875" customWidth="1"/>
    <col min="15885" max="15885" width="0.6640625" customWidth="1"/>
    <col min="15886" max="15886" width="5.33203125" customWidth="1"/>
    <col min="15887" max="15887" width="10.5546875" customWidth="1"/>
    <col min="15888" max="15888" width="5.109375" customWidth="1"/>
    <col min="15889" max="15889" width="7.44140625" customWidth="1"/>
    <col min="15890" max="15890" width="6.6640625" customWidth="1"/>
    <col min="15891" max="15891" width="4.33203125" customWidth="1"/>
    <col min="15892" max="15892" width="2" customWidth="1"/>
    <col min="15893" max="15894" width="2.6640625" customWidth="1"/>
    <col min="15895" max="15896" width="2.109375" customWidth="1"/>
    <col min="15897" max="15897" width="4.6640625" customWidth="1"/>
    <col min="15898" max="15898" width="1.6640625" customWidth="1"/>
    <col min="15899" max="15899" width="6.6640625" customWidth="1"/>
    <col min="15900" max="15901" width="1.88671875" customWidth="1"/>
    <col min="15902" max="15902" width="3" customWidth="1"/>
    <col min="15903" max="15903" width="4" customWidth="1"/>
    <col min="15904" max="15904" width="4.33203125" customWidth="1"/>
    <col min="15905" max="15905" width="1.109375" customWidth="1"/>
    <col min="15906" max="15907" width="4.33203125" customWidth="1"/>
    <col min="15908" max="15908" width="5" customWidth="1"/>
    <col min="15909" max="15909" width="1.33203125" customWidth="1"/>
    <col min="15910" max="16128" width="9.109375"/>
    <col min="16129" max="16129" width="0.6640625" customWidth="1"/>
    <col min="16130" max="16130" width="3.88671875" customWidth="1"/>
    <col min="16131" max="16131" width="4" customWidth="1"/>
    <col min="16132" max="16132" width="2.44140625" customWidth="1"/>
    <col min="16133" max="16133" width="1.6640625" customWidth="1"/>
    <col min="16134" max="16134" width="11" customWidth="1"/>
    <col min="16135" max="16135" width="2.5546875" customWidth="1"/>
    <col min="16136" max="16136" width="3" customWidth="1"/>
    <col min="16137" max="16138" width="3.109375" customWidth="1"/>
    <col min="16139" max="16139" width="2.44140625" customWidth="1"/>
    <col min="16140" max="16140" width="2.88671875" customWidth="1"/>
    <col min="16141" max="16141" width="0.6640625" customWidth="1"/>
    <col min="16142" max="16142" width="5.33203125" customWidth="1"/>
    <col min="16143" max="16143" width="10.5546875" customWidth="1"/>
    <col min="16144" max="16144" width="5.109375" customWidth="1"/>
    <col min="16145" max="16145" width="7.44140625" customWidth="1"/>
    <col min="16146" max="16146" width="6.6640625" customWidth="1"/>
    <col min="16147" max="16147" width="4.33203125" customWidth="1"/>
    <col min="16148" max="16148" width="2" customWidth="1"/>
    <col min="16149" max="16150" width="2.6640625" customWidth="1"/>
    <col min="16151" max="16152" width="2.109375" customWidth="1"/>
    <col min="16153" max="16153" width="4.6640625" customWidth="1"/>
    <col min="16154" max="16154" width="1.6640625" customWidth="1"/>
    <col min="16155" max="16155" width="6.6640625" customWidth="1"/>
    <col min="16156" max="16157" width="1.88671875" customWidth="1"/>
    <col min="16158" max="16158" width="3" customWidth="1"/>
    <col min="16159" max="16159" width="4" customWidth="1"/>
    <col min="16160" max="16160" width="4.33203125" customWidth="1"/>
    <col min="16161" max="16161" width="1.109375" customWidth="1"/>
    <col min="16162" max="16163" width="4.33203125" customWidth="1"/>
    <col min="16164" max="16164" width="5" customWidth="1"/>
    <col min="16165" max="16165" width="1.33203125" customWidth="1"/>
    <col min="16166" max="16384" width="9.109375"/>
  </cols>
  <sheetData>
    <row r="1" spans="1:37" ht="13.5" customHeight="1">
      <c r="A1" s="595"/>
      <c r="B1" s="595"/>
      <c r="C1" s="595"/>
      <c r="D1" s="595"/>
      <c r="E1" s="595"/>
      <c r="F1" s="595"/>
      <c r="G1" s="595"/>
      <c r="H1" s="595"/>
      <c r="I1" s="595"/>
      <c r="J1" s="595"/>
      <c r="K1" s="595"/>
      <c r="L1" s="595"/>
      <c r="M1" s="595"/>
      <c r="N1" s="595"/>
      <c r="O1" s="595"/>
      <c r="P1" s="595"/>
      <c r="Q1" s="812"/>
      <c r="R1" s="812"/>
      <c r="S1" s="812"/>
      <c r="T1" s="595"/>
      <c r="U1" s="595"/>
      <c r="V1" s="595"/>
      <c r="W1" s="595"/>
      <c r="X1" s="595"/>
      <c r="Y1" s="595"/>
      <c r="Z1" s="595"/>
      <c r="AA1" s="595"/>
      <c r="AB1" s="595"/>
      <c r="AC1" s="595"/>
      <c r="AD1" s="595"/>
      <c r="AE1" s="595"/>
      <c r="AF1" s="595"/>
      <c r="AG1" s="595"/>
      <c r="AH1" s="3448" t="str">
        <f>'addl. concr. &amp; reinf. comme'!AH1</f>
        <v>700-010-84</v>
      </c>
      <c r="AI1" s="1873"/>
      <c r="AJ1" s="1873"/>
      <c r="AK1" s="595"/>
    </row>
    <row r="2" spans="1:37" ht="12.75" customHeight="1">
      <c r="A2" s="595"/>
      <c r="B2" s="595"/>
      <c r="C2" s="595"/>
      <c r="D2" s="1833" t="s">
        <v>933</v>
      </c>
      <c r="E2" s="1833"/>
      <c r="F2" s="1833"/>
      <c r="G2" s="1833"/>
      <c r="H2" s="1833"/>
      <c r="I2" s="1833"/>
      <c r="J2" s="1833"/>
      <c r="K2" s="1833"/>
      <c r="L2" s="1833"/>
      <c r="M2" s="1833"/>
      <c r="N2" s="1833"/>
      <c r="O2" s="1833"/>
      <c r="P2" s="1833"/>
      <c r="Q2" s="1833"/>
      <c r="R2" s="1833"/>
      <c r="S2" s="1833"/>
      <c r="T2" s="1833"/>
      <c r="U2" s="1833"/>
      <c r="V2" s="1833"/>
      <c r="W2" s="1833"/>
      <c r="X2" s="1833"/>
      <c r="Y2" s="1833"/>
      <c r="Z2" s="1833"/>
      <c r="AA2" s="1833"/>
      <c r="AB2" s="1833"/>
      <c r="AC2" s="1833"/>
      <c r="AD2" s="1833"/>
      <c r="AE2" s="1833"/>
      <c r="AF2" s="1833"/>
      <c r="AG2" s="869"/>
      <c r="AH2" s="1831" t="s">
        <v>8</v>
      </c>
      <c r="AI2" s="1832"/>
      <c r="AJ2" s="1832"/>
      <c r="AK2" s="595"/>
    </row>
    <row r="3" spans="1:37" ht="21.75" customHeight="1">
      <c r="A3" s="595"/>
      <c r="B3" s="595"/>
      <c r="C3" s="595"/>
      <c r="D3" s="1834" t="s">
        <v>965</v>
      </c>
      <c r="E3" s="1835"/>
      <c r="F3" s="1835"/>
      <c r="G3" s="1835"/>
      <c r="H3" s="1835"/>
      <c r="I3" s="1835"/>
      <c r="J3" s="1835"/>
      <c r="K3" s="1835"/>
      <c r="L3" s="1835"/>
      <c r="M3" s="1835"/>
      <c r="N3" s="1835"/>
      <c r="O3" s="1835"/>
      <c r="P3" s="1835"/>
      <c r="Q3" s="1835"/>
      <c r="R3" s="1835"/>
      <c r="S3" s="1835"/>
      <c r="T3" s="1835"/>
      <c r="U3" s="1835"/>
      <c r="V3" s="1835"/>
      <c r="W3" s="1835"/>
      <c r="X3" s="1835"/>
      <c r="Y3" s="1835"/>
      <c r="Z3" s="1835"/>
      <c r="AA3" s="1835"/>
      <c r="AB3" s="1835"/>
      <c r="AC3" s="1835"/>
      <c r="AD3" s="1835"/>
      <c r="AE3" s="1835"/>
      <c r="AF3" s="1835"/>
      <c r="AG3" s="596"/>
      <c r="AH3" s="596"/>
      <c r="AI3" s="3449">
        <f>'addl. concr. &amp; reinf. comme'!AI3</f>
        <v>45222</v>
      </c>
      <c r="AJ3" s="3450"/>
      <c r="AK3" s="595"/>
    </row>
    <row r="4" spans="1:37" ht="15" customHeight="1" thickBot="1">
      <c r="A4" s="595"/>
      <c r="B4" s="595"/>
      <c r="C4" s="595"/>
      <c r="D4" s="595"/>
      <c r="E4" s="1838"/>
      <c r="F4" s="1838"/>
      <c r="G4" s="1838"/>
      <c r="H4" s="1838"/>
      <c r="I4" s="1838"/>
      <c r="J4" s="1838"/>
      <c r="K4" s="1838"/>
      <c r="L4" s="1838"/>
      <c r="M4" s="1838"/>
      <c r="N4" s="1838"/>
      <c r="O4" s="1838"/>
      <c r="P4" s="1838"/>
      <c r="Q4" s="1838"/>
      <c r="R4" s="1838"/>
      <c r="S4" s="1838"/>
      <c r="T4" s="1838"/>
      <c r="U4" s="1838"/>
      <c r="V4" s="1838"/>
      <c r="W4" s="1838"/>
      <c r="X4" s="1838"/>
      <c r="Y4" s="1838"/>
      <c r="Z4" s="1838"/>
      <c r="AA4" s="1838"/>
      <c r="AB4" s="1838"/>
      <c r="AC4" s="1838"/>
      <c r="AD4" s="1838"/>
      <c r="AE4" s="1838"/>
      <c r="AF4" s="1838"/>
      <c r="AG4" s="872"/>
      <c r="AH4" s="872"/>
      <c r="AI4" s="846"/>
      <c r="AJ4" s="595"/>
      <c r="AK4" s="595"/>
    </row>
    <row r="5" spans="1:37" ht="18" customHeight="1" thickTop="1">
      <c r="A5" s="595"/>
      <c r="B5" s="845"/>
      <c r="C5" s="876"/>
      <c r="D5" s="876"/>
      <c r="E5" s="876"/>
      <c r="F5" s="876"/>
      <c r="G5" s="876"/>
      <c r="H5" s="876"/>
      <c r="I5" s="876"/>
      <c r="J5" s="876"/>
      <c r="K5" s="876"/>
      <c r="L5" s="876"/>
      <c r="M5" s="876"/>
      <c r="N5" s="876"/>
      <c r="O5" s="876"/>
      <c r="P5" s="876"/>
      <c r="Q5" s="877"/>
      <c r="R5" s="877"/>
      <c r="S5" s="877"/>
      <c r="T5" s="876"/>
      <c r="U5" s="876"/>
      <c r="V5" s="876"/>
      <c r="W5" s="876"/>
      <c r="X5" s="876"/>
      <c r="Y5" s="876"/>
      <c r="Z5" s="876"/>
      <c r="AA5" s="876"/>
      <c r="AB5" s="876"/>
      <c r="AC5" s="876"/>
      <c r="AD5" s="876"/>
      <c r="AE5" s="876"/>
      <c r="AF5" s="876"/>
      <c r="AG5" s="876"/>
      <c r="AH5" s="876"/>
      <c r="AI5" s="876"/>
      <c r="AJ5" s="878"/>
      <c r="AK5" s="595"/>
    </row>
    <row r="6" spans="1:37" ht="18" customHeight="1" thickBot="1">
      <c r="A6" s="595"/>
      <c r="B6" s="841"/>
      <c r="C6" s="840"/>
      <c r="D6" s="840"/>
      <c r="E6" s="840"/>
      <c r="F6" s="840"/>
      <c r="G6" s="840"/>
      <c r="H6" s="840"/>
      <c r="I6" s="840"/>
      <c r="J6" s="840"/>
      <c r="K6" s="840"/>
      <c r="L6" s="840"/>
      <c r="M6" s="840"/>
      <c r="N6" s="840"/>
      <c r="O6" s="840"/>
      <c r="P6" s="840"/>
      <c r="Q6" s="873"/>
      <c r="R6" s="873"/>
      <c r="S6" s="873"/>
      <c r="T6" s="840"/>
      <c r="U6" s="1843" t="s">
        <v>10</v>
      </c>
      <c r="V6" s="1843"/>
      <c r="W6" s="1843"/>
      <c r="X6" s="1843"/>
      <c r="Y6" s="1843"/>
      <c r="Z6" s="1841"/>
      <c r="AA6" s="1841"/>
      <c r="AB6" s="871"/>
      <c r="AC6" s="871"/>
      <c r="AD6" s="3413"/>
      <c r="AE6" s="3413"/>
      <c r="AF6" s="1850" t="s">
        <v>981</v>
      </c>
      <c r="AG6" s="1850"/>
      <c r="AH6" s="3413"/>
      <c r="AI6" s="3413"/>
      <c r="AJ6" s="827"/>
      <c r="AK6" s="595"/>
    </row>
    <row r="7" spans="1:37" ht="18" customHeight="1" thickBot="1">
      <c r="A7" s="595"/>
      <c r="B7" s="841"/>
      <c r="C7" s="1843" t="s">
        <v>669</v>
      </c>
      <c r="D7" s="1843"/>
      <c r="E7" s="1843"/>
      <c r="F7" s="1843"/>
      <c r="G7" s="3433" t="str">
        <f>IF('DS Log Pg 1'!D7="","",'DS Log Pg 1'!D7)</f>
        <v/>
      </c>
      <c r="H7" s="3433"/>
      <c r="I7" s="3433"/>
      <c r="J7" s="3433"/>
      <c r="K7" s="3433"/>
      <c r="L7" s="3433"/>
      <c r="M7" s="3433"/>
      <c r="N7" s="3433"/>
      <c r="O7" s="3433"/>
      <c r="P7" s="3433"/>
      <c r="Q7" s="3433"/>
      <c r="R7" s="3433"/>
      <c r="S7" s="3433"/>
      <c r="T7" s="873"/>
      <c r="U7" s="1843" t="s">
        <v>670</v>
      </c>
      <c r="V7" s="1843"/>
      <c r="W7" s="1843"/>
      <c r="X7" s="1843"/>
      <c r="Y7" s="1843"/>
      <c r="Z7" s="1843"/>
      <c r="AA7" s="1843"/>
      <c r="AB7" s="870"/>
      <c r="AC7" s="870"/>
      <c r="AD7" s="3432" t="str">
        <f>IF('DS Log Pg 1'!S7="","",'DS Log Pg 1'!S7)</f>
        <v/>
      </c>
      <c r="AE7" s="3432"/>
      <c r="AF7" s="3432"/>
      <c r="AG7" s="3432"/>
      <c r="AH7" s="3432"/>
      <c r="AI7" s="3432"/>
      <c r="AJ7" s="827"/>
      <c r="AK7" s="595"/>
    </row>
    <row r="8" spans="1:37" ht="18" customHeight="1" thickBot="1">
      <c r="A8" s="595"/>
      <c r="B8" s="841"/>
      <c r="C8" s="1843" t="s">
        <v>931</v>
      </c>
      <c r="D8" s="1843"/>
      <c r="E8" s="1843"/>
      <c r="F8" s="1843"/>
      <c r="G8" s="3433" t="str">
        <f>IF('DS Log Pg 1'!D8="","",'DS Log Pg 1'!D8)</f>
        <v/>
      </c>
      <c r="H8" s="3433"/>
      <c r="I8" s="3433"/>
      <c r="J8" s="3433"/>
      <c r="K8" s="3433"/>
      <c r="L8" s="3433"/>
      <c r="M8" s="3433"/>
      <c r="N8" s="3433"/>
      <c r="O8" s="3433"/>
      <c r="P8" s="3433"/>
      <c r="Q8" s="3433"/>
      <c r="R8" s="3433"/>
      <c r="S8" s="3433"/>
      <c r="T8" s="873"/>
      <c r="U8" s="1841" t="s">
        <v>671</v>
      </c>
      <c r="V8" s="1841"/>
      <c r="W8" s="1841"/>
      <c r="X8" s="1841"/>
      <c r="Y8" s="1841"/>
      <c r="Z8" s="1841"/>
      <c r="AA8" s="1841"/>
      <c r="AB8" s="871"/>
      <c r="AC8" s="871"/>
      <c r="AD8" s="3432" t="str">
        <f>IF('DS Log Pg 1'!S8="","",'DS Log Pg 1'!S8)</f>
        <v/>
      </c>
      <c r="AE8" s="3432"/>
      <c r="AF8" s="3432"/>
      <c r="AG8" s="3432"/>
      <c r="AH8" s="3432"/>
      <c r="AI8" s="3432"/>
      <c r="AJ8" s="827"/>
      <c r="AK8" s="595"/>
    </row>
    <row r="9" spans="1:37" ht="18" customHeight="1" thickBot="1">
      <c r="A9" s="595"/>
      <c r="B9" s="841"/>
      <c r="C9" s="1843" t="s">
        <v>672</v>
      </c>
      <c r="D9" s="1843"/>
      <c r="E9" s="1843"/>
      <c r="F9" s="1843"/>
      <c r="G9" s="3433" t="str">
        <f>IF('DS Log Pg 1'!D9="","",'DS Log Pg 1'!D9)</f>
        <v/>
      </c>
      <c r="H9" s="3433"/>
      <c r="I9" s="3433"/>
      <c r="J9" s="3433"/>
      <c r="K9" s="3433"/>
      <c r="L9" s="3433"/>
      <c r="M9" s="3433"/>
      <c r="N9" s="3433"/>
      <c r="O9" s="3433"/>
      <c r="P9" s="3433"/>
      <c r="Q9" s="3433"/>
      <c r="R9" s="3433"/>
      <c r="S9" s="3433"/>
      <c r="T9" s="840"/>
      <c r="U9" s="1841" t="s">
        <v>673</v>
      </c>
      <c r="V9" s="1841"/>
      <c r="W9" s="1841"/>
      <c r="X9" s="1841"/>
      <c r="Y9" s="1841"/>
      <c r="Z9" s="1841"/>
      <c r="AA9" s="1841"/>
      <c r="AB9" s="871"/>
      <c r="AC9" s="871"/>
      <c r="AD9" s="3431" t="str">
        <f>IF('DS Log Pg 1'!S9="","",'DS Log Pg 1'!S9)</f>
        <v/>
      </c>
      <c r="AE9" s="3431"/>
      <c r="AF9" s="3431"/>
      <c r="AG9" s="3431"/>
      <c r="AH9" s="3431"/>
      <c r="AI9" s="3431"/>
      <c r="AJ9" s="827"/>
      <c r="AK9" s="595"/>
    </row>
    <row r="10" spans="1:37" ht="18" customHeight="1" thickBot="1">
      <c r="A10" s="595"/>
      <c r="B10" s="841"/>
      <c r="C10" s="1843" t="s">
        <v>930</v>
      </c>
      <c r="D10" s="1843"/>
      <c r="E10" s="1843"/>
      <c r="F10" s="1843"/>
      <c r="G10" s="3428"/>
      <c r="H10" s="3428"/>
      <c r="I10" s="3428"/>
      <c r="J10" s="3428"/>
      <c r="K10" s="3428"/>
      <c r="L10" s="3428"/>
      <c r="M10" s="3428"/>
      <c r="N10" s="873" t="s">
        <v>674</v>
      </c>
      <c r="O10" s="3429">
        <v>0</v>
      </c>
      <c r="P10" s="3429"/>
      <c r="Q10" s="839" t="s">
        <v>675</v>
      </c>
      <c r="R10" s="3430"/>
      <c r="S10" s="3430"/>
      <c r="T10" s="840"/>
      <c r="U10" s="1841" t="s">
        <v>676</v>
      </c>
      <c r="V10" s="1841"/>
      <c r="W10" s="1841"/>
      <c r="X10" s="1841"/>
      <c r="Y10" s="1841"/>
      <c r="Z10" s="1841"/>
      <c r="AA10" s="1841"/>
      <c r="AB10" s="871"/>
      <c r="AC10" s="871"/>
      <c r="AD10" s="3431" t="str">
        <f>IF('DS Log Pg 1'!S10="","",'DS Log Pg 1'!S10)</f>
        <v/>
      </c>
      <c r="AE10" s="3431"/>
      <c r="AF10" s="3431"/>
      <c r="AG10" s="3431"/>
      <c r="AH10" s="3431"/>
      <c r="AI10" s="3431"/>
      <c r="AJ10" s="827"/>
      <c r="AK10" s="595"/>
    </row>
    <row r="11" spans="1:37" ht="18" customHeight="1" thickBot="1">
      <c r="A11" s="595"/>
      <c r="B11" s="841"/>
      <c r="C11" s="1843" t="s">
        <v>929</v>
      </c>
      <c r="D11" s="1843"/>
      <c r="E11" s="1843"/>
      <c r="F11" s="1843"/>
      <c r="G11" s="1847"/>
      <c r="H11" s="1847"/>
      <c r="I11" s="1847"/>
      <c r="J11" s="1847"/>
      <c r="K11" s="1847"/>
      <c r="L11" s="1847"/>
      <c r="M11" s="1847"/>
      <c r="N11" s="1847"/>
      <c r="O11" s="1847"/>
      <c r="P11" s="1847"/>
      <c r="Q11" s="839" t="s">
        <v>675</v>
      </c>
      <c r="R11" s="1848"/>
      <c r="S11" s="1848"/>
      <c r="T11" s="840"/>
      <c r="U11" s="1841" t="s">
        <v>928</v>
      </c>
      <c r="V11" s="1841"/>
      <c r="W11" s="1841"/>
      <c r="X11" s="1841"/>
      <c r="Y11" s="1841"/>
      <c r="Z11" s="1841"/>
      <c r="AA11" s="1841"/>
      <c r="AB11" s="871"/>
      <c r="AC11" s="871"/>
      <c r="AD11" s="3432" t="str">
        <f>IF('DS Log Pg 1'!S11="","",'DS Log Pg 1'!S11)</f>
        <v/>
      </c>
      <c r="AE11" s="3432"/>
      <c r="AF11" s="3432"/>
      <c r="AG11" s="3432"/>
      <c r="AH11" s="3432"/>
      <c r="AI11" s="3432"/>
      <c r="AJ11" s="827"/>
      <c r="AK11" s="595"/>
    </row>
    <row r="12" spans="1:37" ht="15.75" customHeight="1">
      <c r="A12" s="595"/>
      <c r="B12" s="841"/>
      <c r="C12" s="840"/>
      <c r="D12" s="840"/>
      <c r="E12" s="840"/>
      <c r="F12" s="839"/>
      <c r="G12" s="3427" t="s">
        <v>927</v>
      </c>
      <c r="H12" s="3427"/>
      <c r="I12" s="3427"/>
      <c r="J12" s="3427"/>
      <c r="K12" s="3427"/>
      <c r="L12" s="3427"/>
      <c r="M12" s="3427"/>
      <c r="N12" s="3427"/>
      <c r="O12" s="3427"/>
      <c r="P12" s="3427"/>
      <c r="Q12" s="873"/>
      <c r="R12" s="873"/>
      <c r="S12" s="873"/>
      <c r="T12" s="840"/>
      <c r="U12" s="840"/>
      <c r="V12" s="840"/>
      <c r="W12" s="840"/>
      <c r="X12" s="840"/>
      <c r="Y12" s="840"/>
      <c r="Z12" s="840"/>
      <c r="AA12" s="840"/>
      <c r="AB12" s="840"/>
      <c r="AC12" s="840"/>
      <c r="AD12" s="840"/>
      <c r="AE12" s="839"/>
      <c r="AF12" s="1850"/>
      <c r="AG12" s="1850"/>
      <c r="AH12" s="1850"/>
      <c r="AI12" s="1850"/>
      <c r="AJ12" s="827"/>
      <c r="AK12" s="595"/>
    </row>
    <row r="13" spans="1:37" ht="9.75" customHeight="1" thickBot="1">
      <c r="A13" s="595"/>
      <c r="B13" s="838"/>
      <c r="C13" s="837"/>
      <c r="D13" s="837"/>
      <c r="E13" s="837"/>
      <c r="F13" s="836"/>
      <c r="G13" s="835"/>
      <c r="H13" s="835"/>
      <c r="I13" s="835"/>
      <c r="J13" s="835"/>
      <c r="K13" s="835"/>
      <c r="L13" s="835"/>
      <c r="M13" s="835"/>
      <c r="N13" s="835"/>
      <c r="O13" s="835"/>
      <c r="P13" s="835"/>
      <c r="Q13" s="835"/>
      <c r="R13" s="835"/>
      <c r="S13" s="835"/>
      <c r="T13" s="837"/>
      <c r="U13" s="837"/>
      <c r="V13" s="837"/>
      <c r="W13" s="837"/>
      <c r="X13" s="837"/>
      <c r="Y13" s="837"/>
      <c r="Z13" s="837"/>
      <c r="AA13" s="837"/>
      <c r="AB13" s="837"/>
      <c r="AC13" s="837"/>
      <c r="AD13" s="837"/>
      <c r="AE13" s="836"/>
      <c r="AF13" s="835"/>
      <c r="AG13" s="835"/>
      <c r="AH13" s="835"/>
      <c r="AI13" s="835"/>
      <c r="AJ13" s="834"/>
      <c r="AK13" s="595"/>
    </row>
    <row r="14" spans="1:37" ht="18" customHeight="1">
      <c r="B14" s="3423" t="s">
        <v>964</v>
      </c>
      <c r="C14" s="3424"/>
      <c r="D14" s="3424"/>
      <c r="E14" s="3424"/>
      <c r="F14" s="3424"/>
      <c r="G14" s="3424"/>
      <c r="H14" s="3424"/>
      <c r="I14" s="3424"/>
      <c r="J14" s="3424"/>
      <c r="K14" s="3424"/>
      <c r="L14" s="3424"/>
      <c r="M14" s="3424"/>
      <c r="N14" s="3424"/>
      <c r="O14" s="3424"/>
      <c r="P14" s="3424"/>
      <c r="Q14" s="3424"/>
      <c r="R14" s="3424"/>
      <c r="S14" s="3424"/>
      <c r="T14" s="3424"/>
      <c r="U14" s="3424"/>
      <c r="V14" s="3424"/>
      <c r="W14" s="3424"/>
      <c r="X14" s="3424"/>
      <c r="Y14" s="3424"/>
      <c r="Z14" s="3424"/>
      <c r="AA14" s="3424"/>
      <c r="AB14" s="3424"/>
      <c r="AC14" s="3424"/>
      <c r="AD14" s="3424"/>
      <c r="AE14" s="3424"/>
      <c r="AF14" s="3424"/>
      <c r="AG14" s="3424"/>
      <c r="AH14" s="3424"/>
      <c r="AI14" s="3424"/>
      <c r="AJ14" s="3425"/>
    </row>
    <row r="15" spans="1:37" ht="15.9" customHeight="1">
      <c r="A15" s="595"/>
      <c r="B15" s="819"/>
      <c r="C15" s="595"/>
      <c r="D15" s="595"/>
      <c r="E15" s="3426"/>
      <c r="F15" s="3426"/>
      <c r="G15" s="3426"/>
      <c r="H15" s="3426"/>
      <c r="I15" s="3426"/>
      <c r="J15" s="3426"/>
      <c r="K15" s="3426"/>
      <c r="L15" s="3426"/>
      <c r="M15" s="3426"/>
      <c r="N15" s="3426"/>
      <c r="O15" s="3426"/>
      <c r="P15" s="3426"/>
      <c r="Q15" s="3426"/>
      <c r="R15" s="3426"/>
      <c r="S15" s="3426"/>
      <c r="T15" s="3426"/>
      <c r="U15" s="3426"/>
      <c r="V15" s="3426"/>
      <c r="W15" s="3426"/>
      <c r="X15" s="3426"/>
      <c r="Y15" s="3426"/>
      <c r="Z15" s="3426"/>
      <c r="AA15" s="3426"/>
      <c r="AB15" s="3426"/>
      <c r="AC15" s="3426"/>
      <c r="AD15" s="3426"/>
      <c r="AE15" s="3426"/>
      <c r="AF15" s="3426"/>
      <c r="AG15" s="3426"/>
      <c r="AH15" s="3426"/>
      <c r="AI15" s="3426"/>
      <c r="AJ15" s="816"/>
      <c r="AK15" s="595"/>
    </row>
    <row r="16" spans="1:37" ht="15.9" customHeight="1">
      <c r="A16" s="595"/>
      <c r="B16" s="819"/>
      <c r="C16" s="595"/>
      <c r="D16" s="595"/>
      <c r="E16" s="1899"/>
      <c r="F16" s="1899"/>
      <c r="G16" s="1899"/>
      <c r="H16" s="1899"/>
      <c r="I16" s="1899"/>
      <c r="J16" s="1899"/>
      <c r="K16" s="1899"/>
      <c r="L16" s="1899"/>
      <c r="M16" s="1899"/>
      <c r="N16" s="1899"/>
      <c r="O16" s="1899"/>
      <c r="P16" s="1899"/>
      <c r="Q16" s="1899"/>
      <c r="R16" s="1899"/>
      <c r="S16" s="1899"/>
      <c r="T16" s="1899"/>
      <c r="U16" s="1899"/>
      <c r="V16" s="1899"/>
      <c r="W16" s="1899"/>
      <c r="X16" s="1899"/>
      <c r="Y16" s="1899"/>
      <c r="Z16" s="1899"/>
      <c r="AA16" s="1899"/>
      <c r="AB16" s="1899"/>
      <c r="AC16" s="1899"/>
      <c r="AD16" s="1899"/>
      <c r="AE16" s="1899"/>
      <c r="AF16" s="1899"/>
      <c r="AG16" s="1899"/>
      <c r="AH16" s="1899"/>
      <c r="AI16" s="1899"/>
      <c r="AJ16" s="816"/>
      <c r="AK16" s="595"/>
    </row>
    <row r="17" spans="1:40" ht="15.9" customHeight="1">
      <c r="A17" s="595"/>
      <c r="B17" s="819"/>
      <c r="C17" s="595"/>
      <c r="D17" s="595"/>
      <c r="E17" s="1899"/>
      <c r="F17" s="1899"/>
      <c r="G17" s="1899"/>
      <c r="H17" s="1899"/>
      <c r="I17" s="1899"/>
      <c r="J17" s="1899"/>
      <c r="K17" s="1899"/>
      <c r="L17" s="1899"/>
      <c r="M17" s="1899"/>
      <c r="N17" s="1899"/>
      <c r="O17" s="1899"/>
      <c r="P17" s="1899"/>
      <c r="Q17" s="1899"/>
      <c r="R17" s="1899"/>
      <c r="S17" s="1899"/>
      <c r="T17" s="1899"/>
      <c r="U17" s="1899"/>
      <c r="V17" s="1899"/>
      <c r="W17" s="1899"/>
      <c r="X17" s="1899"/>
      <c r="Y17" s="1899"/>
      <c r="Z17" s="1899"/>
      <c r="AA17" s="1899"/>
      <c r="AB17" s="1899"/>
      <c r="AC17" s="1899"/>
      <c r="AD17" s="1899"/>
      <c r="AE17" s="1899"/>
      <c r="AF17" s="1899"/>
      <c r="AG17" s="1899"/>
      <c r="AH17" s="1899"/>
      <c r="AI17" s="1899"/>
      <c r="AJ17" s="816"/>
      <c r="AK17" s="595"/>
    </row>
    <row r="18" spans="1:40" ht="15.9" customHeight="1">
      <c r="A18" s="595"/>
      <c r="B18" s="819"/>
      <c r="C18" s="595"/>
      <c r="D18" s="595"/>
      <c r="E18" s="1899"/>
      <c r="F18" s="1899"/>
      <c r="G18" s="1899"/>
      <c r="H18" s="1899"/>
      <c r="I18" s="1899"/>
      <c r="J18" s="1899"/>
      <c r="K18" s="1899"/>
      <c r="L18" s="1899"/>
      <c r="M18" s="1899"/>
      <c r="N18" s="1899"/>
      <c r="O18" s="1899"/>
      <c r="P18" s="1899"/>
      <c r="Q18" s="1899"/>
      <c r="R18" s="1899"/>
      <c r="S18" s="1899"/>
      <c r="T18" s="1899"/>
      <c r="U18" s="1899"/>
      <c r="V18" s="1899"/>
      <c r="W18" s="1899"/>
      <c r="X18" s="1899"/>
      <c r="Y18" s="1899"/>
      <c r="Z18" s="1899"/>
      <c r="AA18" s="1899"/>
      <c r="AB18" s="1899"/>
      <c r="AC18" s="1899"/>
      <c r="AD18" s="1899"/>
      <c r="AE18" s="1899"/>
      <c r="AF18" s="1899"/>
      <c r="AG18" s="1899"/>
      <c r="AH18" s="1899"/>
      <c r="AI18" s="1899"/>
      <c r="AJ18" s="816"/>
      <c r="AK18" s="595"/>
    </row>
    <row r="19" spans="1:40" ht="15.9" customHeight="1">
      <c r="A19" s="595"/>
      <c r="B19" s="819"/>
      <c r="C19" s="595"/>
      <c r="D19" s="595"/>
      <c r="E19" s="1899"/>
      <c r="F19" s="1899"/>
      <c r="G19" s="1899"/>
      <c r="H19" s="1899"/>
      <c r="I19" s="1899"/>
      <c r="J19" s="1899"/>
      <c r="K19" s="1899"/>
      <c r="L19" s="1899"/>
      <c r="M19" s="1899"/>
      <c r="N19" s="1899"/>
      <c r="O19" s="1899"/>
      <c r="P19" s="1899"/>
      <c r="Q19" s="1899"/>
      <c r="R19" s="1899"/>
      <c r="S19" s="1899"/>
      <c r="T19" s="1899"/>
      <c r="U19" s="1899"/>
      <c r="V19" s="1899"/>
      <c r="W19" s="1899"/>
      <c r="X19" s="1899"/>
      <c r="Y19" s="1899"/>
      <c r="Z19" s="1899"/>
      <c r="AA19" s="1899"/>
      <c r="AB19" s="1899"/>
      <c r="AC19" s="1899"/>
      <c r="AD19" s="1899"/>
      <c r="AE19" s="1899"/>
      <c r="AF19" s="1899"/>
      <c r="AG19" s="1899"/>
      <c r="AH19" s="1899"/>
      <c r="AI19" s="1899"/>
      <c r="AJ19" s="816"/>
      <c r="AK19" s="595"/>
    </row>
    <row r="20" spans="1:40" ht="15.9" customHeight="1">
      <c r="A20" s="595"/>
      <c r="B20" s="819"/>
      <c r="C20" s="595"/>
      <c r="D20" s="595"/>
      <c r="E20" s="1899"/>
      <c r="F20" s="1899"/>
      <c r="G20" s="1899"/>
      <c r="H20" s="1899"/>
      <c r="I20" s="1899"/>
      <c r="J20" s="1899"/>
      <c r="K20" s="1899"/>
      <c r="L20" s="1899"/>
      <c r="M20" s="1899"/>
      <c r="N20" s="1899"/>
      <c r="O20" s="1899"/>
      <c r="P20" s="1899"/>
      <c r="Q20" s="1899"/>
      <c r="R20" s="1899"/>
      <c r="S20" s="1899"/>
      <c r="T20" s="1899"/>
      <c r="U20" s="1899"/>
      <c r="V20" s="1899"/>
      <c r="W20" s="1899"/>
      <c r="X20" s="1899"/>
      <c r="Y20" s="1899"/>
      <c r="Z20" s="1899"/>
      <c r="AA20" s="1899"/>
      <c r="AB20" s="1899"/>
      <c r="AC20" s="1899"/>
      <c r="AD20" s="1899"/>
      <c r="AE20" s="1899"/>
      <c r="AF20" s="1899"/>
      <c r="AG20" s="1899"/>
      <c r="AH20" s="1899"/>
      <c r="AI20" s="1899"/>
      <c r="AJ20" s="816"/>
      <c r="AK20" s="595"/>
    </row>
    <row r="21" spans="1:40" ht="15.9" customHeight="1">
      <c r="A21" s="595"/>
      <c r="B21" s="819"/>
      <c r="C21" s="595"/>
      <c r="D21" s="595"/>
      <c r="E21" s="1899"/>
      <c r="F21" s="1899"/>
      <c r="G21" s="1899"/>
      <c r="H21" s="1899"/>
      <c r="I21" s="1899"/>
      <c r="J21" s="1899"/>
      <c r="K21" s="1899"/>
      <c r="L21" s="1899"/>
      <c r="M21" s="1899"/>
      <c r="N21" s="1899"/>
      <c r="O21" s="1899"/>
      <c r="P21" s="1899"/>
      <c r="Q21" s="1899"/>
      <c r="R21" s="1899"/>
      <c r="S21" s="1899"/>
      <c r="T21" s="1899"/>
      <c r="U21" s="1899"/>
      <c r="V21" s="1899"/>
      <c r="W21" s="1899"/>
      <c r="X21" s="1899"/>
      <c r="Y21" s="1899"/>
      <c r="Z21" s="1899"/>
      <c r="AA21" s="1899"/>
      <c r="AB21" s="1899"/>
      <c r="AC21" s="1899"/>
      <c r="AD21" s="1899"/>
      <c r="AE21" s="1899"/>
      <c r="AF21" s="1899"/>
      <c r="AG21" s="1899"/>
      <c r="AH21" s="1899"/>
      <c r="AI21" s="1899"/>
      <c r="AJ21" s="816"/>
      <c r="AK21" s="595"/>
    </row>
    <row r="22" spans="1:40" ht="15.9" customHeight="1">
      <c r="A22" s="595"/>
      <c r="B22" s="819"/>
      <c r="C22" s="595"/>
      <c r="D22" s="595"/>
      <c r="E22" s="1899"/>
      <c r="F22" s="1899"/>
      <c r="G22" s="1899"/>
      <c r="H22" s="1899"/>
      <c r="I22" s="1899"/>
      <c r="J22" s="1899"/>
      <c r="K22" s="1899"/>
      <c r="L22" s="1899"/>
      <c r="M22" s="1899"/>
      <c r="N22" s="1899"/>
      <c r="O22" s="1899"/>
      <c r="P22" s="1899"/>
      <c r="Q22" s="1899"/>
      <c r="R22" s="1899"/>
      <c r="S22" s="1899"/>
      <c r="T22" s="1899"/>
      <c r="U22" s="1899"/>
      <c r="V22" s="1899"/>
      <c r="W22" s="1899"/>
      <c r="X22" s="1899"/>
      <c r="Y22" s="1899"/>
      <c r="Z22" s="1899"/>
      <c r="AA22" s="1899"/>
      <c r="AB22" s="1899"/>
      <c r="AC22" s="1899"/>
      <c r="AD22" s="1899"/>
      <c r="AE22" s="1899"/>
      <c r="AF22" s="1899"/>
      <c r="AG22" s="1899"/>
      <c r="AH22" s="1899"/>
      <c r="AI22" s="1899"/>
      <c r="AJ22" s="816"/>
      <c r="AK22" s="595"/>
      <c r="AM22" s="874"/>
      <c r="AN22" s="874"/>
    </row>
    <row r="23" spans="1:40" ht="15.9" customHeight="1">
      <c r="A23" s="595"/>
      <c r="B23" s="819"/>
      <c r="C23" s="595"/>
      <c r="D23" s="595"/>
      <c r="E23" s="1899"/>
      <c r="F23" s="1899"/>
      <c r="G23" s="1899"/>
      <c r="H23" s="1899"/>
      <c r="I23" s="1899"/>
      <c r="J23" s="1899"/>
      <c r="K23" s="1899"/>
      <c r="L23" s="1899"/>
      <c r="M23" s="1899"/>
      <c r="N23" s="1899"/>
      <c r="O23" s="1899"/>
      <c r="P23" s="1899"/>
      <c r="Q23" s="1899"/>
      <c r="R23" s="1899"/>
      <c r="S23" s="1899"/>
      <c r="T23" s="1899"/>
      <c r="U23" s="1899"/>
      <c r="V23" s="1899"/>
      <c r="W23" s="1899"/>
      <c r="X23" s="1899"/>
      <c r="Y23" s="1899"/>
      <c r="Z23" s="1899"/>
      <c r="AA23" s="1899"/>
      <c r="AB23" s="1899"/>
      <c r="AC23" s="1899"/>
      <c r="AD23" s="1899"/>
      <c r="AE23" s="1899"/>
      <c r="AF23" s="1899"/>
      <c r="AG23" s="1899"/>
      <c r="AH23" s="1899"/>
      <c r="AI23" s="1899"/>
      <c r="AJ23" s="816"/>
      <c r="AK23" s="595"/>
      <c r="AM23" s="874"/>
      <c r="AN23" s="874"/>
    </row>
    <row r="24" spans="1:40" ht="15.9" customHeight="1">
      <c r="A24" s="595"/>
      <c r="B24" s="819"/>
      <c r="C24" s="595"/>
      <c r="D24" s="595"/>
      <c r="E24" s="1899"/>
      <c r="F24" s="1899"/>
      <c r="G24" s="1899"/>
      <c r="H24" s="1899"/>
      <c r="I24" s="1899"/>
      <c r="J24" s="1899"/>
      <c r="K24" s="1899"/>
      <c r="L24" s="1899"/>
      <c r="M24" s="1899"/>
      <c r="N24" s="1899"/>
      <c r="O24" s="1899"/>
      <c r="P24" s="1899"/>
      <c r="Q24" s="1899"/>
      <c r="R24" s="1899"/>
      <c r="S24" s="1899"/>
      <c r="T24" s="1899"/>
      <c r="U24" s="1899"/>
      <c r="V24" s="1899"/>
      <c r="W24" s="1899"/>
      <c r="X24" s="1899"/>
      <c r="Y24" s="1899"/>
      <c r="Z24" s="1899"/>
      <c r="AA24" s="1899"/>
      <c r="AB24" s="1899"/>
      <c r="AC24" s="1899"/>
      <c r="AD24" s="1899"/>
      <c r="AE24" s="1899"/>
      <c r="AF24" s="1899"/>
      <c r="AG24" s="1899"/>
      <c r="AH24" s="1899"/>
      <c r="AI24" s="1899"/>
      <c r="AJ24" s="816"/>
      <c r="AK24" s="595"/>
      <c r="AM24" s="874"/>
      <c r="AN24" s="874"/>
    </row>
    <row r="25" spans="1:40" ht="15.9" customHeight="1">
      <c r="A25" s="595"/>
      <c r="B25" s="819"/>
      <c r="C25" s="595"/>
      <c r="D25" s="595"/>
      <c r="E25" s="1899"/>
      <c r="F25" s="1899"/>
      <c r="G25" s="1899"/>
      <c r="H25" s="1899"/>
      <c r="I25" s="1899"/>
      <c r="J25" s="1899"/>
      <c r="K25" s="1899"/>
      <c r="L25" s="1899"/>
      <c r="M25" s="1899"/>
      <c r="N25" s="1899"/>
      <c r="O25" s="1899"/>
      <c r="P25" s="1899"/>
      <c r="Q25" s="1899"/>
      <c r="R25" s="1899"/>
      <c r="S25" s="1899"/>
      <c r="T25" s="1899"/>
      <c r="U25" s="1899"/>
      <c r="V25" s="1899"/>
      <c r="W25" s="1899"/>
      <c r="X25" s="1899"/>
      <c r="Y25" s="1899"/>
      <c r="Z25" s="1899"/>
      <c r="AA25" s="1899"/>
      <c r="AB25" s="1899"/>
      <c r="AC25" s="1899"/>
      <c r="AD25" s="1899"/>
      <c r="AE25" s="1899"/>
      <c r="AF25" s="1899"/>
      <c r="AG25" s="1899"/>
      <c r="AH25" s="1899"/>
      <c r="AI25" s="1899"/>
      <c r="AJ25" s="816"/>
      <c r="AK25" s="595"/>
      <c r="AM25" s="874"/>
      <c r="AN25" s="874"/>
    </row>
    <row r="26" spans="1:40" ht="15.9" customHeight="1">
      <c r="A26" s="595"/>
      <c r="B26" s="819"/>
      <c r="C26" s="595"/>
      <c r="D26" s="595"/>
      <c r="E26" s="1899"/>
      <c r="F26" s="1899"/>
      <c r="G26" s="1899"/>
      <c r="H26" s="1899"/>
      <c r="I26" s="1899"/>
      <c r="J26" s="1899"/>
      <c r="K26" s="1899"/>
      <c r="L26" s="1899"/>
      <c r="M26" s="1899"/>
      <c r="N26" s="1899"/>
      <c r="O26" s="1899"/>
      <c r="P26" s="1899"/>
      <c r="Q26" s="1899"/>
      <c r="R26" s="1899"/>
      <c r="S26" s="1899"/>
      <c r="T26" s="1899"/>
      <c r="U26" s="1899"/>
      <c r="V26" s="1899"/>
      <c r="W26" s="1899"/>
      <c r="X26" s="1899"/>
      <c r="Y26" s="1899"/>
      <c r="Z26" s="1899"/>
      <c r="AA26" s="1899"/>
      <c r="AB26" s="1899"/>
      <c r="AC26" s="1899"/>
      <c r="AD26" s="1899"/>
      <c r="AE26" s="1899"/>
      <c r="AF26" s="1899"/>
      <c r="AG26" s="1899"/>
      <c r="AH26" s="1899"/>
      <c r="AI26" s="1899"/>
      <c r="AJ26" s="816"/>
      <c r="AK26" s="595"/>
      <c r="AM26" s="874"/>
      <c r="AN26" s="874"/>
    </row>
    <row r="27" spans="1:40" ht="15.9" customHeight="1">
      <c r="A27" s="595"/>
      <c r="B27" s="819"/>
      <c r="C27" s="595"/>
      <c r="D27" s="595"/>
      <c r="E27" s="1899"/>
      <c r="F27" s="1899"/>
      <c r="G27" s="1899"/>
      <c r="H27" s="1899"/>
      <c r="I27" s="1899"/>
      <c r="J27" s="1899"/>
      <c r="K27" s="1899"/>
      <c r="L27" s="1899"/>
      <c r="M27" s="1899"/>
      <c r="N27" s="1899"/>
      <c r="O27" s="1899"/>
      <c r="P27" s="1899"/>
      <c r="Q27" s="1899"/>
      <c r="R27" s="1899"/>
      <c r="S27" s="1899"/>
      <c r="T27" s="1899"/>
      <c r="U27" s="1899"/>
      <c r="V27" s="1899"/>
      <c r="W27" s="1899"/>
      <c r="X27" s="1899"/>
      <c r="Y27" s="1899"/>
      <c r="Z27" s="1899"/>
      <c r="AA27" s="1899"/>
      <c r="AB27" s="1899"/>
      <c r="AC27" s="1899"/>
      <c r="AD27" s="1899"/>
      <c r="AE27" s="1899"/>
      <c r="AF27" s="1899"/>
      <c r="AG27" s="1899"/>
      <c r="AH27" s="1899"/>
      <c r="AI27" s="1899"/>
      <c r="AJ27" s="816"/>
      <c r="AK27" s="595"/>
    </row>
    <row r="28" spans="1:40" ht="15.9" customHeight="1">
      <c r="A28" s="595"/>
      <c r="B28" s="819"/>
      <c r="C28" s="595"/>
      <c r="D28" s="595"/>
      <c r="E28" s="1899"/>
      <c r="F28" s="1899"/>
      <c r="G28" s="1899"/>
      <c r="H28" s="1899"/>
      <c r="I28" s="1899"/>
      <c r="J28" s="1899"/>
      <c r="K28" s="1899"/>
      <c r="L28" s="1899"/>
      <c r="M28" s="1899"/>
      <c r="N28" s="1899"/>
      <c r="O28" s="1899"/>
      <c r="P28" s="1899"/>
      <c r="Q28" s="1899"/>
      <c r="R28" s="1899"/>
      <c r="S28" s="1899"/>
      <c r="T28" s="1899"/>
      <c r="U28" s="1899"/>
      <c r="V28" s="1899"/>
      <c r="W28" s="1899"/>
      <c r="X28" s="1899"/>
      <c r="Y28" s="1899"/>
      <c r="Z28" s="1899"/>
      <c r="AA28" s="1899"/>
      <c r="AB28" s="1899"/>
      <c r="AC28" s="1899"/>
      <c r="AD28" s="1899"/>
      <c r="AE28" s="1899"/>
      <c r="AF28" s="1899"/>
      <c r="AG28" s="1899"/>
      <c r="AH28" s="1899"/>
      <c r="AI28" s="1899"/>
      <c r="AJ28" s="816"/>
      <c r="AK28" s="595"/>
    </row>
    <row r="29" spans="1:40" ht="15.9" customHeight="1">
      <c r="A29" s="595"/>
      <c r="B29" s="819"/>
      <c r="C29" s="595"/>
      <c r="D29" s="595"/>
      <c r="E29" s="1899"/>
      <c r="F29" s="1899"/>
      <c r="G29" s="1899"/>
      <c r="H29" s="1899"/>
      <c r="I29" s="1899"/>
      <c r="J29" s="1899"/>
      <c r="K29" s="1899"/>
      <c r="L29" s="1899"/>
      <c r="M29" s="1899"/>
      <c r="N29" s="1899"/>
      <c r="O29" s="1899"/>
      <c r="P29" s="1899"/>
      <c r="Q29" s="1899"/>
      <c r="R29" s="1899"/>
      <c r="S29" s="1899"/>
      <c r="T29" s="1899"/>
      <c r="U29" s="1899"/>
      <c r="V29" s="1899"/>
      <c r="W29" s="1899"/>
      <c r="X29" s="1899"/>
      <c r="Y29" s="1899"/>
      <c r="Z29" s="1899"/>
      <c r="AA29" s="1899"/>
      <c r="AB29" s="1899"/>
      <c r="AC29" s="1899"/>
      <c r="AD29" s="1899"/>
      <c r="AE29" s="1899"/>
      <c r="AF29" s="1899"/>
      <c r="AG29" s="1899"/>
      <c r="AH29" s="1899"/>
      <c r="AI29" s="1899"/>
      <c r="AJ29" s="816"/>
      <c r="AK29" s="595"/>
    </row>
    <row r="30" spans="1:40" ht="15.9" customHeight="1">
      <c r="A30" s="595"/>
      <c r="B30" s="819"/>
      <c r="C30" s="595"/>
      <c r="D30" s="595"/>
      <c r="E30" s="1899"/>
      <c r="F30" s="1899"/>
      <c r="G30" s="1899"/>
      <c r="H30" s="1899"/>
      <c r="I30" s="1899"/>
      <c r="J30" s="1899"/>
      <c r="K30" s="1899"/>
      <c r="L30" s="1899"/>
      <c r="M30" s="1899"/>
      <c r="N30" s="1899"/>
      <c r="O30" s="1899"/>
      <c r="P30" s="1899"/>
      <c r="Q30" s="1899"/>
      <c r="R30" s="1899"/>
      <c r="S30" s="1899"/>
      <c r="T30" s="1899"/>
      <c r="U30" s="1899"/>
      <c r="V30" s="1899"/>
      <c r="W30" s="1899"/>
      <c r="X30" s="1899"/>
      <c r="Y30" s="1899"/>
      <c r="Z30" s="1899"/>
      <c r="AA30" s="1899"/>
      <c r="AB30" s="1899"/>
      <c r="AC30" s="1899"/>
      <c r="AD30" s="1899"/>
      <c r="AE30" s="1899"/>
      <c r="AF30" s="1899"/>
      <c r="AG30" s="1899"/>
      <c r="AH30" s="1899"/>
      <c r="AI30" s="1899"/>
      <c r="AJ30" s="827"/>
      <c r="AK30" s="595"/>
    </row>
    <row r="31" spans="1:40" ht="15.9" customHeight="1">
      <c r="A31" s="595"/>
      <c r="B31" s="819"/>
      <c r="C31" s="595"/>
      <c r="D31" s="595"/>
      <c r="E31" s="1899"/>
      <c r="F31" s="1899"/>
      <c r="G31" s="1899"/>
      <c r="H31" s="1899"/>
      <c r="I31" s="1899"/>
      <c r="J31" s="1899"/>
      <c r="K31" s="1899"/>
      <c r="L31" s="1899"/>
      <c r="M31" s="1899"/>
      <c r="N31" s="1899"/>
      <c r="O31" s="1899"/>
      <c r="P31" s="1899"/>
      <c r="Q31" s="1899"/>
      <c r="R31" s="1899"/>
      <c r="S31" s="1899"/>
      <c r="T31" s="1899"/>
      <c r="U31" s="1899"/>
      <c r="V31" s="1899"/>
      <c r="W31" s="1899"/>
      <c r="X31" s="1899"/>
      <c r="Y31" s="1899"/>
      <c r="Z31" s="1899"/>
      <c r="AA31" s="1899"/>
      <c r="AB31" s="1899"/>
      <c r="AC31" s="1899"/>
      <c r="AD31" s="1899"/>
      <c r="AE31" s="1899"/>
      <c r="AF31" s="1899"/>
      <c r="AG31" s="1899"/>
      <c r="AH31" s="1899"/>
      <c r="AI31" s="1899"/>
      <c r="AJ31" s="816"/>
      <c r="AK31" s="595"/>
    </row>
    <row r="32" spans="1:40" ht="15.9" customHeight="1">
      <c r="A32" s="595"/>
      <c r="B32" s="819"/>
      <c r="C32" s="595"/>
      <c r="D32" s="595"/>
      <c r="E32" s="1899"/>
      <c r="F32" s="1899"/>
      <c r="G32" s="1899"/>
      <c r="H32" s="1899"/>
      <c r="I32" s="1899"/>
      <c r="J32" s="1899"/>
      <c r="K32" s="1899"/>
      <c r="L32" s="1899"/>
      <c r="M32" s="1899"/>
      <c r="N32" s="1899"/>
      <c r="O32" s="1899"/>
      <c r="P32" s="1899"/>
      <c r="Q32" s="1899"/>
      <c r="R32" s="1899"/>
      <c r="S32" s="1899"/>
      <c r="T32" s="1899"/>
      <c r="U32" s="1899"/>
      <c r="V32" s="1899"/>
      <c r="W32" s="1899"/>
      <c r="X32" s="1899"/>
      <c r="Y32" s="1899"/>
      <c r="Z32" s="1899"/>
      <c r="AA32" s="1899"/>
      <c r="AB32" s="1899"/>
      <c r="AC32" s="1899"/>
      <c r="AD32" s="1899"/>
      <c r="AE32" s="1899"/>
      <c r="AF32" s="1899"/>
      <c r="AG32" s="1899"/>
      <c r="AH32" s="1899"/>
      <c r="AI32" s="1899"/>
      <c r="AJ32" s="816"/>
      <c r="AK32" s="595"/>
    </row>
    <row r="33" spans="1:40" ht="15.9" customHeight="1">
      <c r="A33" s="595"/>
      <c r="B33" s="819"/>
      <c r="C33" s="595"/>
      <c r="D33" s="595"/>
      <c r="E33" s="1899"/>
      <c r="F33" s="1899"/>
      <c r="G33" s="1899"/>
      <c r="H33" s="1899"/>
      <c r="I33" s="1899"/>
      <c r="J33" s="1899"/>
      <c r="K33" s="1899"/>
      <c r="L33" s="1899"/>
      <c r="M33" s="1899"/>
      <c r="N33" s="1899"/>
      <c r="O33" s="1899"/>
      <c r="P33" s="1899"/>
      <c r="Q33" s="1899"/>
      <c r="R33" s="1899"/>
      <c r="S33" s="1899"/>
      <c r="T33" s="1899"/>
      <c r="U33" s="1899"/>
      <c r="V33" s="1899"/>
      <c r="W33" s="1899"/>
      <c r="X33" s="1899"/>
      <c r="Y33" s="1899"/>
      <c r="Z33" s="1899"/>
      <c r="AA33" s="1899"/>
      <c r="AB33" s="1899"/>
      <c r="AC33" s="1899"/>
      <c r="AD33" s="1899"/>
      <c r="AE33" s="1899"/>
      <c r="AF33" s="1899"/>
      <c r="AG33" s="1899"/>
      <c r="AH33" s="1899"/>
      <c r="AI33" s="1899"/>
      <c r="AJ33" s="816"/>
      <c r="AK33" s="595"/>
    </row>
    <row r="34" spans="1:40" ht="15.9" customHeight="1">
      <c r="A34" s="595"/>
      <c r="B34" s="819"/>
      <c r="C34" s="595"/>
      <c r="D34" s="595"/>
      <c r="E34" s="1899"/>
      <c r="F34" s="1899"/>
      <c r="G34" s="1899"/>
      <c r="H34" s="1899"/>
      <c r="I34" s="1899"/>
      <c r="J34" s="1899"/>
      <c r="K34" s="1899"/>
      <c r="L34" s="1899"/>
      <c r="M34" s="1899"/>
      <c r="N34" s="1899"/>
      <c r="O34" s="1899"/>
      <c r="P34" s="1899"/>
      <c r="Q34" s="1899"/>
      <c r="R34" s="1899"/>
      <c r="S34" s="1899"/>
      <c r="T34" s="1899"/>
      <c r="U34" s="1899"/>
      <c r="V34" s="1899"/>
      <c r="W34" s="1899"/>
      <c r="X34" s="1899"/>
      <c r="Y34" s="1899"/>
      <c r="Z34" s="1899"/>
      <c r="AA34" s="1899"/>
      <c r="AB34" s="1899"/>
      <c r="AC34" s="1899"/>
      <c r="AD34" s="1899"/>
      <c r="AE34" s="1899"/>
      <c r="AF34" s="1899"/>
      <c r="AG34" s="1899"/>
      <c r="AH34" s="1899"/>
      <c r="AI34" s="1899"/>
      <c r="AJ34" s="816"/>
      <c r="AK34" s="595"/>
    </row>
    <row r="35" spans="1:40" ht="15.9" customHeight="1">
      <c r="A35" s="595"/>
      <c r="B35" s="819"/>
      <c r="C35" s="595"/>
      <c r="D35" s="595"/>
      <c r="E35" s="1899"/>
      <c r="F35" s="1899"/>
      <c r="G35" s="1899"/>
      <c r="H35" s="1899"/>
      <c r="I35" s="1899"/>
      <c r="J35" s="1899"/>
      <c r="K35" s="1899"/>
      <c r="L35" s="1899"/>
      <c r="M35" s="1899"/>
      <c r="N35" s="1899"/>
      <c r="O35" s="1899"/>
      <c r="P35" s="1899"/>
      <c r="Q35" s="1899"/>
      <c r="R35" s="1899"/>
      <c r="S35" s="1899"/>
      <c r="T35" s="1899"/>
      <c r="U35" s="1899"/>
      <c r="V35" s="1899"/>
      <c r="W35" s="1899"/>
      <c r="X35" s="1899"/>
      <c r="Y35" s="1899"/>
      <c r="Z35" s="1899"/>
      <c r="AA35" s="1899"/>
      <c r="AB35" s="1899"/>
      <c r="AC35" s="1899"/>
      <c r="AD35" s="1899"/>
      <c r="AE35" s="1899"/>
      <c r="AF35" s="1899"/>
      <c r="AG35" s="1899"/>
      <c r="AH35" s="1899"/>
      <c r="AI35" s="1899"/>
      <c r="AJ35" s="816"/>
      <c r="AK35" s="595"/>
    </row>
    <row r="36" spans="1:40" ht="15.9" customHeight="1">
      <c r="A36" s="595"/>
      <c r="B36" s="819"/>
      <c r="C36" s="595"/>
      <c r="D36" s="595"/>
      <c r="E36" s="1899"/>
      <c r="F36" s="1899"/>
      <c r="G36" s="1899"/>
      <c r="H36" s="1899"/>
      <c r="I36" s="1899"/>
      <c r="J36" s="1899"/>
      <c r="K36" s="1899"/>
      <c r="L36" s="1899"/>
      <c r="M36" s="1899"/>
      <c r="N36" s="1899"/>
      <c r="O36" s="1899"/>
      <c r="P36" s="1899"/>
      <c r="Q36" s="1899"/>
      <c r="R36" s="1899"/>
      <c r="S36" s="1899"/>
      <c r="T36" s="1899"/>
      <c r="U36" s="1899"/>
      <c r="V36" s="1899"/>
      <c r="W36" s="1899"/>
      <c r="X36" s="1899"/>
      <c r="Y36" s="1899"/>
      <c r="Z36" s="1899"/>
      <c r="AA36" s="1899"/>
      <c r="AB36" s="1899"/>
      <c r="AC36" s="1899"/>
      <c r="AD36" s="1899"/>
      <c r="AE36" s="1899"/>
      <c r="AF36" s="1899"/>
      <c r="AG36" s="1899"/>
      <c r="AH36" s="1899"/>
      <c r="AI36" s="1899"/>
      <c r="AJ36" s="816"/>
      <c r="AK36" s="595"/>
    </row>
    <row r="37" spans="1:40" ht="15.9" customHeight="1">
      <c r="A37" s="595"/>
      <c r="B37" s="819"/>
      <c r="C37" s="595"/>
      <c r="D37" s="595"/>
      <c r="E37" s="1899"/>
      <c r="F37" s="1899"/>
      <c r="G37" s="1899"/>
      <c r="H37" s="1899"/>
      <c r="I37" s="1899"/>
      <c r="J37" s="1899"/>
      <c r="K37" s="1899"/>
      <c r="L37" s="1899"/>
      <c r="M37" s="1899"/>
      <c r="N37" s="1899"/>
      <c r="O37" s="1899"/>
      <c r="P37" s="1899"/>
      <c r="Q37" s="1899"/>
      <c r="R37" s="1899"/>
      <c r="S37" s="1899"/>
      <c r="T37" s="1899"/>
      <c r="U37" s="1899"/>
      <c r="V37" s="1899"/>
      <c r="W37" s="1899"/>
      <c r="X37" s="1899"/>
      <c r="Y37" s="1899"/>
      <c r="Z37" s="1899"/>
      <c r="AA37" s="1899"/>
      <c r="AB37" s="1899"/>
      <c r="AC37" s="1899"/>
      <c r="AD37" s="1899"/>
      <c r="AE37" s="1899"/>
      <c r="AF37" s="1899"/>
      <c r="AG37" s="1899"/>
      <c r="AH37" s="1899"/>
      <c r="AI37" s="1899"/>
      <c r="AJ37" s="816"/>
      <c r="AK37" s="595"/>
      <c r="AM37" s="874"/>
      <c r="AN37" s="874"/>
    </row>
    <row r="38" spans="1:40" ht="15.9" customHeight="1">
      <c r="A38" s="595"/>
      <c r="B38" s="819"/>
      <c r="C38" s="595"/>
      <c r="D38" s="595"/>
      <c r="E38" s="1899"/>
      <c r="F38" s="1899"/>
      <c r="G38" s="1899"/>
      <c r="H38" s="1899"/>
      <c r="I38" s="1899"/>
      <c r="J38" s="1899"/>
      <c r="K38" s="1899"/>
      <c r="L38" s="1899"/>
      <c r="M38" s="1899"/>
      <c r="N38" s="1899"/>
      <c r="O38" s="1899"/>
      <c r="P38" s="1899"/>
      <c r="Q38" s="1899"/>
      <c r="R38" s="1899"/>
      <c r="S38" s="1899"/>
      <c r="T38" s="1899"/>
      <c r="U38" s="1899"/>
      <c r="V38" s="1899"/>
      <c r="W38" s="1899"/>
      <c r="X38" s="1899"/>
      <c r="Y38" s="1899"/>
      <c r="Z38" s="1899"/>
      <c r="AA38" s="1899"/>
      <c r="AB38" s="1899"/>
      <c r="AC38" s="1899"/>
      <c r="AD38" s="1899"/>
      <c r="AE38" s="1899"/>
      <c r="AF38" s="1899"/>
      <c r="AG38" s="1899"/>
      <c r="AH38" s="1899"/>
      <c r="AI38" s="1899"/>
      <c r="AJ38" s="816"/>
      <c r="AK38" s="595"/>
      <c r="AM38" s="874"/>
      <c r="AN38" s="874"/>
    </row>
    <row r="39" spans="1:40" ht="15.9" customHeight="1">
      <c r="A39" s="595"/>
      <c r="B39" s="819"/>
      <c r="C39" s="595"/>
      <c r="D39" s="595"/>
      <c r="E39" s="1899"/>
      <c r="F39" s="1899"/>
      <c r="G39" s="1899"/>
      <c r="H39" s="1899"/>
      <c r="I39" s="1899"/>
      <c r="J39" s="1899"/>
      <c r="K39" s="1899"/>
      <c r="L39" s="1899"/>
      <c r="M39" s="1899"/>
      <c r="N39" s="1899"/>
      <c r="O39" s="1899"/>
      <c r="P39" s="1899"/>
      <c r="Q39" s="1899"/>
      <c r="R39" s="1899"/>
      <c r="S39" s="1899"/>
      <c r="T39" s="1899"/>
      <c r="U39" s="1899"/>
      <c r="V39" s="1899"/>
      <c r="W39" s="1899"/>
      <c r="X39" s="1899"/>
      <c r="Y39" s="1899"/>
      <c r="Z39" s="1899"/>
      <c r="AA39" s="1899"/>
      <c r="AB39" s="1899"/>
      <c r="AC39" s="1899"/>
      <c r="AD39" s="1899"/>
      <c r="AE39" s="1899"/>
      <c r="AF39" s="1899"/>
      <c r="AG39" s="1899"/>
      <c r="AH39" s="1899"/>
      <c r="AI39" s="1899"/>
      <c r="AJ39" s="816"/>
      <c r="AK39" s="595"/>
    </row>
    <row r="40" spans="1:40" ht="15.9" customHeight="1">
      <c r="A40" s="595"/>
      <c r="B40" s="819"/>
      <c r="C40" s="595"/>
      <c r="D40" s="595"/>
      <c r="E40" s="1899"/>
      <c r="F40" s="1899"/>
      <c r="G40" s="1899"/>
      <c r="H40" s="1899"/>
      <c r="I40" s="1899"/>
      <c r="J40" s="1899"/>
      <c r="K40" s="1899"/>
      <c r="L40" s="1899"/>
      <c r="M40" s="1899"/>
      <c r="N40" s="1899"/>
      <c r="O40" s="1899"/>
      <c r="P40" s="1899"/>
      <c r="Q40" s="1899"/>
      <c r="R40" s="1899"/>
      <c r="S40" s="1899"/>
      <c r="T40" s="1899"/>
      <c r="U40" s="1899"/>
      <c r="V40" s="1899"/>
      <c r="W40" s="1899"/>
      <c r="X40" s="1899"/>
      <c r="Y40" s="1899"/>
      <c r="Z40" s="1899"/>
      <c r="AA40" s="1899"/>
      <c r="AB40" s="1899"/>
      <c r="AC40" s="1899"/>
      <c r="AD40" s="1899"/>
      <c r="AE40" s="1899"/>
      <c r="AF40" s="1899"/>
      <c r="AG40" s="1899"/>
      <c r="AH40" s="1899"/>
      <c r="AI40" s="1899"/>
      <c r="AJ40" s="816"/>
      <c r="AK40" s="595"/>
    </row>
    <row r="41" spans="1:40" ht="15.9" customHeight="1">
      <c r="A41" s="595"/>
      <c r="B41" s="819"/>
      <c r="C41" s="595"/>
      <c r="D41" s="595"/>
      <c r="E41" s="1899"/>
      <c r="F41" s="1899"/>
      <c r="G41" s="1899"/>
      <c r="H41" s="1899"/>
      <c r="I41" s="1899"/>
      <c r="J41" s="1899"/>
      <c r="K41" s="1899"/>
      <c r="L41" s="1899"/>
      <c r="M41" s="1899"/>
      <c r="N41" s="1899"/>
      <c r="O41" s="1899"/>
      <c r="P41" s="1899"/>
      <c r="Q41" s="1899"/>
      <c r="R41" s="1899"/>
      <c r="S41" s="1899"/>
      <c r="T41" s="1899"/>
      <c r="U41" s="1899"/>
      <c r="V41" s="1899"/>
      <c r="W41" s="1899"/>
      <c r="X41" s="1899"/>
      <c r="Y41" s="1899"/>
      <c r="Z41" s="1899"/>
      <c r="AA41" s="1899"/>
      <c r="AB41" s="1899"/>
      <c r="AC41" s="1899"/>
      <c r="AD41" s="1899"/>
      <c r="AE41" s="1899"/>
      <c r="AF41" s="1899"/>
      <c r="AG41" s="1899"/>
      <c r="AH41" s="1899"/>
      <c r="AI41" s="1899"/>
      <c r="AJ41" s="816"/>
      <c r="AK41" s="595"/>
    </row>
    <row r="42" spans="1:40" ht="15.9" customHeight="1">
      <c r="A42" s="595"/>
      <c r="B42" s="819"/>
      <c r="C42" s="595"/>
      <c r="D42" s="595"/>
      <c r="E42" s="1899"/>
      <c r="F42" s="1899"/>
      <c r="G42" s="1899"/>
      <c r="H42" s="1899"/>
      <c r="I42" s="1899"/>
      <c r="J42" s="1899"/>
      <c r="K42" s="1899"/>
      <c r="L42" s="1899"/>
      <c r="M42" s="1899"/>
      <c r="N42" s="1899"/>
      <c r="O42" s="1899"/>
      <c r="P42" s="1899"/>
      <c r="Q42" s="1899"/>
      <c r="R42" s="1899"/>
      <c r="S42" s="1899"/>
      <c r="T42" s="1899"/>
      <c r="U42" s="1899"/>
      <c r="V42" s="1899"/>
      <c r="W42" s="1899"/>
      <c r="X42" s="1899"/>
      <c r="Y42" s="1899"/>
      <c r="Z42" s="1899"/>
      <c r="AA42" s="1899"/>
      <c r="AB42" s="1899"/>
      <c r="AC42" s="1899"/>
      <c r="AD42" s="1899"/>
      <c r="AE42" s="1899"/>
      <c r="AF42" s="1899"/>
      <c r="AG42" s="1899"/>
      <c r="AH42" s="1899"/>
      <c r="AI42" s="1899"/>
      <c r="AJ42" s="827"/>
      <c r="AK42" s="595"/>
    </row>
    <row r="43" spans="1:40" ht="15.9" customHeight="1">
      <c r="A43" s="595"/>
      <c r="B43" s="819"/>
      <c r="C43" s="595"/>
      <c r="D43" s="595"/>
      <c r="E43" s="1899"/>
      <c r="F43" s="1899"/>
      <c r="G43" s="1899"/>
      <c r="H43" s="1899"/>
      <c r="I43" s="1899"/>
      <c r="J43" s="1899"/>
      <c r="K43" s="1899"/>
      <c r="L43" s="1899"/>
      <c r="M43" s="1899"/>
      <c r="N43" s="1899"/>
      <c r="O43" s="1899"/>
      <c r="P43" s="1899"/>
      <c r="Q43" s="1899"/>
      <c r="R43" s="1899"/>
      <c r="S43" s="1899"/>
      <c r="T43" s="1899"/>
      <c r="U43" s="1899"/>
      <c r="V43" s="1899"/>
      <c r="W43" s="1899"/>
      <c r="X43" s="1899"/>
      <c r="Y43" s="1899"/>
      <c r="Z43" s="1899"/>
      <c r="AA43" s="1899"/>
      <c r="AB43" s="1899"/>
      <c r="AC43" s="1899"/>
      <c r="AD43" s="1899"/>
      <c r="AE43" s="1899"/>
      <c r="AF43" s="1899"/>
      <c r="AG43" s="1899"/>
      <c r="AH43" s="1899"/>
      <c r="AI43" s="1899"/>
      <c r="AJ43" s="827"/>
      <c r="AK43" s="595"/>
    </row>
    <row r="44" spans="1:40" ht="15.9" customHeight="1">
      <c r="A44" s="595"/>
      <c r="B44" s="819"/>
      <c r="C44" s="595"/>
      <c r="D44" s="595"/>
      <c r="E44" s="1899"/>
      <c r="F44" s="1899"/>
      <c r="G44" s="1899"/>
      <c r="H44" s="1899"/>
      <c r="I44" s="1899"/>
      <c r="J44" s="1899"/>
      <c r="K44" s="1899"/>
      <c r="L44" s="1899"/>
      <c r="M44" s="1899"/>
      <c r="N44" s="1899"/>
      <c r="O44" s="1899"/>
      <c r="P44" s="1899"/>
      <c r="Q44" s="1899"/>
      <c r="R44" s="1899"/>
      <c r="S44" s="1899"/>
      <c r="T44" s="1899"/>
      <c r="U44" s="1899"/>
      <c r="V44" s="1899"/>
      <c r="W44" s="1899"/>
      <c r="X44" s="1899"/>
      <c r="Y44" s="1899"/>
      <c r="Z44" s="1899"/>
      <c r="AA44" s="1899"/>
      <c r="AB44" s="1899"/>
      <c r="AC44" s="1899"/>
      <c r="AD44" s="1899"/>
      <c r="AE44" s="1899"/>
      <c r="AF44" s="1899"/>
      <c r="AG44" s="1899"/>
      <c r="AH44" s="1899"/>
      <c r="AI44" s="1899"/>
      <c r="AJ44" s="816"/>
      <c r="AK44" s="595"/>
    </row>
    <row r="45" spans="1:40" ht="15.9" customHeight="1">
      <c r="A45" s="595"/>
      <c r="B45" s="819"/>
      <c r="C45" s="595"/>
      <c r="D45" s="595"/>
      <c r="E45" s="1899"/>
      <c r="F45" s="1899"/>
      <c r="G45" s="1899"/>
      <c r="H45" s="1899"/>
      <c r="I45" s="1899"/>
      <c r="J45" s="1899"/>
      <c r="K45" s="1899"/>
      <c r="L45" s="1899"/>
      <c r="M45" s="1899"/>
      <c r="N45" s="1899"/>
      <c r="O45" s="1899"/>
      <c r="P45" s="1899"/>
      <c r="Q45" s="1899"/>
      <c r="R45" s="1899"/>
      <c r="S45" s="1899"/>
      <c r="T45" s="1899"/>
      <c r="U45" s="1899"/>
      <c r="V45" s="1899"/>
      <c r="W45" s="1899"/>
      <c r="X45" s="1899"/>
      <c r="Y45" s="1899"/>
      <c r="Z45" s="1899"/>
      <c r="AA45" s="1899"/>
      <c r="AB45" s="1899"/>
      <c r="AC45" s="1899"/>
      <c r="AD45" s="1899"/>
      <c r="AE45" s="1899"/>
      <c r="AF45" s="1899"/>
      <c r="AG45" s="1899"/>
      <c r="AH45" s="1899"/>
      <c r="AI45" s="1899"/>
      <c r="AJ45" s="816"/>
      <c r="AK45" s="595"/>
      <c r="AM45" s="874"/>
      <c r="AN45" s="874"/>
    </row>
    <row r="46" spans="1:40" ht="15.9" customHeight="1">
      <c r="A46" s="595"/>
      <c r="B46" s="819"/>
      <c r="C46" s="595"/>
      <c r="D46" s="595"/>
      <c r="E46" s="1899"/>
      <c r="F46" s="1899"/>
      <c r="G46" s="1899"/>
      <c r="H46" s="1899"/>
      <c r="I46" s="1899"/>
      <c r="J46" s="1899"/>
      <c r="K46" s="1899"/>
      <c r="L46" s="1899"/>
      <c r="M46" s="1899"/>
      <c r="N46" s="1899"/>
      <c r="O46" s="1899"/>
      <c r="P46" s="1899"/>
      <c r="Q46" s="1899"/>
      <c r="R46" s="1899"/>
      <c r="S46" s="1899"/>
      <c r="T46" s="1899"/>
      <c r="U46" s="1899"/>
      <c r="V46" s="1899"/>
      <c r="W46" s="1899"/>
      <c r="X46" s="1899"/>
      <c r="Y46" s="1899"/>
      <c r="Z46" s="1899"/>
      <c r="AA46" s="1899"/>
      <c r="AB46" s="1899"/>
      <c r="AC46" s="1899"/>
      <c r="AD46" s="1899"/>
      <c r="AE46" s="1899"/>
      <c r="AF46" s="1899"/>
      <c r="AG46" s="1899"/>
      <c r="AH46" s="1899"/>
      <c r="AI46" s="1899"/>
      <c r="AJ46" s="816"/>
      <c r="AK46" s="595"/>
      <c r="AM46" s="874"/>
      <c r="AN46" s="874"/>
    </row>
    <row r="47" spans="1:40" ht="15.9" customHeight="1">
      <c r="A47" s="595"/>
      <c r="B47" s="819"/>
      <c r="C47" s="595"/>
      <c r="D47" s="595"/>
      <c r="E47" s="1899"/>
      <c r="F47" s="1899"/>
      <c r="G47" s="1899"/>
      <c r="H47" s="1899"/>
      <c r="I47" s="1899"/>
      <c r="J47" s="1899"/>
      <c r="K47" s="1899"/>
      <c r="L47" s="1899"/>
      <c r="M47" s="1899"/>
      <c r="N47" s="1899"/>
      <c r="O47" s="1899"/>
      <c r="P47" s="1899"/>
      <c r="Q47" s="1899"/>
      <c r="R47" s="1899"/>
      <c r="S47" s="1899"/>
      <c r="T47" s="1899"/>
      <c r="U47" s="1899"/>
      <c r="V47" s="1899"/>
      <c r="W47" s="1899"/>
      <c r="X47" s="1899"/>
      <c r="Y47" s="1899"/>
      <c r="Z47" s="1899"/>
      <c r="AA47" s="1899"/>
      <c r="AB47" s="1899"/>
      <c r="AC47" s="1899"/>
      <c r="AD47" s="1899"/>
      <c r="AE47" s="1899"/>
      <c r="AF47" s="1899"/>
      <c r="AG47" s="1899"/>
      <c r="AH47" s="1899"/>
      <c r="AI47" s="1899"/>
      <c r="AJ47" s="816"/>
      <c r="AK47" s="595"/>
    </row>
    <row r="48" spans="1:40" ht="15.9" customHeight="1">
      <c r="A48" s="595"/>
      <c r="B48" s="819"/>
      <c r="C48" s="595"/>
      <c r="D48" s="595"/>
      <c r="E48" s="1899"/>
      <c r="F48" s="1899"/>
      <c r="G48" s="1899"/>
      <c r="H48" s="1899"/>
      <c r="I48" s="1899"/>
      <c r="J48" s="1899"/>
      <c r="K48" s="1899"/>
      <c r="L48" s="1899"/>
      <c r="M48" s="1899"/>
      <c r="N48" s="1899"/>
      <c r="O48" s="1899"/>
      <c r="P48" s="1899"/>
      <c r="Q48" s="1899"/>
      <c r="R48" s="1899"/>
      <c r="S48" s="1899"/>
      <c r="T48" s="1899"/>
      <c r="U48" s="1899"/>
      <c r="V48" s="1899"/>
      <c r="W48" s="1899"/>
      <c r="X48" s="1899"/>
      <c r="Y48" s="1899"/>
      <c r="Z48" s="1899"/>
      <c r="AA48" s="1899"/>
      <c r="AB48" s="1899"/>
      <c r="AC48" s="1899"/>
      <c r="AD48" s="1899"/>
      <c r="AE48" s="1899"/>
      <c r="AF48" s="1899"/>
      <c r="AG48" s="1899"/>
      <c r="AH48" s="1899"/>
      <c r="AI48" s="1899"/>
      <c r="AJ48" s="816"/>
      <c r="AK48" s="595"/>
    </row>
    <row r="49" spans="1:37" ht="15.9" customHeight="1">
      <c r="A49" s="595"/>
      <c r="B49" s="819"/>
      <c r="C49" s="595"/>
      <c r="D49" s="595"/>
      <c r="E49" s="1899"/>
      <c r="F49" s="1899"/>
      <c r="G49" s="1899"/>
      <c r="H49" s="1899"/>
      <c r="I49" s="1899"/>
      <c r="J49" s="1899"/>
      <c r="K49" s="1899"/>
      <c r="L49" s="1899"/>
      <c r="M49" s="1899"/>
      <c r="N49" s="1899"/>
      <c r="O49" s="1899"/>
      <c r="P49" s="1899"/>
      <c r="Q49" s="1899"/>
      <c r="R49" s="1899"/>
      <c r="S49" s="1899"/>
      <c r="T49" s="1899"/>
      <c r="U49" s="1899"/>
      <c r="V49" s="1899"/>
      <c r="W49" s="1899"/>
      <c r="X49" s="1899"/>
      <c r="Y49" s="1899"/>
      <c r="Z49" s="1899"/>
      <c r="AA49" s="1899"/>
      <c r="AB49" s="1899"/>
      <c r="AC49" s="1899"/>
      <c r="AD49" s="1899"/>
      <c r="AE49" s="1899"/>
      <c r="AF49" s="1899"/>
      <c r="AG49" s="1899"/>
      <c r="AH49" s="1899"/>
      <c r="AI49" s="1899"/>
      <c r="AJ49" s="816"/>
      <c r="AK49" s="595"/>
    </row>
    <row r="50" spans="1:37" ht="15.9" customHeight="1">
      <c r="A50" s="595"/>
      <c r="B50" s="819"/>
      <c r="C50" s="595"/>
      <c r="D50" s="595"/>
      <c r="E50" s="1899"/>
      <c r="F50" s="1899"/>
      <c r="G50" s="1899"/>
      <c r="H50" s="1899"/>
      <c r="I50" s="1899"/>
      <c r="J50" s="1899"/>
      <c r="K50" s="1899"/>
      <c r="L50" s="1899"/>
      <c r="M50" s="1899"/>
      <c r="N50" s="1899"/>
      <c r="O50" s="1899"/>
      <c r="P50" s="1899"/>
      <c r="Q50" s="1899"/>
      <c r="R50" s="1899"/>
      <c r="S50" s="1899"/>
      <c r="T50" s="1899"/>
      <c r="U50" s="1899"/>
      <c r="V50" s="1899"/>
      <c r="W50" s="1899"/>
      <c r="X50" s="1899"/>
      <c r="Y50" s="1899"/>
      <c r="Z50" s="1899"/>
      <c r="AA50" s="1899"/>
      <c r="AB50" s="1899"/>
      <c r="AC50" s="1899"/>
      <c r="AD50" s="1899"/>
      <c r="AE50" s="1899"/>
      <c r="AF50" s="1899"/>
      <c r="AG50" s="1899"/>
      <c r="AH50" s="1899"/>
      <c r="AI50" s="1899"/>
      <c r="AJ50" s="827"/>
      <c r="AK50" s="595"/>
    </row>
    <row r="51" spans="1:37" ht="15.9" customHeight="1">
      <c r="A51" s="595"/>
      <c r="B51" s="819"/>
      <c r="C51" s="595"/>
      <c r="D51" s="595"/>
      <c r="E51" s="1899"/>
      <c r="F51" s="1899"/>
      <c r="G51" s="1899"/>
      <c r="H51" s="1899"/>
      <c r="I51" s="1899"/>
      <c r="J51" s="1899"/>
      <c r="K51" s="1899"/>
      <c r="L51" s="1899"/>
      <c r="M51" s="1899"/>
      <c r="N51" s="1899"/>
      <c r="O51" s="1899"/>
      <c r="P51" s="1899"/>
      <c r="Q51" s="1899"/>
      <c r="R51" s="1899"/>
      <c r="S51" s="1899"/>
      <c r="T51" s="1899"/>
      <c r="U51" s="1899"/>
      <c r="V51" s="1899"/>
      <c r="W51" s="1899"/>
      <c r="X51" s="1899"/>
      <c r="Y51" s="1899"/>
      <c r="Z51" s="1899"/>
      <c r="AA51" s="1899"/>
      <c r="AB51" s="1899"/>
      <c r="AC51" s="1899"/>
      <c r="AD51" s="1899"/>
      <c r="AE51" s="1899"/>
      <c r="AF51" s="1899"/>
      <c r="AG51" s="1899"/>
      <c r="AH51" s="1899"/>
      <c r="AI51" s="1899"/>
      <c r="AJ51" s="827"/>
      <c r="AK51" s="595"/>
    </row>
    <row r="52" spans="1:37" ht="15.9" customHeight="1">
      <c r="A52" s="595"/>
      <c r="B52" s="819"/>
      <c r="C52" s="595"/>
      <c r="D52" s="595"/>
      <c r="E52" s="1899"/>
      <c r="F52" s="1899"/>
      <c r="G52" s="1899"/>
      <c r="H52" s="1899"/>
      <c r="I52" s="1899"/>
      <c r="J52" s="1899"/>
      <c r="K52" s="1899"/>
      <c r="L52" s="1899"/>
      <c r="M52" s="1899"/>
      <c r="N52" s="1899"/>
      <c r="O52" s="1899"/>
      <c r="P52" s="1899"/>
      <c r="Q52" s="1899"/>
      <c r="R52" s="1899"/>
      <c r="S52" s="1899"/>
      <c r="T52" s="1899"/>
      <c r="U52" s="1899"/>
      <c r="V52" s="1899"/>
      <c r="W52" s="1899"/>
      <c r="X52" s="1899"/>
      <c r="Y52" s="1899"/>
      <c r="Z52" s="1899"/>
      <c r="AA52" s="1899"/>
      <c r="AB52" s="1899"/>
      <c r="AC52" s="1899"/>
      <c r="AD52" s="1899"/>
      <c r="AE52" s="1899"/>
      <c r="AF52" s="1899"/>
      <c r="AG52" s="1899"/>
      <c r="AH52" s="1899"/>
      <c r="AI52" s="1899"/>
      <c r="AJ52" s="816"/>
      <c r="AK52" s="595"/>
    </row>
    <row r="53" spans="1:37" ht="15.9" customHeight="1">
      <c r="A53" s="595"/>
      <c r="B53" s="819"/>
      <c r="C53" s="595"/>
      <c r="D53" s="595"/>
      <c r="E53" s="1899"/>
      <c r="F53" s="1899"/>
      <c r="G53" s="1899"/>
      <c r="H53" s="1899"/>
      <c r="I53" s="1899"/>
      <c r="J53" s="1899"/>
      <c r="K53" s="1899"/>
      <c r="L53" s="1899"/>
      <c r="M53" s="1899"/>
      <c r="N53" s="1899"/>
      <c r="O53" s="1899"/>
      <c r="P53" s="1899"/>
      <c r="Q53" s="1899"/>
      <c r="R53" s="1899"/>
      <c r="S53" s="1899"/>
      <c r="T53" s="1899"/>
      <c r="U53" s="1899"/>
      <c r="V53" s="1899"/>
      <c r="W53" s="1899"/>
      <c r="X53" s="1899"/>
      <c r="Y53" s="1899"/>
      <c r="Z53" s="1899"/>
      <c r="AA53" s="1899"/>
      <c r="AB53" s="1899"/>
      <c r="AC53" s="1899"/>
      <c r="AD53" s="1899"/>
      <c r="AE53" s="1899"/>
      <c r="AF53" s="1899"/>
      <c r="AG53" s="1899"/>
      <c r="AH53" s="1899"/>
      <c r="AI53" s="1899"/>
      <c r="AJ53" s="816"/>
      <c r="AK53" s="595"/>
    </row>
    <row r="54" spans="1:37" ht="15.9" customHeight="1">
      <c r="A54" s="595"/>
      <c r="B54" s="819"/>
      <c r="C54" s="595"/>
      <c r="D54" s="595"/>
      <c r="E54" s="1899"/>
      <c r="F54" s="1899"/>
      <c r="G54" s="1899"/>
      <c r="H54" s="1899"/>
      <c r="I54" s="1899"/>
      <c r="J54" s="1899"/>
      <c r="K54" s="1899"/>
      <c r="L54" s="1899"/>
      <c r="M54" s="1899"/>
      <c r="N54" s="1899"/>
      <c r="O54" s="1899"/>
      <c r="P54" s="1899"/>
      <c r="Q54" s="1899"/>
      <c r="R54" s="1899"/>
      <c r="S54" s="1899"/>
      <c r="T54" s="1899"/>
      <c r="U54" s="1899"/>
      <c r="V54" s="1899"/>
      <c r="W54" s="1899"/>
      <c r="X54" s="1899"/>
      <c r="Y54" s="1899"/>
      <c r="Z54" s="1899"/>
      <c r="AA54" s="1899"/>
      <c r="AB54" s="1899"/>
      <c r="AC54" s="1899"/>
      <c r="AD54" s="1899"/>
      <c r="AE54" s="1899"/>
      <c r="AF54" s="1899"/>
      <c r="AG54" s="1899"/>
      <c r="AH54" s="1899"/>
      <c r="AI54" s="1899"/>
      <c r="AJ54" s="816"/>
      <c r="AK54" s="595"/>
    </row>
    <row r="55" spans="1:37" ht="15.9" customHeight="1">
      <c r="A55" s="595"/>
      <c r="B55" s="819"/>
      <c r="C55" s="595"/>
      <c r="D55" s="595"/>
      <c r="E55" s="1899"/>
      <c r="F55" s="1899"/>
      <c r="G55" s="1899"/>
      <c r="H55" s="1899"/>
      <c r="I55" s="1899"/>
      <c r="J55" s="1899"/>
      <c r="K55" s="1899"/>
      <c r="L55" s="1899"/>
      <c r="M55" s="1899"/>
      <c r="N55" s="1899"/>
      <c r="O55" s="1899"/>
      <c r="P55" s="1899"/>
      <c r="Q55" s="1899"/>
      <c r="R55" s="1899"/>
      <c r="S55" s="1899"/>
      <c r="T55" s="1899"/>
      <c r="U55" s="1899"/>
      <c r="V55" s="1899"/>
      <c r="W55" s="1899"/>
      <c r="X55" s="1899"/>
      <c r="Y55" s="1899"/>
      <c r="Z55" s="1899"/>
      <c r="AA55" s="1899"/>
      <c r="AB55" s="1899"/>
      <c r="AC55" s="1899"/>
      <c r="AD55" s="1899"/>
      <c r="AE55" s="1899"/>
      <c r="AF55" s="1899"/>
      <c r="AG55" s="1899"/>
      <c r="AH55" s="1899"/>
      <c r="AI55" s="1899"/>
      <c r="AJ55" s="816"/>
      <c r="AK55" s="595"/>
    </row>
    <row r="56" spans="1:37" ht="15.9" customHeight="1">
      <c r="A56" s="595"/>
      <c r="B56" s="819"/>
      <c r="C56" s="595"/>
      <c r="D56" s="595"/>
      <c r="E56" s="1899"/>
      <c r="F56" s="1899"/>
      <c r="G56" s="1899"/>
      <c r="H56" s="1899"/>
      <c r="I56" s="1899"/>
      <c r="J56" s="1899"/>
      <c r="K56" s="1899"/>
      <c r="L56" s="1899"/>
      <c r="M56" s="1899"/>
      <c r="N56" s="1899"/>
      <c r="O56" s="1899"/>
      <c r="P56" s="1899"/>
      <c r="Q56" s="1899"/>
      <c r="R56" s="1899"/>
      <c r="S56" s="1899"/>
      <c r="T56" s="1899"/>
      <c r="U56" s="1899"/>
      <c r="V56" s="1899"/>
      <c r="W56" s="1899"/>
      <c r="X56" s="1899"/>
      <c r="Y56" s="1899"/>
      <c r="Z56" s="1899"/>
      <c r="AA56" s="1899"/>
      <c r="AB56" s="1899"/>
      <c r="AC56" s="1899"/>
      <c r="AD56" s="1899"/>
      <c r="AE56" s="1899"/>
      <c r="AF56" s="1899"/>
      <c r="AG56" s="1899"/>
      <c r="AH56" s="1899"/>
      <c r="AI56" s="1899"/>
      <c r="AJ56" s="827"/>
      <c r="AK56" s="595"/>
    </row>
    <row r="57" spans="1:37" ht="15.9" customHeight="1">
      <c r="A57" s="595"/>
      <c r="B57" s="819"/>
      <c r="C57" s="595"/>
      <c r="D57" s="595"/>
      <c r="E57" s="1899"/>
      <c r="F57" s="1899"/>
      <c r="G57" s="1899"/>
      <c r="H57" s="1899"/>
      <c r="I57" s="1899"/>
      <c r="J57" s="1899"/>
      <c r="K57" s="1899"/>
      <c r="L57" s="1899"/>
      <c r="M57" s="1899"/>
      <c r="N57" s="1899"/>
      <c r="O57" s="1899"/>
      <c r="P57" s="1899"/>
      <c r="Q57" s="1899"/>
      <c r="R57" s="1899"/>
      <c r="S57" s="1899"/>
      <c r="T57" s="1899"/>
      <c r="U57" s="1899"/>
      <c r="V57" s="1899"/>
      <c r="W57" s="1899"/>
      <c r="X57" s="1899"/>
      <c r="Y57" s="1899"/>
      <c r="Z57" s="1899"/>
      <c r="AA57" s="1899"/>
      <c r="AB57" s="1899"/>
      <c r="AC57" s="1899"/>
      <c r="AD57" s="1899"/>
      <c r="AE57" s="1899"/>
      <c r="AF57" s="1899"/>
      <c r="AG57" s="1899"/>
      <c r="AH57" s="1899"/>
      <c r="AI57" s="1899"/>
      <c r="AJ57" s="827"/>
      <c r="AK57" s="595"/>
    </row>
    <row r="58" spans="1:37" ht="15.9" customHeight="1">
      <c r="A58" s="595"/>
      <c r="B58" s="819"/>
      <c r="C58" s="595"/>
      <c r="D58" s="595"/>
      <c r="E58" s="1899"/>
      <c r="F58" s="1899"/>
      <c r="G58" s="1899"/>
      <c r="H58" s="1899"/>
      <c r="I58" s="1899"/>
      <c r="J58" s="1899"/>
      <c r="K58" s="1899"/>
      <c r="L58" s="1899"/>
      <c r="M58" s="1899"/>
      <c r="N58" s="1899"/>
      <c r="O58" s="1899"/>
      <c r="P58" s="1899"/>
      <c r="Q58" s="1899"/>
      <c r="R58" s="1899"/>
      <c r="S58" s="1899"/>
      <c r="T58" s="1899"/>
      <c r="U58" s="1899"/>
      <c r="V58" s="1899"/>
      <c r="W58" s="1899"/>
      <c r="X58" s="1899"/>
      <c r="Y58" s="1899"/>
      <c r="Z58" s="1899"/>
      <c r="AA58" s="1899"/>
      <c r="AB58" s="1899"/>
      <c r="AC58" s="1899"/>
      <c r="AD58" s="1899"/>
      <c r="AE58" s="1899"/>
      <c r="AF58" s="1899"/>
      <c r="AG58" s="1899"/>
      <c r="AH58" s="1899"/>
      <c r="AI58" s="1899"/>
      <c r="AJ58" s="816"/>
      <c r="AK58" s="595"/>
    </row>
    <row r="59" spans="1:37" ht="15.9" customHeight="1">
      <c r="A59" s="595"/>
      <c r="B59" s="819"/>
      <c r="C59" s="595"/>
      <c r="D59" s="595"/>
      <c r="E59" s="1899"/>
      <c r="F59" s="1899"/>
      <c r="G59" s="1899"/>
      <c r="H59" s="1899"/>
      <c r="I59" s="1899"/>
      <c r="J59" s="1899"/>
      <c r="K59" s="1899"/>
      <c r="L59" s="1899"/>
      <c r="M59" s="1899"/>
      <c r="N59" s="1899"/>
      <c r="O59" s="1899"/>
      <c r="P59" s="1899"/>
      <c r="Q59" s="1899"/>
      <c r="R59" s="1899"/>
      <c r="S59" s="1899"/>
      <c r="T59" s="1899"/>
      <c r="U59" s="1899"/>
      <c r="V59" s="1899"/>
      <c r="W59" s="1899"/>
      <c r="X59" s="1899"/>
      <c r="Y59" s="1899"/>
      <c r="Z59" s="1899"/>
      <c r="AA59" s="1899"/>
      <c r="AB59" s="1899"/>
      <c r="AC59" s="1899"/>
      <c r="AD59" s="1899"/>
      <c r="AE59" s="1899"/>
      <c r="AF59" s="1899"/>
      <c r="AG59" s="1899"/>
      <c r="AH59" s="1899"/>
      <c r="AI59" s="1899"/>
      <c r="AJ59" s="816"/>
      <c r="AK59" s="595"/>
    </row>
    <row r="60" spans="1:37" ht="15.9" customHeight="1">
      <c r="A60" s="595"/>
      <c r="B60" s="819"/>
      <c r="C60" s="595"/>
      <c r="D60" s="595"/>
      <c r="E60" s="1899"/>
      <c r="F60" s="1899"/>
      <c r="G60" s="1899"/>
      <c r="H60" s="1899"/>
      <c r="I60" s="1899"/>
      <c r="J60" s="1899"/>
      <c r="K60" s="1899"/>
      <c r="L60" s="1899"/>
      <c r="M60" s="1899"/>
      <c r="N60" s="1899"/>
      <c r="O60" s="1899"/>
      <c r="P60" s="1899"/>
      <c r="Q60" s="1899"/>
      <c r="R60" s="1899"/>
      <c r="S60" s="1899"/>
      <c r="T60" s="1899"/>
      <c r="U60" s="1899"/>
      <c r="V60" s="1899"/>
      <c r="W60" s="1899"/>
      <c r="X60" s="1899"/>
      <c r="Y60" s="1899"/>
      <c r="Z60" s="1899"/>
      <c r="AA60" s="1899"/>
      <c r="AB60" s="1899"/>
      <c r="AC60" s="1899"/>
      <c r="AD60" s="1899"/>
      <c r="AE60" s="1899"/>
      <c r="AF60" s="1899"/>
      <c r="AG60" s="1899"/>
      <c r="AH60" s="1899"/>
      <c r="AI60" s="1899"/>
      <c r="AJ60" s="816"/>
      <c r="AK60" s="595"/>
    </row>
    <row r="61" spans="1:37" ht="15.9" customHeight="1">
      <c r="A61" s="595"/>
      <c r="B61" s="819"/>
      <c r="C61" s="595"/>
      <c r="D61" s="595"/>
      <c r="E61" s="1899"/>
      <c r="F61" s="1899"/>
      <c r="G61" s="1899"/>
      <c r="H61" s="1899"/>
      <c r="I61" s="1899"/>
      <c r="J61" s="1899"/>
      <c r="K61" s="1899"/>
      <c r="L61" s="1899"/>
      <c r="M61" s="1899"/>
      <c r="N61" s="1899"/>
      <c r="O61" s="1899"/>
      <c r="P61" s="1899"/>
      <c r="Q61" s="1899"/>
      <c r="R61" s="1899"/>
      <c r="S61" s="1899"/>
      <c r="T61" s="1899"/>
      <c r="U61" s="1899"/>
      <c r="V61" s="1899"/>
      <c r="W61" s="1899"/>
      <c r="X61" s="1899"/>
      <c r="Y61" s="1899"/>
      <c r="Z61" s="1899"/>
      <c r="AA61" s="1899"/>
      <c r="AB61" s="1899"/>
      <c r="AC61" s="1899"/>
      <c r="AD61" s="1899"/>
      <c r="AE61" s="1899"/>
      <c r="AF61" s="1899"/>
      <c r="AG61" s="1899"/>
      <c r="AH61" s="1899"/>
      <c r="AI61" s="1899"/>
      <c r="AJ61" s="816"/>
      <c r="AK61" s="595"/>
    </row>
    <row r="62" spans="1:37">
      <c r="A62" s="595"/>
      <c r="B62" s="819"/>
      <c r="C62" s="595"/>
      <c r="D62" s="595"/>
      <c r="E62" s="879"/>
      <c r="F62" s="879"/>
      <c r="G62" s="879"/>
      <c r="H62" s="879"/>
      <c r="I62" s="879"/>
      <c r="J62" s="879"/>
      <c r="K62" s="879"/>
      <c r="L62" s="879"/>
      <c r="M62" s="879"/>
      <c r="N62" s="879"/>
      <c r="O62" s="879"/>
      <c r="P62" s="879"/>
      <c r="Q62" s="880"/>
      <c r="R62" s="880"/>
      <c r="S62" s="880"/>
      <c r="T62" s="879"/>
      <c r="U62" s="879"/>
      <c r="V62" s="879"/>
      <c r="W62" s="879"/>
      <c r="X62" s="879"/>
      <c r="Y62" s="879"/>
      <c r="Z62" s="879"/>
      <c r="AA62" s="879"/>
      <c r="AB62" s="879"/>
      <c r="AC62" s="879"/>
      <c r="AD62" s="879"/>
      <c r="AE62" s="879"/>
      <c r="AF62" s="879"/>
      <c r="AG62" s="879"/>
      <c r="AH62" s="879"/>
      <c r="AI62" s="879"/>
      <c r="AJ62" s="816"/>
      <c r="AK62" s="595"/>
    </row>
    <row r="63" spans="1:37" ht="15" customHeight="1" thickBot="1">
      <c r="A63" s="595"/>
      <c r="B63" s="815"/>
      <c r="C63" s="881"/>
      <c r="D63" s="881"/>
      <c r="E63" s="881"/>
      <c r="F63" s="881"/>
      <c r="G63" s="881"/>
      <c r="H63" s="881"/>
      <c r="I63" s="881"/>
      <c r="J63" s="881"/>
      <c r="K63" s="881"/>
      <c r="L63" s="881"/>
      <c r="M63" s="881"/>
      <c r="N63" s="881"/>
      <c r="O63" s="881"/>
      <c r="P63" s="881"/>
      <c r="Q63" s="882"/>
      <c r="R63" s="882"/>
      <c r="S63" s="882"/>
      <c r="T63" s="881"/>
      <c r="U63" s="881"/>
      <c r="V63" s="881"/>
      <c r="W63" s="881"/>
      <c r="X63" s="881"/>
      <c r="Y63" s="881"/>
      <c r="Z63" s="881"/>
      <c r="AA63" s="881"/>
      <c r="AB63" s="881"/>
      <c r="AC63" s="881"/>
      <c r="AD63" s="881"/>
      <c r="AE63" s="881"/>
      <c r="AF63" s="881"/>
      <c r="AG63" s="881"/>
      <c r="AH63" s="881"/>
      <c r="AI63" s="881"/>
      <c r="AJ63" s="883"/>
      <c r="AK63" s="595"/>
    </row>
    <row r="64" spans="1:37" ht="6.75" customHeight="1" thickTop="1">
      <c r="A64" s="595"/>
      <c r="B64" s="595"/>
      <c r="C64" s="595"/>
      <c r="D64" s="595"/>
      <c r="E64" s="595"/>
      <c r="F64" s="595"/>
      <c r="G64" s="595"/>
      <c r="H64" s="595"/>
      <c r="I64" s="595"/>
      <c r="J64" s="595"/>
      <c r="K64" s="595"/>
      <c r="L64" s="595"/>
      <c r="M64" s="595"/>
      <c r="N64" s="595"/>
      <c r="O64" s="595"/>
      <c r="P64" s="595"/>
      <c r="Q64" s="812"/>
      <c r="R64" s="812"/>
      <c r="S64" s="812"/>
      <c r="T64" s="595"/>
      <c r="U64" s="595"/>
      <c r="V64" s="595"/>
      <c r="W64" s="595"/>
      <c r="X64" s="595"/>
      <c r="Y64" s="595"/>
      <c r="Z64" s="595"/>
      <c r="AA64" s="595"/>
      <c r="AB64" s="595"/>
      <c r="AC64" s="595"/>
      <c r="AD64" s="595"/>
      <c r="AE64" s="595"/>
      <c r="AF64" s="595"/>
      <c r="AG64" s="595"/>
      <c r="AH64" s="595"/>
      <c r="AI64" s="595"/>
      <c r="AJ64" s="595"/>
      <c r="AK64" s="595"/>
    </row>
  </sheetData>
  <sheetProtection algorithmName="SHA-512" hashValue="/VKaTvIFsSM757vQXoz/7Em+zN8of50++a4Z8LYKyUpDffVF2uESFckfvVr4nkrSxIIjpxZ+4AtJ82XvCaHR+Q==" saltValue="SBU66wtyPPyqqVfUFSUDGw==" spinCount="100000" sheet="1" objects="1" scenarios="1" selectLockedCells="1"/>
  <mergeCells count="83">
    <mergeCell ref="E61:AI61"/>
    <mergeCell ref="E50:AI50"/>
    <mergeCell ref="E51:AI51"/>
    <mergeCell ref="E52:AI52"/>
    <mergeCell ref="E53:AI53"/>
    <mergeCell ref="E54:AI54"/>
    <mergeCell ref="E55:AI55"/>
    <mergeCell ref="E56:AI56"/>
    <mergeCell ref="E57:AI57"/>
    <mergeCell ref="E58:AI58"/>
    <mergeCell ref="E59:AI59"/>
    <mergeCell ref="E60:AI60"/>
    <mergeCell ref="E49:AI49"/>
    <mergeCell ref="E38:AI38"/>
    <mergeCell ref="E39:AI39"/>
    <mergeCell ref="E40:AI40"/>
    <mergeCell ref="E41:AI41"/>
    <mergeCell ref="E42:AI42"/>
    <mergeCell ref="E43:AI43"/>
    <mergeCell ref="E44:AI44"/>
    <mergeCell ref="E45:AI45"/>
    <mergeCell ref="E46:AI46"/>
    <mergeCell ref="E47:AI47"/>
    <mergeCell ref="E48:AI48"/>
    <mergeCell ref="E37:AI37"/>
    <mergeCell ref="E26:AI26"/>
    <mergeCell ref="E27:AI27"/>
    <mergeCell ref="E28:AI28"/>
    <mergeCell ref="E29:AI29"/>
    <mergeCell ref="E30:AI30"/>
    <mergeCell ref="E31:AI31"/>
    <mergeCell ref="E32:AI32"/>
    <mergeCell ref="E33:AI33"/>
    <mergeCell ref="E34:AI34"/>
    <mergeCell ref="E35:AI35"/>
    <mergeCell ref="E36:AI36"/>
    <mergeCell ref="E25:AI25"/>
    <mergeCell ref="B14:AJ14"/>
    <mergeCell ref="E15:AI15"/>
    <mergeCell ref="E16:AI16"/>
    <mergeCell ref="E17:AI17"/>
    <mergeCell ref="E18:AI18"/>
    <mergeCell ref="E19:AI19"/>
    <mergeCell ref="E20:AI20"/>
    <mergeCell ref="E21:AI21"/>
    <mergeCell ref="E22:AI22"/>
    <mergeCell ref="E23:AI23"/>
    <mergeCell ref="E24:AI24"/>
    <mergeCell ref="G12:P12"/>
    <mergeCell ref="AF12:AI12"/>
    <mergeCell ref="C10:F10"/>
    <mergeCell ref="G10:M10"/>
    <mergeCell ref="O10:P10"/>
    <mergeCell ref="R10:S10"/>
    <mergeCell ref="U10:AA10"/>
    <mergeCell ref="AD10:AI10"/>
    <mergeCell ref="C11:F11"/>
    <mergeCell ref="G11:P11"/>
    <mergeCell ref="R11:S11"/>
    <mergeCell ref="U11:AA11"/>
    <mergeCell ref="AD11:AI11"/>
    <mergeCell ref="C8:F8"/>
    <mergeCell ref="G8:S8"/>
    <mergeCell ref="U8:AA8"/>
    <mergeCell ref="AD8:AI8"/>
    <mergeCell ref="C9:F9"/>
    <mergeCell ref="G9:S9"/>
    <mergeCell ref="U9:AA9"/>
    <mergeCell ref="AD9:AI9"/>
    <mergeCell ref="U6:AA6"/>
    <mergeCell ref="AD6:AE6"/>
    <mergeCell ref="C7:F7"/>
    <mergeCell ref="G7:S7"/>
    <mergeCell ref="U7:AA7"/>
    <mergeCell ref="AD7:AI7"/>
    <mergeCell ref="AH6:AI6"/>
    <mergeCell ref="AF6:AG6"/>
    <mergeCell ref="E4:AF4"/>
    <mergeCell ref="AH1:AJ1"/>
    <mergeCell ref="D2:AF2"/>
    <mergeCell ref="AH2:AJ2"/>
    <mergeCell ref="D3:AF3"/>
    <mergeCell ref="AI3:AJ3"/>
  </mergeCells>
  <printOptions horizontalCentered="1"/>
  <pageMargins left="0.25" right="0.25" top="0.5" bottom="0.5" header="0" footer="0"/>
  <pageSetup scale="73" orientation="portrait" r:id="rId1"/>
  <extLst>
    <ext xmlns:x14="http://schemas.microsoft.com/office/spreadsheetml/2009/9/main" uri="{CCE6A557-97BC-4b89-ADB6-D9C93CAAB3DF}">
      <x14:dataValidations xmlns:xm="http://schemas.microsoft.com/office/excel/2006/main" count="5">
        <x14:dataValidation type="list" allowBlank="1" showInputMessage="1" xr:uid="{00000000-0002-0000-1300-000000000000}">
          <x14:formula1>
            <xm:f>List!$F$35:$F$43</xm:f>
          </x14:formula1>
          <xm:sqref>AD6:AE6</xm:sqref>
        </x14:dataValidation>
        <x14:dataValidation type="list" allowBlank="1" showInputMessage="1" showErrorMessage="1" xr:uid="{00000000-0002-0000-1300-000001000000}">
          <x14:formula1>
            <xm:f>List!$B$17</xm:f>
          </x14:formula1>
          <xm:sqref>G11:P11</xm:sqref>
        </x14:dataValidation>
        <x14:dataValidation type="list" allowBlank="1" showInputMessage="1" showErrorMessage="1" xr:uid="{00000000-0002-0000-1300-000002000000}">
          <x14:formula1>
            <xm:f>List!$I$2:$I$4</xm:f>
          </x14:formula1>
          <xm:sqref>O10:P10</xm:sqref>
        </x14:dataValidation>
        <x14:dataValidation type="list" allowBlank="1" showInputMessage="1" showErrorMessage="1" xr:uid="{00000000-0002-0000-1300-000003000000}">
          <x14:formula1>
            <xm:f>List!$H$2:$H$4</xm:f>
          </x14:formula1>
          <xm:sqref>G10:M10</xm:sqref>
        </x14:dataValidation>
        <x14:dataValidation type="list" showInputMessage="1" xr:uid="{00000000-0002-0000-1300-000004000000}">
          <x14:formula1>
            <xm:f>List!$F$37:$F$43</xm:f>
          </x14:formula1>
          <xm:sqref>AH6:AI6</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0">
    <tabColor rgb="FFFFFF00"/>
    <pageSetUpPr fitToPage="1"/>
  </sheetPr>
  <dimension ref="A1:AN60"/>
  <sheetViews>
    <sheetView zoomScale="96" zoomScaleNormal="96" workbookViewId="0">
      <selection activeCell="E24" sqref="E24:AI24"/>
    </sheetView>
  </sheetViews>
  <sheetFormatPr defaultRowHeight="14.4"/>
  <cols>
    <col min="1" max="1" width="0.6640625" customWidth="1"/>
    <col min="2" max="2" width="3.88671875" customWidth="1"/>
    <col min="3" max="3" width="4" customWidth="1"/>
    <col min="4" max="4" width="2.44140625" customWidth="1"/>
    <col min="5" max="5" width="1.6640625" customWidth="1"/>
    <col min="6" max="6" width="11" customWidth="1"/>
    <col min="7" max="7" width="2.5546875" customWidth="1"/>
    <col min="8" max="8" width="3" customWidth="1"/>
    <col min="9" max="10" width="3.109375" customWidth="1"/>
    <col min="11" max="11" width="2.44140625" customWidth="1"/>
    <col min="12" max="12" width="2.88671875" customWidth="1"/>
    <col min="13" max="13" width="0.6640625" customWidth="1"/>
    <col min="14" max="14" width="5.33203125" customWidth="1"/>
    <col min="15" max="15" width="10.5546875" customWidth="1"/>
    <col min="16" max="16" width="5.109375" customWidth="1"/>
    <col min="17" max="17" width="7.44140625" style="112" customWidth="1"/>
    <col min="18" max="18" width="6.6640625" style="112" customWidth="1"/>
    <col min="19" max="19" width="4.33203125" style="112" customWidth="1"/>
    <col min="20" max="20" width="2" customWidth="1"/>
    <col min="21" max="22" width="2.6640625" customWidth="1"/>
    <col min="23" max="24" width="2.109375" customWidth="1"/>
    <col min="25" max="25" width="4.6640625" customWidth="1"/>
    <col min="26" max="26" width="1.6640625" customWidth="1"/>
    <col min="27" max="27" width="6.6640625" customWidth="1"/>
    <col min="28" max="29" width="1.88671875" customWidth="1"/>
    <col min="30" max="30" width="3" customWidth="1"/>
    <col min="31" max="31" width="4" customWidth="1"/>
    <col min="32" max="32" width="4.33203125" customWidth="1"/>
    <col min="33" max="33" width="1.109375" customWidth="1"/>
    <col min="34" max="35" width="4.33203125" customWidth="1"/>
    <col min="36" max="36" width="5" customWidth="1"/>
    <col min="37" max="37" width="1.33203125" customWidth="1"/>
    <col min="257" max="257" width="0.6640625" customWidth="1"/>
    <col min="258" max="258" width="3.88671875" customWidth="1"/>
    <col min="259" max="259" width="4" customWidth="1"/>
    <col min="260" max="260" width="2.44140625" customWidth="1"/>
    <col min="261" max="261" width="1.6640625" customWidth="1"/>
    <col min="262" max="262" width="11" customWidth="1"/>
    <col min="263" max="263" width="2.5546875" customWidth="1"/>
    <col min="264" max="264" width="3" customWidth="1"/>
    <col min="265" max="266" width="3.109375" customWidth="1"/>
    <col min="267" max="267" width="2.44140625" customWidth="1"/>
    <col min="268" max="268" width="2.88671875" customWidth="1"/>
    <col min="269" max="269" width="0.6640625" customWidth="1"/>
    <col min="270" max="270" width="5.33203125" customWidth="1"/>
    <col min="271" max="271" width="10.5546875" customWidth="1"/>
    <col min="272" max="272" width="5.109375" customWidth="1"/>
    <col min="273" max="273" width="7.44140625" customWidth="1"/>
    <col min="274" max="274" width="6.6640625" customWidth="1"/>
    <col min="275" max="275" width="4.33203125" customWidth="1"/>
    <col min="276" max="276" width="2" customWidth="1"/>
    <col min="277" max="278" width="2.6640625" customWidth="1"/>
    <col min="279" max="280" width="2.109375" customWidth="1"/>
    <col min="281" max="281" width="4.6640625" customWidth="1"/>
    <col min="282" max="282" width="1.6640625" customWidth="1"/>
    <col min="283" max="283" width="6.6640625" customWidth="1"/>
    <col min="284" max="285" width="1.88671875" customWidth="1"/>
    <col min="286" max="286" width="3" customWidth="1"/>
    <col min="287" max="287" width="4" customWidth="1"/>
    <col min="288" max="288" width="4.33203125" customWidth="1"/>
    <col min="289" max="289" width="1.109375" customWidth="1"/>
    <col min="290" max="291" width="4.33203125" customWidth="1"/>
    <col min="292" max="292" width="5" customWidth="1"/>
    <col min="293" max="293" width="1.33203125" customWidth="1"/>
    <col min="513" max="513" width="0.6640625" customWidth="1"/>
    <col min="514" max="514" width="3.88671875" customWidth="1"/>
    <col min="515" max="515" width="4" customWidth="1"/>
    <col min="516" max="516" width="2.44140625" customWidth="1"/>
    <col min="517" max="517" width="1.6640625" customWidth="1"/>
    <col min="518" max="518" width="11" customWidth="1"/>
    <col min="519" max="519" width="2.5546875" customWidth="1"/>
    <col min="520" max="520" width="3" customWidth="1"/>
    <col min="521" max="522" width="3.109375" customWidth="1"/>
    <col min="523" max="523" width="2.44140625" customWidth="1"/>
    <col min="524" max="524" width="2.88671875" customWidth="1"/>
    <col min="525" max="525" width="0.6640625" customWidth="1"/>
    <col min="526" max="526" width="5.33203125" customWidth="1"/>
    <col min="527" max="527" width="10.5546875" customWidth="1"/>
    <col min="528" max="528" width="5.109375" customWidth="1"/>
    <col min="529" max="529" width="7.44140625" customWidth="1"/>
    <col min="530" max="530" width="6.6640625" customWidth="1"/>
    <col min="531" max="531" width="4.33203125" customWidth="1"/>
    <col min="532" max="532" width="2" customWidth="1"/>
    <col min="533" max="534" width="2.6640625" customWidth="1"/>
    <col min="535" max="536" width="2.109375" customWidth="1"/>
    <col min="537" max="537" width="4.6640625" customWidth="1"/>
    <col min="538" max="538" width="1.6640625" customWidth="1"/>
    <col min="539" max="539" width="6.6640625" customWidth="1"/>
    <col min="540" max="541" width="1.88671875" customWidth="1"/>
    <col min="542" max="542" width="3" customWidth="1"/>
    <col min="543" max="543" width="4" customWidth="1"/>
    <col min="544" max="544" width="4.33203125" customWidth="1"/>
    <col min="545" max="545" width="1.109375" customWidth="1"/>
    <col min="546" max="547" width="4.33203125" customWidth="1"/>
    <col min="548" max="548" width="5" customWidth="1"/>
    <col min="549" max="549" width="1.33203125" customWidth="1"/>
    <col min="769" max="769" width="0.6640625" customWidth="1"/>
    <col min="770" max="770" width="3.88671875" customWidth="1"/>
    <col min="771" max="771" width="4" customWidth="1"/>
    <col min="772" max="772" width="2.44140625" customWidth="1"/>
    <col min="773" max="773" width="1.6640625" customWidth="1"/>
    <col min="774" max="774" width="11" customWidth="1"/>
    <col min="775" max="775" width="2.5546875" customWidth="1"/>
    <col min="776" max="776" width="3" customWidth="1"/>
    <col min="777" max="778" width="3.109375" customWidth="1"/>
    <col min="779" max="779" width="2.44140625" customWidth="1"/>
    <col min="780" max="780" width="2.88671875" customWidth="1"/>
    <col min="781" max="781" width="0.6640625" customWidth="1"/>
    <col min="782" max="782" width="5.33203125" customWidth="1"/>
    <col min="783" max="783" width="10.5546875" customWidth="1"/>
    <col min="784" max="784" width="5.109375" customWidth="1"/>
    <col min="785" max="785" width="7.44140625" customWidth="1"/>
    <col min="786" max="786" width="6.6640625" customWidth="1"/>
    <col min="787" max="787" width="4.33203125" customWidth="1"/>
    <col min="788" max="788" width="2" customWidth="1"/>
    <col min="789" max="790" width="2.6640625" customWidth="1"/>
    <col min="791" max="792" width="2.109375" customWidth="1"/>
    <col min="793" max="793" width="4.6640625" customWidth="1"/>
    <col min="794" max="794" width="1.6640625" customWidth="1"/>
    <col min="795" max="795" width="6.6640625" customWidth="1"/>
    <col min="796" max="797" width="1.88671875" customWidth="1"/>
    <col min="798" max="798" width="3" customWidth="1"/>
    <col min="799" max="799" width="4" customWidth="1"/>
    <col min="800" max="800" width="4.33203125" customWidth="1"/>
    <col min="801" max="801" width="1.109375" customWidth="1"/>
    <col min="802" max="803" width="4.33203125" customWidth="1"/>
    <col min="804" max="804" width="5" customWidth="1"/>
    <col min="805" max="805" width="1.33203125" customWidth="1"/>
    <col min="1025" max="1025" width="0.6640625" customWidth="1"/>
    <col min="1026" max="1026" width="3.88671875" customWidth="1"/>
    <col min="1027" max="1027" width="4" customWidth="1"/>
    <col min="1028" max="1028" width="2.44140625" customWidth="1"/>
    <col min="1029" max="1029" width="1.6640625" customWidth="1"/>
    <col min="1030" max="1030" width="11" customWidth="1"/>
    <col min="1031" max="1031" width="2.5546875" customWidth="1"/>
    <col min="1032" max="1032" width="3" customWidth="1"/>
    <col min="1033" max="1034" width="3.109375" customWidth="1"/>
    <col min="1035" max="1035" width="2.44140625" customWidth="1"/>
    <col min="1036" max="1036" width="2.88671875" customWidth="1"/>
    <col min="1037" max="1037" width="0.6640625" customWidth="1"/>
    <col min="1038" max="1038" width="5.33203125" customWidth="1"/>
    <col min="1039" max="1039" width="10.5546875" customWidth="1"/>
    <col min="1040" max="1040" width="5.109375" customWidth="1"/>
    <col min="1041" max="1041" width="7.44140625" customWidth="1"/>
    <col min="1042" max="1042" width="6.6640625" customWidth="1"/>
    <col min="1043" max="1043" width="4.33203125" customWidth="1"/>
    <col min="1044" max="1044" width="2" customWidth="1"/>
    <col min="1045" max="1046" width="2.6640625" customWidth="1"/>
    <col min="1047" max="1048" width="2.109375" customWidth="1"/>
    <col min="1049" max="1049" width="4.6640625" customWidth="1"/>
    <col min="1050" max="1050" width="1.6640625" customWidth="1"/>
    <col min="1051" max="1051" width="6.6640625" customWidth="1"/>
    <col min="1052" max="1053" width="1.88671875" customWidth="1"/>
    <col min="1054" max="1054" width="3" customWidth="1"/>
    <col min="1055" max="1055" width="4" customWidth="1"/>
    <col min="1056" max="1056" width="4.33203125" customWidth="1"/>
    <col min="1057" max="1057" width="1.109375" customWidth="1"/>
    <col min="1058" max="1059" width="4.33203125" customWidth="1"/>
    <col min="1060" max="1060" width="5" customWidth="1"/>
    <col min="1061" max="1061" width="1.33203125" customWidth="1"/>
    <col min="1281" max="1281" width="0.6640625" customWidth="1"/>
    <col min="1282" max="1282" width="3.88671875" customWidth="1"/>
    <col min="1283" max="1283" width="4" customWidth="1"/>
    <col min="1284" max="1284" width="2.44140625" customWidth="1"/>
    <col min="1285" max="1285" width="1.6640625" customWidth="1"/>
    <col min="1286" max="1286" width="11" customWidth="1"/>
    <col min="1287" max="1287" width="2.5546875" customWidth="1"/>
    <col min="1288" max="1288" width="3" customWidth="1"/>
    <col min="1289" max="1290" width="3.109375" customWidth="1"/>
    <col min="1291" max="1291" width="2.44140625" customWidth="1"/>
    <col min="1292" max="1292" width="2.88671875" customWidth="1"/>
    <col min="1293" max="1293" width="0.6640625" customWidth="1"/>
    <col min="1294" max="1294" width="5.33203125" customWidth="1"/>
    <col min="1295" max="1295" width="10.5546875" customWidth="1"/>
    <col min="1296" max="1296" width="5.109375" customWidth="1"/>
    <col min="1297" max="1297" width="7.44140625" customWidth="1"/>
    <col min="1298" max="1298" width="6.6640625" customWidth="1"/>
    <col min="1299" max="1299" width="4.33203125" customWidth="1"/>
    <col min="1300" max="1300" width="2" customWidth="1"/>
    <col min="1301" max="1302" width="2.6640625" customWidth="1"/>
    <col min="1303" max="1304" width="2.109375" customWidth="1"/>
    <col min="1305" max="1305" width="4.6640625" customWidth="1"/>
    <col min="1306" max="1306" width="1.6640625" customWidth="1"/>
    <col min="1307" max="1307" width="6.6640625" customWidth="1"/>
    <col min="1308" max="1309" width="1.88671875" customWidth="1"/>
    <col min="1310" max="1310" width="3" customWidth="1"/>
    <col min="1311" max="1311" width="4" customWidth="1"/>
    <col min="1312" max="1312" width="4.33203125" customWidth="1"/>
    <col min="1313" max="1313" width="1.109375" customWidth="1"/>
    <col min="1314" max="1315" width="4.33203125" customWidth="1"/>
    <col min="1316" max="1316" width="5" customWidth="1"/>
    <col min="1317" max="1317" width="1.33203125" customWidth="1"/>
    <col min="1537" max="1537" width="0.6640625" customWidth="1"/>
    <col min="1538" max="1538" width="3.88671875" customWidth="1"/>
    <col min="1539" max="1539" width="4" customWidth="1"/>
    <col min="1540" max="1540" width="2.44140625" customWidth="1"/>
    <col min="1541" max="1541" width="1.6640625" customWidth="1"/>
    <col min="1542" max="1542" width="11" customWidth="1"/>
    <col min="1543" max="1543" width="2.5546875" customWidth="1"/>
    <col min="1544" max="1544" width="3" customWidth="1"/>
    <col min="1545" max="1546" width="3.109375" customWidth="1"/>
    <col min="1547" max="1547" width="2.44140625" customWidth="1"/>
    <col min="1548" max="1548" width="2.88671875" customWidth="1"/>
    <col min="1549" max="1549" width="0.6640625" customWidth="1"/>
    <col min="1550" max="1550" width="5.33203125" customWidth="1"/>
    <col min="1551" max="1551" width="10.5546875" customWidth="1"/>
    <col min="1552" max="1552" width="5.109375" customWidth="1"/>
    <col min="1553" max="1553" width="7.44140625" customWidth="1"/>
    <col min="1554" max="1554" width="6.6640625" customWidth="1"/>
    <col min="1555" max="1555" width="4.33203125" customWidth="1"/>
    <col min="1556" max="1556" width="2" customWidth="1"/>
    <col min="1557" max="1558" width="2.6640625" customWidth="1"/>
    <col min="1559" max="1560" width="2.109375" customWidth="1"/>
    <col min="1561" max="1561" width="4.6640625" customWidth="1"/>
    <col min="1562" max="1562" width="1.6640625" customWidth="1"/>
    <col min="1563" max="1563" width="6.6640625" customWidth="1"/>
    <col min="1564" max="1565" width="1.88671875" customWidth="1"/>
    <col min="1566" max="1566" width="3" customWidth="1"/>
    <col min="1567" max="1567" width="4" customWidth="1"/>
    <col min="1568" max="1568" width="4.33203125" customWidth="1"/>
    <col min="1569" max="1569" width="1.109375" customWidth="1"/>
    <col min="1570" max="1571" width="4.33203125" customWidth="1"/>
    <col min="1572" max="1572" width="5" customWidth="1"/>
    <col min="1573" max="1573" width="1.33203125" customWidth="1"/>
    <col min="1793" max="1793" width="0.6640625" customWidth="1"/>
    <col min="1794" max="1794" width="3.88671875" customWidth="1"/>
    <col min="1795" max="1795" width="4" customWidth="1"/>
    <col min="1796" max="1796" width="2.44140625" customWidth="1"/>
    <col min="1797" max="1797" width="1.6640625" customWidth="1"/>
    <col min="1798" max="1798" width="11" customWidth="1"/>
    <col min="1799" max="1799" width="2.5546875" customWidth="1"/>
    <col min="1800" max="1800" width="3" customWidth="1"/>
    <col min="1801" max="1802" width="3.109375" customWidth="1"/>
    <col min="1803" max="1803" width="2.44140625" customWidth="1"/>
    <col min="1804" max="1804" width="2.88671875" customWidth="1"/>
    <col min="1805" max="1805" width="0.6640625" customWidth="1"/>
    <col min="1806" max="1806" width="5.33203125" customWidth="1"/>
    <col min="1807" max="1807" width="10.5546875" customWidth="1"/>
    <col min="1808" max="1808" width="5.109375" customWidth="1"/>
    <col min="1809" max="1809" width="7.44140625" customWidth="1"/>
    <col min="1810" max="1810" width="6.6640625" customWidth="1"/>
    <col min="1811" max="1811" width="4.33203125" customWidth="1"/>
    <col min="1812" max="1812" width="2" customWidth="1"/>
    <col min="1813" max="1814" width="2.6640625" customWidth="1"/>
    <col min="1815" max="1816" width="2.109375" customWidth="1"/>
    <col min="1817" max="1817" width="4.6640625" customWidth="1"/>
    <col min="1818" max="1818" width="1.6640625" customWidth="1"/>
    <col min="1819" max="1819" width="6.6640625" customWidth="1"/>
    <col min="1820" max="1821" width="1.88671875" customWidth="1"/>
    <col min="1822" max="1822" width="3" customWidth="1"/>
    <col min="1823" max="1823" width="4" customWidth="1"/>
    <col min="1824" max="1824" width="4.33203125" customWidth="1"/>
    <col min="1825" max="1825" width="1.109375" customWidth="1"/>
    <col min="1826" max="1827" width="4.33203125" customWidth="1"/>
    <col min="1828" max="1828" width="5" customWidth="1"/>
    <col min="1829" max="1829" width="1.33203125" customWidth="1"/>
    <col min="2049" max="2049" width="0.6640625" customWidth="1"/>
    <col min="2050" max="2050" width="3.88671875" customWidth="1"/>
    <col min="2051" max="2051" width="4" customWidth="1"/>
    <col min="2052" max="2052" width="2.44140625" customWidth="1"/>
    <col min="2053" max="2053" width="1.6640625" customWidth="1"/>
    <col min="2054" max="2054" width="11" customWidth="1"/>
    <col min="2055" max="2055" width="2.5546875" customWidth="1"/>
    <col min="2056" max="2056" width="3" customWidth="1"/>
    <col min="2057" max="2058" width="3.109375" customWidth="1"/>
    <col min="2059" max="2059" width="2.44140625" customWidth="1"/>
    <col min="2060" max="2060" width="2.88671875" customWidth="1"/>
    <col min="2061" max="2061" width="0.6640625" customWidth="1"/>
    <col min="2062" max="2062" width="5.33203125" customWidth="1"/>
    <col min="2063" max="2063" width="10.5546875" customWidth="1"/>
    <col min="2064" max="2064" width="5.109375" customWidth="1"/>
    <col min="2065" max="2065" width="7.44140625" customWidth="1"/>
    <col min="2066" max="2066" width="6.6640625" customWidth="1"/>
    <col min="2067" max="2067" width="4.33203125" customWidth="1"/>
    <col min="2068" max="2068" width="2" customWidth="1"/>
    <col min="2069" max="2070" width="2.6640625" customWidth="1"/>
    <col min="2071" max="2072" width="2.109375" customWidth="1"/>
    <col min="2073" max="2073" width="4.6640625" customWidth="1"/>
    <col min="2074" max="2074" width="1.6640625" customWidth="1"/>
    <col min="2075" max="2075" width="6.6640625" customWidth="1"/>
    <col min="2076" max="2077" width="1.88671875" customWidth="1"/>
    <col min="2078" max="2078" width="3" customWidth="1"/>
    <col min="2079" max="2079" width="4" customWidth="1"/>
    <col min="2080" max="2080" width="4.33203125" customWidth="1"/>
    <col min="2081" max="2081" width="1.109375" customWidth="1"/>
    <col min="2082" max="2083" width="4.33203125" customWidth="1"/>
    <col min="2084" max="2084" width="5" customWidth="1"/>
    <col min="2085" max="2085" width="1.33203125" customWidth="1"/>
    <col min="2305" max="2305" width="0.6640625" customWidth="1"/>
    <col min="2306" max="2306" width="3.88671875" customWidth="1"/>
    <col min="2307" max="2307" width="4" customWidth="1"/>
    <col min="2308" max="2308" width="2.44140625" customWidth="1"/>
    <col min="2309" max="2309" width="1.6640625" customWidth="1"/>
    <col min="2310" max="2310" width="11" customWidth="1"/>
    <col min="2311" max="2311" width="2.5546875" customWidth="1"/>
    <col min="2312" max="2312" width="3" customWidth="1"/>
    <col min="2313" max="2314" width="3.109375" customWidth="1"/>
    <col min="2315" max="2315" width="2.44140625" customWidth="1"/>
    <col min="2316" max="2316" width="2.88671875" customWidth="1"/>
    <col min="2317" max="2317" width="0.6640625" customWidth="1"/>
    <col min="2318" max="2318" width="5.33203125" customWidth="1"/>
    <col min="2319" max="2319" width="10.5546875" customWidth="1"/>
    <col min="2320" max="2320" width="5.109375" customWidth="1"/>
    <col min="2321" max="2321" width="7.44140625" customWidth="1"/>
    <col min="2322" max="2322" width="6.6640625" customWidth="1"/>
    <col min="2323" max="2323" width="4.33203125" customWidth="1"/>
    <col min="2324" max="2324" width="2" customWidth="1"/>
    <col min="2325" max="2326" width="2.6640625" customWidth="1"/>
    <col min="2327" max="2328" width="2.109375" customWidth="1"/>
    <col min="2329" max="2329" width="4.6640625" customWidth="1"/>
    <col min="2330" max="2330" width="1.6640625" customWidth="1"/>
    <col min="2331" max="2331" width="6.6640625" customWidth="1"/>
    <col min="2332" max="2333" width="1.88671875" customWidth="1"/>
    <col min="2334" max="2334" width="3" customWidth="1"/>
    <col min="2335" max="2335" width="4" customWidth="1"/>
    <col min="2336" max="2336" width="4.33203125" customWidth="1"/>
    <col min="2337" max="2337" width="1.109375" customWidth="1"/>
    <col min="2338" max="2339" width="4.33203125" customWidth="1"/>
    <col min="2340" max="2340" width="5" customWidth="1"/>
    <col min="2341" max="2341" width="1.33203125" customWidth="1"/>
    <col min="2561" max="2561" width="0.6640625" customWidth="1"/>
    <col min="2562" max="2562" width="3.88671875" customWidth="1"/>
    <col min="2563" max="2563" width="4" customWidth="1"/>
    <col min="2564" max="2564" width="2.44140625" customWidth="1"/>
    <col min="2565" max="2565" width="1.6640625" customWidth="1"/>
    <col min="2566" max="2566" width="11" customWidth="1"/>
    <col min="2567" max="2567" width="2.5546875" customWidth="1"/>
    <col min="2568" max="2568" width="3" customWidth="1"/>
    <col min="2569" max="2570" width="3.109375" customWidth="1"/>
    <col min="2571" max="2571" width="2.44140625" customWidth="1"/>
    <col min="2572" max="2572" width="2.88671875" customWidth="1"/>
    <col min="2573" max="2573" width="0.6640625" customWidth="1"/>
    <col min="2574" max="2574" width="5.33203125" customWidth="1"/>
    <col min="2575" max="2575" width="10.5546875" customWidth="1"/>
    <col min="2576" max="2576" width="5.109375" customWidth="1"/>
    <col min="2577" max="2577" width="7.44140625" customWidth="1"/>
    <col min="2578" max="2578" width="6.6640625" customWidth="1"/>
    <col min="2579" max="2579" width="4.33203125" customWidth="1"/>
    <col min="2580" max="2580" width="2" customWidth="1"/>
    <col min="2581" max="2582" width="2.6640625" customWidth="1"/>
    <col min="2583" max="2584" width="2.109375" customWidth="1"/>
    <col min="2585" max="2585" width="4.6640625" customWidth="1"/>
    <col min="2586" max="2586" width="1.6640625" customWidth="1"/>
    <col min="2587" max="2587" width="6.6640625" customWidth="1"/>
    <col min="2588" max="2589" width="1.88671875" customWidth="1"/>
    <col min="2590" max="2590" width="3" customWidth="1"/>
    <col min="2591" max="2591" width="4" customWidth="1"/>
    <col min="2592" max="2592" width="4.33203125" customWidth="1"/>
    <col min="2593" max="2593" width="1.109375" customWidth="1"/>
    <col min="2594" max="2595" width="4.33203125" customWidth="1"/>
    <col min="2596" max="2596" width="5" customWidth="1"/>
    <col min="2597" max="2597" width="1.33203125" customWidth="1"/>
    <col min="2817" max="2817" width="0.6640625" customWidth="1"/>
    <col min="2818" max="2818" width="3.88671875" customWidth="1"/>
    <col min="2819" max="2819" width="4" customWidth="1"/>
    <col min="2820" max="2820" width="2.44140625" customWidth="1"/>
    <col min="2821" max="2821" width="1.6640625" customWidth="1"/>
    <col min="2822" max="2822" width="11" customWidth="1"/>
    <col min="2823" max="2823" width="2.5546875" customWidth="1"/>
    <col min="2824" max="2824" width="3" customWidth="1"/>
    <col min="2825" max="2826" width="3.109375" customWidth="1"/>
    <col min="2827" max="2827" width="2.44140625" customWidth="1"/>
    <col min="2828" max="2828" width="2.88671875" customWidth="1"/>
    <col min="2829" max="2829" width="0.6640625" customWidth="1"/>
    <col min="2830" max="2830" width="5.33203125" customWidth="1"/>
    <col min="2831" max="2831" width="10.5546875" customWidth="1"/>
    <col min="2832" max="2832" width="5.109375" customWidth="1"/>
    <col min="2833" max="2833" width="7.44140625" customWidth="1"/>
    <col min="2834" max="2834" width="6.6640625" customWidth="1"/>
    <col min="2835" max="2835" width="4.33203125" customWidth="1"/>
    <col min="2836" max="2836" width="2" customWidth="1"/>
    <col min="2837" max="2838" width="2.6640625" customWidth="1"/>
    <col min="2839" max="2840" width="2.109375" customWidth="1"/>
    <col min="2841" max="2841" width="4.6640625" customWidth="1"/>
    <col min="2842" max="2842" width="1.6640625" customWidth="1"/>
    <col min="2843" max="2843" width="6.6640625" customWidth="1"/>
    <col min="2844" max="2845" width="1.88671875" customWidth="1"/>
    <col min="2846" max="2846" width="3" customWidth="1"/>
    <col min="2847" max="2847" width="4" customWidth="1"/>
    <col min="2848" max="2848" width="4.33203125" customWidth="1"/>
    <col min="2849" max="2849" width="1.109375" customWidth="1"/>
    <col min="2850" max="2851" width="4.33203125" customWidth="1"/>
    <col min="2852" max="2852" width="5" customWidth="1"/>
    <col min="2853" max="2853" width="1.33203125" customWidth="1"/>
    <col min="3073" max="3073" width="0.6640625" customWidth="1"/>
    <col min="3074" max="3074" width="3.88671875" customWidth="1"/>
    <col min="3075" max="3075" width="4" customWidth="1"/>
    <col min="3076" max="3076" width="2.44140625" customWidth="1"/>
    <col min="3077" max="3077" width="1.6640625" customWidth="1"/>
    <col min="3078" max="3078" width="11" customWidth="1"/>
    <col min="3079" max="3079" width="2.5546875" customWidth="1"/>
    <col min="3080" max="3080" width="3" customWidth="1"/>
    <col min="3081" max="3082" width="3.109375" customWidth="1"/>
    <col min="3083" max="3083" width="2.44140625" customWidth="1"/>
    <col min="3084" max="3084" width="2.88671875" customWidth="1"/>
    <col min="3085" max="3085" width="0.6640625" customWidth="1"/>
    <col min="3086" max="3086" width="5.33203125" customWidth="1"/>
    <col min="3087" max="3087" width="10.5546875" customWidth="1"/>
    <col min="3088" max="3088" width="5.109375" customWidth="1"/>
    <col min="3089" max="3089" width="7.44140625" customWidth="1"/>
    <col min="3090" max="3090" width="6.6640625" customWidth="1"/>
    <col min="3091" max="3091" width="4.33203125" customWidth="1"/>
    <col min="3092" max="3092" width="2" customWidth="1"/>
    <col min="3093" max="3094" width="2.6640625" customWidth="1"/>
    <col min="3095" max="3096" width="2.109375" customWidth="1"/>
    <col min="3097" max="3097" width="4.6640625" customWidth="1"/>
    <col min="3098" max="3098" width="1.6640625" customWidth="1"/>
    <col min="3099" max="3099" width="6.6640625" customWidth="1"/>
    <col min="3100" max="3101" width="1.88671875" customWidth="1"/>
    <col min="3102" max="3102" width="3" customWidth="1"/>
    <col min="3103" max="3103" width="4" customWidth="1"/>
    <col min="3104" max="3104" width="4.33203125" customWidth="1"/>
    <col min="3105" max="3105" width="1.109375" customWidth="1"/>
    <col min="3106" max="3107" width="4.33203125" customWidth="1"/>
    <col min="3108" max="3108" width="5" customWidth="1"/>
    <col min="3109" max="3109" width="1.33203125" customWidth="1"/>
    <col min="3329" max="3329" width="0.6640625" customWidth="1"/>
    <col min="3330" max="3330" width="3.88671875" customWidth="1"/>
    <col min="3331" max="3331" width="4" customWidth="1"/>
    <col min="3332" max="3332" width="2.44140625" customWidth="1"/>
    <col min="3333" max="3333" width="1.6640625" customWidth="1"/>
    <col min="3334" max="3334" width="11" customWidth="1"/>
    <col min="3335" max="3335" width="2.5546875" customWidth="1"/>
    <col min="3336" max="3336" width="3" customWidth="1"/>
    <col min="3337" max="3338" width="3.109375" customWidth="1"/>
    <col min="3339" max="3339" width="2.44140625" customWidth="1"/>
    <col min="3340" max="3340" width="2.88671875" customWidth="1"/>
    <col min="3341" max="3341" width="0.6640625" customWidth="1"/>
    <col min="3342" max="3342" width="5.33203125" customWidth="1"/>
    <col min="3343" max="3343" width="10.5546875" customWidth="1"/>
    <col min="3344" max="3344" width="5.109375" customWidth="1"/>
    <col min="3345" max="3345" width="7.44140625" customWidth="1"/>
    <col min="3346" max="3346" width="6.6640625" customWidth="1"/>
    <col min="3347" max="3347" width="4.33203125" customWidth="1"/>
    <col min="3348" max="3348" width="2" customWidth="1"/>
    <col min="3349" max="3350" width="2.6640625" customWidth="1"/>
    <col min="3351" max="3352" width="2.109375" customWidth="1"/>
    <col min="3353" max="3353" width="4.6640625" customWidth="1"/>
    <col min="3354" max="3354" width="1.6640625" customWidth="1"/>
    <col min="3355" max="3355" width="6.6640625" customWidth="1"/>
    <col min="3356" max="3357" width="1.88671875" customWidth="1"/>
    <col min="3358" max="3358" width="3" customWidth="1"/>
    <col min="3359" max="3359" width="4" customWidth="1"/>
    <col min="3360" max="3360" width="4.33203125" customWidth="1"/>
    <col min="3361" max="3361" width="1.109375" customWidth="1"/>
    <col min="3362" max="3363" width="4.33203125" customWidth="1"/>
    <col min="3364" max="3364" width="5" customWidth="1"/>
    <col min="3365" max="3365" width="1.33203125" customWidth="1"/>
    <col min="3585" max="3585" width="0.6640625" customWidth="1"/>
    <col min="3586" max="3586" width="3.88671875" customWidth="1"/>
    <col min="3587" max="3587" width="4" customWidth="1"/>
    <col min="3588" max="3588" width="2.44140625" customWidth="1"/>
    <col min="3589" max="3589" width="1.6640625" customWidth="1"/>
    <col min="3590" max="3590" width="11" customWidth="1"/>
    <col min="3591" max="3591" width="2.5546875" customWidth="1"/>
    <col min="3592" max="3592" width="3" customWidth="1"/>
    <col min="3593" max="3594" width="3.109375" customWidth="1"/>
    <col min="3595" max="3595" width="2.44140625" customWidth="1"/>
    <col min="3596" max="3596" width="2.88671875" customWidth="1"/>
    <col min="3597" max="3597" width="0.6640625" customWidth="1"/>
    <col min="3598" max="3598" width="5.33203125" customWidth="1"/>
    <col min="3599" max="3599" width="10.5546875" customWidth="1"/>
    <col min="3600" max="3600" width="5.109375" customWidth="1"/>
    <col min="3601" max="3601" width="7.44140625" customWidth="1"/>
    <col min="3602" max="3602" width="6.6640625" customWidth="1"/>
    <col min="3603" max="3603" width="4.33203125" customWidth="1"/>
    <col min="3604" max="3604" width="2" customWidth="1"/>
    <col min="3605" max="3606" width="2.6640625" customWidth="1"/>
    <col min="3607" max="3608" width="2.109375" customWidth="1"/>
    <col min="3609" max="3609" width="4.6640625" customWidth="1"/>
    <col min="3610" max="3610" width="1.6640625" customWidth="1"/>
    <col min="3611" max="3611" width="6.6640625" customWidth="1"/>
    <col min="3612" max="3613" width="1.88671875" customWidth="1"/>
    <col min="3614" max="3614" width="3" customWidth="1"/>
    <col min="3615" max="3615" width="4" customWidth="1"/>
    <col min="3616" max="3616" width="4.33203125" customWidth="1"/>
    <col min="3617" max="3617" width="1.109375" customWidth="1"/>
    <col min="3618" max="3619" width="4.33203125" customWidth="1"/>
    <col min="3620" max="3620" width="5" customWidth="1"/>
    <col min="3621" max="3621" width="1.33203125" customWidth="1"/>
    <col min="3841" max="3841" width="0.6640625" customWidth="1"/>
    <col min="3842" max="3842" width="3.88671875" customWidth="1"/>
    <col min="3843" max="3843" width="4" customWidth="1"/>
    <col min="3844" max="3844" width="2.44140625" customWidth="1"/>
    <col min="3845" max="3845" width="1.6640625" customWidth="1"/>
    <col min="3846" max="3846" width="11" customWidth="1"/>
    <col min="3847" max="3847" width="2.5546875" customWidth="1"/>
    <col min="3848" max="3848" width="3" customWidth="1"/>
    <col min="3849" max="3850" width="3.109375" customWidth="1"/>
    <col min="3851" max="3851" width="2.44140625" customWidth="1"/>
    <col min="3852" max="3852" width="2.88671875" customWidth="1"/>
    <col min="3853" max="3853" width="0.6640625" customWidth="1"/>
    <col min="3854" max="3854" width="5.33203125" customWidth="1"/>
    <col min="3855" max="3855" width="10.5546875" customWidth="1"/>
    <col min="3856" max="3856" width="5.109375" customWidth="1"/>
    <col min="3857" max="3857" width="7.44140625" customWidth="1"/>
    <col min="3858" max="3858" width="6.6640625" customWidth="1"/>
    <col min="3859" max="3859" width="4.33203125" customWidth="1"/>
    <col min="3860" max="3860" width="2" customWidth="1"/>
    <col min="3861" max="3862" width="2.6640625" customWidth="1"/>
    <col min="3863" max="3864" width="2.109375" customWidth="1"/>
    <col min="3865" max="3865" width="4.6640625" customWidth="1"/>
    <col min="3866" max="3866" width="1.6640625" customWidth="1"/>
    <col min="3867" max="3867" width="6.6640625" customWidth="1"/>
    <col min="3868" max="3869" width="1.88671875" customWidth="1"/>
    <col min="3870" max="3870" width="3" customWidth="1"/>
    <col min="3871" max="3871" width="4" customWidth="1"/>
    <col min="3872" max="3872" width="4.33203125" customWidth="1"/>
    <col min="3873" max="3873" width="1.109375" customWidth="1"/>
    <col min="3874" max="3875" width="4.33203125" customWidth="1"/>
    <col min="3876" max="3876" width="5" customWidth="1"/>
    <col min="3877" max="3877" width="1.33203125" customWidth="1"/>
    <col min="4097" max="4097" width="0.6640625" customWidth="1"/>
    <col min="4098" max="4098" width="3.88671875" customWidth="1"/>
    <col min="4099" max="4099" width="4" customWidth="1"/>
    <col min="4100" max="4100" width="2.44140625" customWidth="1"/>
    <col min="4101" max="4101" width="1.6640625" customWidth="1"/>
    <col min="4102" max="4102" width="11" customWidth="1"/>
    <col min="4103" max="4103" width="2.5546875" customWidth="1"/>
    <col min="4104" max="4104" width="3" customWidth="1"/>
    <col min="4105" max="4106" width="3.109375" customWidth="1"/>
    <col min="4107" max="4107" width="2.44140625" customWidth="1"/>
    <col min="4108" max="4108" width="2.88671875" customWidth="1"/>
    <col min="4109" max="4109" width="0.6640625" customWidth="1"/>
    <col min="4110" max="4110" width="5.33203125" customWidth="1"/>
    <col min="4111" max="4111" width="10.5546875" customWidth="1"/>
    <col min="4112" max="4112" width="5.109375" customWidth="1"/>
    <col min="4113" max="4113" width="7.44140625" customWidth="1"/>
    <col min="4114" max="4114" width="6.6640625" customWidth="1"/>
    <col min="4115" max="4115" width="4.33203125" customWidth="1"/>
    <col min="4116" max="4116" width="2" customWidth="1"/>
    <col min="4117" max="4118" width="2.6640625" customWidth="1"/>
    <col min="4119" max="4120" width="2.109375" customWidth="1"/>
    <col min="4121" max="4121" width="4.6640625" customWidth="1"/>
    <col min="4122" max="4122" width="1.6640625" customWidth="1"/>
    <col min="4123" max="4123" width="6.6640625" customWidth="1"/>
    <col min="4124" max="4125" width="1.88671875" customWidth="1"/>
    <col min="4126" max="4126" width="3" customWidth="1"/>
    <col min="4127" max="4127" width="4" customWidth="1"/>
    <col min="4128" max="4128" width="4.33203125" customWidth="1"/>
    <col min="4129" max="4129" width="1.109375" customWidth="1"/>
    <col min="4130" max="4131" width="4.33203125" customWidth="1"/>
    <col min="4132" max="4132" width="5" customWidth="1"/>
    <col min="4133" max="4133" width="1.33203125" customWidth="1"/>
    <col min="4353" max="4353" width="0.6640625" customWidth="1"/>
    <col min="4354" max="4354" width="3.88671875" customWidth="1"/>
    <col min="4355" max="4355" width="4" customWidth="1"/>
    <col min="4356" max="4356" width="2.44140625" customWidth="1"/>
    <col min="4357" max="4357" width="1.6640625" customWidth="1"/>
    <col min="4358" max="4358" width="11" customWidth="1"/>
    <col min="4359" max="4359" width="2.5546875" customWidth="1"/>
    <col min="4360" max="4360" width="3" customWidth="1"/>
    <col min="4361" max="4362" width="3.109375" customWidth="1"/>
    <col min="4363" max="4363" width="2.44140625" customWidth="1"/>
    <col min="4364" max="4364" width="2.88671875" customWidth="1"/>
    <col min="4365" max="4365" width="0.6640625" customWidth="1"/>
    <col min="4366" max="4366" width="5.33203125" customWidth="1"/>
    <col min="4367" max="4367" width="10.5546875" customWidth="1"/>
    <col min="4368" max="4368" width="5.109375" customWidth="1"/>
    <col min="4369" max="4369" width="7.44140625" customWidth="1"/>
    <col min="4370" max="4370" width="6.6640625" customWidth="1"/>
    <col min="4371" max="4371" width="4.33203125" customWidth="1"/>
    <col min="4372" max="4372" width="2" customWidth="1"/>
    <col min="4373" max="4374" width="2.6640625" customWidth="1"/>
    <col min="4375" max="4376" width="2.109375" customWidth="1"/>
    <col min="4377" max="4377" width="4.6640625" customWidth="1"/>
    <col min="4378" max="4378" width="1.6640625" customWidth="1"/>
    <col min="4379" max="4379" width="6.6640625" customWidth="1"/>
    <col min="4380" max="4381" width="1.88671875" customWidth="1"/>
    <col min="4382" max="4382" width="3" customWidth="1"/>
    <col min="4383" max="4383" width="4" customWidth="1"/>
    <col min="4384" max="4384" width="4.33203125" customWidth="1"/>
    <col min="4385" max="4385" width="1.109375" customWidth="1"/>
    <col min="4386" max="4387" width="4.33203125" customWidth="1"/>
    <col min="4388" max="4388" width="5" customWidth="1"/>
    <col min="4389" max="4389" width="1.33203125" customWidth="1"/>
    <col min="4609" max="4609" width="0.6640625" customWidth="1"/>
    <col min="4610" max="4610" width="3.88671875" customWidth="1"/>
    <col min="4611" max="4611" width="4" customWidth="1"/>
    <col min="4612" max="4612" width="2.44140625" customWidth="1"/>
    <col min="4613" max="4613" width="1.6640625" customWidth="1"/>
    <col min="4614" max="4614" width="11" customWidth="1"/>
    <col min="4615" max="4615" width="2.5546875" customWidth="1"/>
    <col min="4616" max="4616" width="3" customWidth="1"/>
    <col min="4617" max="4618" width="3.109375" customWidth="1"/>
    <col min="4619" max="4619" width="2.44140625" customWidth="1"/>
    <col min="4620" max="4620" width="2.88671875" customWidth="1"/>
    <col min="4621" max="4621" width="0.6640625" customWidth="1"/>
    <col min="4622" max="4622" width="5.33203125" customWidth="1"/>
    <col min="4623" max="4623" width="10.5546875" customWidth="1"/>
    <col min="4624" max="4624" width="5.109375" customWidth="1"/>
    <col min="4625" max="4625" width="7.44140625" customWidth="1"/>
    <col min="4626" max="4626" width="6.6640625" customWidth="1"/>
    <col min="4627" max="4627" width="4.33203125" customWidth="1"/>
    <col min="4628" max="4628" width="2" customWidth="1"/>
    <col min="4629" max="4630" width="2.6640625" customWidth="1"/>
    <col min="4631" max="4632" width="2.109375" customWidth="1"/>
    <col min="4633" max="4633" width="4.6640625" customWidth="1"/>
    <col min="4634" max="4634" width="1.6640625" customWidth="1"/>
    <col min="4635" max="4635" width="6.6640625" customWidth="1"/>
    <col min="4636" max="4637" width="1.88671875" customWidth="1"/>
    <col min="4638" max="4638" width="3" customWidth="1"/>
    <col min="4639" max="4639" width="4" customWidth="1"/>
    <col min="4640" max="4640" width="4.33203125" customWidth="1"/>
    <col min="4641" max="4641" width="1.109375" customWidth="1"/>
    <col min="4642" max="4643" width="4.33203125" customWidth="1"/>
    <col min="4644" max="4644" width="5" customWidth="1"/>
    <col min="4645" max="4645" width="1.33203125" customWidth="1"/>
    <col min="4865" max="4865" width="0.6640625" customWidth="1"/>
    <col min="4866" max="4866" width="3.88671875" customWidth="1"/>
    <col min="4867" max="4867" width="4" customWidth="1"/>
    <col min="4868" max="4868" width="2.44140625" customWidth="1"/>
    <col min="4869" max="4869" width="1.6640625" customWidth="1"/>
    <col min="4870" max="4870" width="11" customWidth="1"/>
    <col min="4871" max="4871" width="2.5546875" customWidth="1"/>
    <col min="4872" max="4872" width="3" customWidth="1"/>
    <col min="4873" max="4874" width="3.109375" customWidth="1"/>
    <col min="4875" max="4875" width="2.44140625" customWidth="1"/>
    <col min="4876" max="4876" width="2.88671875" customWidth="1"/>
    <col min="4877" max="4877" width="0.6640625" customWidth="1"/>
    <col min="4878" max="4878" width="5.33203125" customWidth="1"/>
    <col min="4879" max="4879" width="10.5546875" customWidth="1"/>
    <col min="4880" max="4880" width="5.109375" customWidth="1"/>
    <col min="4881" max="4881" width="7.44140625" customWidth="1"/>
    <col min="4882" max="4882" width="6.6640625" customWidth="1"/>
    <col min="4883" max="4883" width="4.33203125" customWidth="1"/>
    <col min="4884" max="4884" width="2" customWidth="1"/>
    <col min="4885" max="4886" width="2.6640625" customWidth="1"/>
    <col min="4887" max="4888" width="2.109375" customWidth="1"/>
    <col min="4889" max="4889" width="4.6640625" customWidth="1"/>
    <col min="4890" max="4890" width="1.6640625" customWidth="1"/>
    <col min="4891" max="4891" width="6.6640625" customWidth="1"/>
    <col min="4892" max="4893" width="1.88671875" customWidth="1"/>
    <col min="4894" max="4894" width="3" customWidth="1"/>
    <col min="4895" max="4895" width="4" customWidth="1"/>
    <col min="4896" max="4896" width="4.33203125" customWidth="1"/>
    <col min="4897" max="4897" width="1.109375" customWidth="1"/>
    <col min="4898" max="4899" width="4.33203125" customWidth="1"/>
    <col min="4900" max="4900" width="5" customWidth="1"/>
    <col min="4901" max="4901" width="1.33203125" customWidth="1"/>
    <col min="5121" max="5121" width="0.6640625" customWidth="1"/>
    <col min="5122" max="5122" width="3.88671875" customWidth="1"/>
    <col min="5123" max="5123" width="4" customWidth="1"/>
    <col min="5124" max="5124" width="2.44140625" customWidth="1"/>
    <col min="5125" max="5125" width="1.6640625" customWidth="1"/>
    <col min="5126" max="5126" width="11" customWidth="1"/>
    <col min="5127" max="5127" width="2.5546875" customWidth="1"/>
    <col min="5128" max="5128" width="3" customWidth="1"/>
    <col min="5129" max="5130" width="3.109375" customWidth="1"/>
    <col min="5131" max="5131" width="2.44140625" customWidth="1"/>
    <col min="5132" max="5132" width="2.88671875" customWidth="1"/>
    <col min="5133" max="5133" width="0.6640625" customWidth="1"/>
    <col min="5134" max="5134" width="5.33203125" customWidth="1"/>
    <col min="5135" max="5135" width="10.5546875" customWidth="1"/>
    <col min="5136" max="5136" width="5.109375" customWidth="1"/>
    <col min="5137" max="5137" width="7.44140625" customWidth="1"/>
    <col min="5138" max="5138" width="6.6640625" customWidth="1"/>
    <col min="5139" max="5139" width="4.33203125" customWidth="1"/>
    <col min="5140" max="5140" width="2" customWidth="1"/>
    <col min="5141" max="5142" width="2.6640625" customWidth="1"/>
    <col min="5143" max="5144" width="2.109375" customWidth="1"/>
    <col min="5145" max="5145" width="4.6640625" customWidth="1"/>
    <col min="5146" max="5146" width="1.6640625" customWidth="1"/>
    <col min="5147" max="5147" width="6.6640625" customWidth="1"/>
    <col min="5148" max="5149" width="1.88671875" customWidth="1"/>
    <col min="5150" max="5150" width="3" customWidth="1"/>
    <col min="5151" max="5151" width="4" customWidth="1"/>
    <col min="5152" max="5152" width="4.33203125" customWidth="1"/>
    <col min="5153" max="5153" width="1.109375" customWidth="1"/>
    <col min="5154" max="5155" width="4.33203125" customWidth="1"/>
    <col min="5156" max="5156" width="5" customWidth="1"/>
    <col min="5157" max="5157" width="1.33203125" customWidth="1"/>
    <col min="5377" max="5377" width="0.6640625" customWidth="1"/>
    <col min="5378" max="5378" width="3.88671875" customWidth="1"/>
    <col min="5379" max="5379" width="4" customWidth="1"/>
    <col min="5380" max="5380" width="2.44140625" customWidth="1"/>
    <col min="5381" max="5381" width="1.6640625" customWidth="1"/>
    <col min="5382" max="5382" width="11" customWidth="1"/>
    <col min="5383" max="5383" width="2.5546875" customWidth="1"/>
    <col min="5384" max="5384" width="3" customWidth="1"/>
    <col min="5385" max="5386" width="3.109375" customWidth="1"/>
    <col min="5387" max="5387" width="2.44140625" customWidth="1"/>
    <col min="5388" max="5388" width="2.88671875" customWidth="1"/>
    <col min="5389" max="5389" width="0.6640625" customWidth="1"/>
    <col min="5390" max="5390" width="5.33203125" customWidth="1"/>
    <col min="5391" max="5391" width="10.5546875" customWidth="1"/>
    <col min="5392" max="5392" width="5.109375" customWidth="1"/>
    <col min="5393" max="5393" width="7.44140625" customWidth="1"/>
    <col min="5394" max="5394" width="6.6640625" customWidth="1"/>
    <col min="5395" max="5395" width="4.33203125" customWidth="1"/>
    <col min="5396" max="5396" width="2" customWidth="1"/>
    <col min="5397" max="5398" width="2.6640625" customWidth="1"/>
    <col min="5399" max="5400" width="2.109375" customWidth="1"/>
    <col min="5401" max="5401" width="4.6640625" customWidth="1"/>
    <col min="5402" max="5402" width="1.6640625" customWidth="1"/>
    <col min="5403" max="5403" width="6.6640625" customWidth="1"/>
    <col min="5404" max="5405" width="1.88671875" customWidth="1"/>
    <col min="5406" max="5406" width="3" customWidth="1"/>
    <col min="5407" max="5407" width="4" customWidth="1"/>
    <col min="5408" max="5408" width="4.33203125" customWidth="1"/>
    <col min="5409" max="5409" width="1.109375" customWidth="1"/>
    <col min="5410" max="5411" width="4.33203125" customWidth="1"/>
    <col min="5412" max="5412" width="5" customWidth="1"/>
    <col min="5413" max="5413" width="1.33203125" customWidth="1"/>
    <col min="5633" max="5633" width="0.6640625" customWidth="1"/>
    <col min="5634" max="5634" width="3.88671875" customWidth="1"/>
    <col min="5635" max="5635" width="4" customWidth="1"/>
    <col min="5636" max="5636" width="2.44140625" customWidth="1"/>
    <col min="5637" max="5637" width="1.6640625" customWidth="1"/>
    <col min="5638" max="5638" width="11" customWidth="1"/>
    <col min="5639" max="5639" width="2.5546875" customWidth="1"/>
    <col min="5640" max="5640" width="3" customWidth="1"/>
    <col min="5641" max="5642" width="3.109375" customWidth="1"/>
    <col min="5643" max="5643" width="2.44140625" customWidth="1"/>
    <col min="5644" max="5644" width="2.88671875" customWidth="1"/>
    <col min="5645" max="5645" width="0.6640625" customWidth="1"/>
    <col min="5646" max="5646" width="5.33203125" customWidth="1"/>
    <col min="5647" max="5647" width="10.5546875" customWidth="1"/>
    <col min="5648" max="5648" width="5.109375" customWidth="1"/>
    <col min="5649" max="5649" width="7.44140625" customWidth="1"/>
    <col min="5650" max="5650" width="6.6640625" customWidth="1"/>
    <col min="5651" max="5651" width="4.33203125" customWidth="1"/>
    <col min="5652" max="5652" width="2" customWidth="1"/>
    <col min="5653" max="5654" width="2.6640625" customWidth="1"/>
    <col min="5655" max="5656" width="2.109375" customWidth="1"/>
    <col min="5657" max="5657" width="4.6640625" customWidth="1"/>
    <col min="5658" max="5658" width="1.6640625" customWidth="1"/>
    <col min="5659" max="5659" width="6.6640625" customWidth="1"/>
    <col min="5660" max="5661" width="1.88671875" customWidth="1"/>
    <col min="5662" max="5662" width="3" customWidth="1"/>
    <col min="5663" max="5663" width="4" customWidth="1"/>
    <col min="5664" max="5664" width="4.33203125" customWidth="1"/>
    <col min="5665" max="5665" width="1.109375" customWidth="1"/>
    <col min="5666" max="5667" width="4.33203125" customWidth="1"/>
    <col min="5668" max="5668" width="5" customWidth="1"/>
    <col min="5669" max="5669" width="1.33203125" customWidth="1"/>
    <col min="5889" max="5889" width="0.6640625" customWidth="1"/>
    <col min="5890" max="5890" width="3.88671875" customWidth="1"/>
    <col min="5891" max="5891" width="4" customWidth="1"/>
    <col min="5892" max="5892" width="2.44140625" customWidth="1"/>
    <col min="5893" max="5893" width="1.6640625" customWidth="1"/>
    <col min="5894" max="5894" width="11" customWidth="1"/>
    <col min="5895" max="5895" width="2.5546875" customWidth="1"/>
    <col min="5896" max="5896" width="3" customWidth="1"/>
    <col min="5897" max="5898" width="3.109375" customWidth="1"/>
    <col min="5899" max="5899" width="2.44140625" customWidth="1"/>
    <col min="5900" max="5900" width="2.88671875" customWidth="1"/>
    <col min="5901" max="5901" width="0.6640625" customWidth="1"/>
    <col min="5902" max="5902" width="5.33203125" customWidth="1"/>
    <col min="5903" max="5903" width="10.5546875" customWidth="1"/>
    <col min="5904" max="5904" width="5.109375" customWidth="1"/>
    <col min="5905" max="5905" width="7.44140625" customWidth="1"/>
    <col min="5906" max="5906" width="6.6640625" customWidth="1"/>
    <col min="5907" max="5907" width="4.33203125" customWidth="1"/>
    <col min="5908" max="5908" width="2" customWidth="1"/>
    <col min="5909" max="5910" width="2.6640625" customWidth="1"/>
    <col min="5911" max="5912" width="2.109375" customWidth="1"/>
    <col min="5913" max="5913" width="4.6640625" customWidth="1"/>
    <col min="5914" max="5914" width="1.6640625" customWidth="1"/>
    <col min="5915" max="5915" width="6.6640625" customWidth="1"/>
    <col min="5916" max="5917" width="1.88671875" customWidth="1"/>
    <col min="5918" max="5918" width="3" customWidth="1"/>
    <col min="5919" max="5919" width="4" customWidth="1"/>
    <col min="5920" max="5920" width="4.33203125" customWidth="1"/>
    <col min="5921" max="5921" width="1.109375" customWidth="1"/>
    <col min="5922" max="5923" width="4.33203125" customWidth="1"/>
    <col min="5924" max="5924" width="5" customWidth="1"/>
    <col min="5925" max="5925" width="1.33203125" customWidth="1"/>
    <col min="6145" max="6145" width="0.6640625" customWidth="1"/>
    <col min="6146" max="6146" width="3.88671875" customWidth="1"/>
    <col min="6147" max="6147" width="4" customWidth="1"/>
    <col min="6148" max="6148" width="2.44140625" customWidth="1"/>
    <col min="6149" max="6149" width="1.6640625" customWidth="1"/>
    <col min="6150" max="6150" width="11" customWidth="1"/>
    <col min="6151" max="6151" width="2.5546875" customWidth="1"/>
    <col min="6152" max="6152" width="3" customWidth="1"/>
    <col min="6153" max="6154" width="3.109375" customWidth="1"/>
    <col min="6155" max="6155" width="2.44140625" customWidth="1"/>
    <col min="6156" max="6156" width="2.88671875" customWidth="1"/>
    <col min="6157" max="6157" width="0.6640625" customWidth="1"/>
    <col min="6158" max="6158" width="5.33203125" customWidth="1"/>
    <col min="6159" max="6159" width="10.5546875" customWidth="1"/>
    <col min="6160" max="6160" width="5.109375" customWidth="1"/>
    <col min="6161" max="6161" width="7.44140625" customWidth="1"/>
    <col min="6162" max="6162" width="6.6640625" customWidth="1"/>
    <col min="6163" max="6163" width="4.33203125" customWidth="1"/>
    <col min="6164" max="6164" width="2" customWidth="1"/>
    <col min="6165" max="6166" width="2.6640625" customWidth="1"/>
    <col min="6167" max="6168" width="2.109375" customWidth="1"/>
    <col min="6169" max="6169" width="4.6640625" customWidth="1"/>
    <col min="6170" max="6170" width="1.6640625" customWidth="1"/>
    <col min="6171" max="6171" width="6.6640625" customWidth="1"/>
    <col min="6172" max="6173" width="1.88671875" customWidth="1"/>
    <col min="6174" max="6174" width="3" customWidth="1"/>
    <col min="6175" max="6175" width="4" customWidth="1"/>
    <col min="6176" max="6176" width="4.33203125" customWidth="1"/>
    <col min="6177" max="6177" width="1.109375" customWidth="1"/>
    <col min="6178" max="6179" width="4.33203125" customWidth="1"/>
    <col min="6180" max="6180" width="5" customWidth="1"/>
    <col min="6181" max="6181" width="1.33203125" customWidth="1"/>
    <col min="6401" max="6401" width="0.6640625" customWidth="1"/>
    <col min="6402" max="6402" width="3.88671875" customWidth="1"/>
    <col min="6403" max="6403" width="4" customWidth="1"/>
    <col min="6404" max="6404" width="2.44140625" customWidth="1"/>
    <col min="6405" max="6405" width="1.6640625" customWidth="1"/>
    <col min="6406" max="6406" width="11" customWidth="1"/>
    <col min="6407" max="6407" width="2.5546875" customWidth="1"/>
    <col min="6408" max="6408" width="3" customWidth="1"/>
    <col min="6409" max="6410" width="3.109375" customWidth="1"/>
    <col min="6411" max="6411" width="2.44140625" customWidth="1"/>
    <col min="6412" max="6412" width="2.88671875" customWidth="1"/>
    <col min="6413" max="6413" width="0.6640625" customWidth="1"/>
    <col min="6414" max="6414" width="5.33203125" customWidth="1"/>
    <col min="6415" max="6415" width="10.5546875" customWidth="1"/>
    <col min="6416" max="6416" width="5.109375" customWidth="1"/>
    <col min="6417" max="6417" width="7.44140625" customWidth="1"/>
    <col min="6418" max="6418" width="6.6640625" customWidth="1"/>
    <col min="6419" max="6419" width="4.33203125" customWidth="1"/>
    <col min="6420" max="6420" width="2" customWidth="1"/>
    <col min="6421" max="6422" width="2.6640625" customWidth="1"/>
    <col min="6423" max="6424" width="2.109375" customWidth="1"/>
    <col min="6425" max="6425" width="4.6640625" customWidth="1"/>
    <col min="6426" max="6426" width="1.6640625" customWidth="1"/>
    <col min="6427" max="6427" width="6.6640625" customWidth="1"/>
    <col min="6428" max="6429" width="1.88671875" customWidth="1"/>
    <col min="6430" max="6430" width="3" customWidth="1"/>
    <col min="6431" max="6431" width="4" customWidth="1"/>
    <col min="6432" max="6432" width="4.33203125" customWidth="1"/>
    <col min="6433" max="6433" width="1.109375" customWidth="1"/>
    <col min="6434" max="6435" width="4.33203125" customWidth="1"/>
    <col min="6436" max="6436" width="5" customWidth="1"/>
    <col min="6437" max="6437" width="1.33203125" customWidth="1"/>
    <col min="6657" max="6657" width="0.6640625" customWidth="1"/>
    <col min="6658" max="6658" width="3.88671875" customWidth="1"/>
    <col min="6659" max="6659" width="4" customWidth="1"/>
    <col min="6660" max="6660" width="2.44140625" customWidth="1"/>
    <col min="6661" max="6661" width="1.6640625" customWidth="1"/>
    <col min="6662" max="6662" width="11" customWidth="1"/>
    <col min="6663" max="6663" width="2.5546875" customWidth="1"/>
    <col min="6664" max="6664" width="3" customWidth="1"/>
    <col min="6665" max="6666" width="3.109375" customWidth="1"/>
    <col min="6667" max="6667" width="2.44140625" customWidth="1"/>
    <col min="6668" max="6668" width="2.88671875" customWidth="1"/>
    <col min="6669" max="6669" width="0.6640625" customWidth="1"/>
    <col min="6670" max="6670" width="5.33203125" customWidth="1"/>
    <col min="6671" max="6671" width="10.5546875" customWidth="1"/>
    <col min="6672" max="6672" width="5.109375" customWidth="1"/>
    <col min="6673" max="6673" width="7.44140625" customWidth="1"/>
    <col min="6674" max="6674" width="6.6640625" customWidth="1"/>
    <col min="6675" max="6675" width="4.33203125" customWidth="1"/>
    <col min="6676" max="6676" width="2" customWidth="1"/>
    <col min="6677" max="6678" width="2.6640625" customWidth="1"/>
    <col min="6679" max="6680" width="2.109375" customWidth="1"/>
    <col min="6681" max="6681" width="4.6640625" customWidth="1"/>
    <col min="6682" max="6682" width="1.6640625" customWidth="1"/>
    <col min="6683" max="6683" width="6.6640625" customWidth="1"/>
    <col min="6684" max="6685" width="1.88671875" customWidth="1"/>
    <col min="6686" max="6686" width="3" customWidth="1"/>
    <col min="6687" max="6687" width="4" customWidth="1"/>
    <col min="6688" max="6688" width="4.33203125" customWidth="1"/>
    <col min="6689" max="6689" width="1.109375" customWidth="1"/>
    <col min="6690" max="6691" width="4.33203125" customWidth="1"/>
    <col min="6692" max="6692" width="5" customWidth="1"/>
    <col min="6693" max="6693" width="1.33203125" customWidth="1"/>
    <col min="6913" max="6913" width="0.6640625" customWidth="1"/>
    <col min="6914" max="6914" width="3.88671875" customWidth="1"/>
    <col min="6915" max="6915" width="4" customWidth="1"/>
    <col min="6916" max="6916" width="2.44140625" customWidth="1"/>
    <col min="6917" max="6917" width="1.6640625" customWidth="1"/>
    <col min="6918" max="6918" width="11" customWidth="1"/>
    <col min="6919" max="6919" width="2.5546875" customWidth="1"/>
    <col min="6920" max="6920" width="3" customWidth="1"/>
    <col min="6921" max="6922" width="3.109375" customWidth="1"/>
    <col min="6923" max="6923" width="2.44140625" customWidth="1"/>
    <col min="6924" max="6924" width="2.88671875" customWidth="1"/>
    <col min="6925" max="6925" width="0.6640625" customWidth="1"/>
    <col min="6926" max="6926" width="5.33203125" customWidth="1"/>
    <col min="6927" max="6927" width="10.5546875" customWidth="1"/>
    <col min="6928" max="6928" width="5.109375" customWidth="1"/>
    <col min="6929" max="6929" width="7.44140625" customWidth="1"/>
    <col min="6930" max="6930" width="6.6640625" customWidth="1"/>
    <col min="6931" max="6931" width="4.33203125" customWidth="1"/>
    <col min="6932" max="6932" width="2" customWidth="1"/>
    <col min="6933" max="6934" width="2.6640625" customWidth="1"/>
    <col min="6935" max="6936" width="2.109375" customWidth="1"/>
    <col min="6937" max="6937" width="4.6640625" customWidth="1"/>
    <col min="6938" max="6938" width="1.6640625" customWidth="1"/>
    <col min="6939" max="6939" width="6.6640625" customWidth="1"/>
    <col min="6940" max="6941" width="1.88671875" customWidth="1"/>
    <col min="6942" max="6942" width="3" customWidth="1"/>
    <col min="6943" max="6943" width="4" customWidth="1"/>
    <col min="6944" max="6944" width="4.33203125" customWidth="1"/>
    <col min="6945" max="6945" width="1.109375" customWidth="1"/>
    <col min="6946" max="6947" width="4.33203125" customWidth="1"/>
    <col min="6948" max="6948" width="5" customWidth="1"/>
    <col min="6949" max="6949" width="1.33203125" customWidth="1"/>
    <col min="7169" max="7169" width="0.6640625" customWidth="1"/>
    <col min="7170" max="7170" width="3.88671875" customWidth="1"/>
    <col min="7171" max="7171" width="4" customWidth="1"/>
    <col min="7172" max="7172" width="2.44140625" customWidth="1"/>
    <col min="7173" max="7173" width="1.6640625" customWidth="1"/>
    <col min="7174" max="7174" width="11" customWidth="1"/>
    <col min="7175" max="7175" width="2.5546875" customWidth="1"/>
    <col min="7176" max="7176" width="3" customWidth="1"/>
    <col min="7177" max="7178" width="3.109375" customWidth="1"/>
    <col min="7179" max="7179" width="2.44140625" customWidth="1"/>
    <col min="7180" max="7180" width="2.88671875" customWidth="1"/>
    <col min="7181" max="7181" width="0.6640625" customWidth="1"/>
    <col min="7182" max="7182" width="5.33203125" customWidth="1"/>
    <col min="7183" max="7183" width="10.5546875" customWidth="1"/>
    <col min="7184" max="7184" width="5.109375" customWidth="1"/>
    <col min="7185" max="7185" width="7.44140625" customWidth="1"/>
    <col min="7186" max="7186" width="6.6640625" customWidth="1"/>
    <col min="7187" max="7187" width="4.33203125" customWidth="1"/>
    <col min="7188" max="7188" width="2" customWidth="1"/>
    <col min="7189" max="7190" width="2.6640625" customWidth="1"/>
    <col min="7191" max="7192" width="2.109375" customWidth="1"/>
    <col min="7193" max="7193" width="4.6640625" customWidth="1"/>
    <col min="7194" max="7194" width="1.6640625" customWidth="1"/>
    <col min="7195" max="7195" width="6.6640625" customWidth="1"/>
    <col min="7196" max="7197" width="1.88671875" customWidth="1"/>
    <col min="7198" max="7198" width="3" customWidth="1"/>
    <col min="7199" max="7199" width="4" customWidth="1"/>
    <col min="7200" max="7200" width="4.33203125" customWidth="1"/>
    <col min="7201" max="7201" width="1.109375" customWidth="1"/>
    <col min="7202" max="7203" width="4.33203125" customWidth="1"/>
    <col min="7204" max="7204" width="5" customWidth="1"/>
    <col min="7205" max="7205" width="1.33203125" customWidth="1"/>
    <col min="7425" max="7425" width="0.6640625" customWidth="1"/>
    <col min="7426" max="7426" width="3.88671875" customWidth="1"/>
    <col min="7427" max="7427" width="4" customWidth="1"/>
    <col min="7428" max="7428" width="2.44140625" customWidth="1"/>
    <col min="7429" max="7429" width="1.6640625" customWidth="1"/>
    <col min="7430" max="7430" width="11" customWidth="1"/>
    <col min="7431" max="7431" width="2.5546875" customWidth="1"/>
    <col min="7432" max="7432" width="3" customWidth="1"/>
    <col min="7433" max="7434" width="3.109375" customWidth="1"/>
    <col min="7435" max="7435" width="2.44140625" customWidth="1"/>
    <col min="7436" max="7436" width="2.88671875" customWidth="1"/>
    <col min="7437" max="7437" width="0.6640625" customWidth="1"/>
    <col min="7438" max="7438" width="5.33203125" customWidth="1"/>
    <col min="7439" max="7439" width="10.5546875" customWidth="1"/>
    <col min="7440" max="7440" width="5.109375" customWidth="1"/>
    <col min="7441" max="7441" width="7.44140625" customWidth="1"/>
    <col min="7442" max="7442" width="6.6640625" customWidth="1"/>
    <col min="7443" max="7443" width="4.33203125" customWidth="1"/>
    <col min="7444" max="7444" width="2" customWidth="1"/>
    <col min="7445" max="7446" width="2.6640625" customWidth="1"/>
    <col min="7447" max="7448" width="2.109375" customWidth="1"/>
    <col min="7449" max="7449" width="4.6640625" customWidth="1"/>
    <col min="7450" max="7450" width="1.6640625" customWidth="1"/>
    <col min="7451" max="7451" width="6.6640625" customWidth="1"/>
    <col min="7452" max="7453" width="1.88671875" customWidth="1"/>
    <col min="7454" max="7454" width="3" customWidth="1"/>
    <col min="7455" max="7455" width="4" customWidth="1"/>
    <col min="7456" max="7456" width="4.33203125" customWidth="1"/>
    <col min="7457" max="7457" width="1.109375" customWidth="1"/>
    <col min="7458" max="7459" width="4.33203125" customWidth="1"/>
    <col min="7460" max="7460" width="5" customWidth="1"/>
    <col min="7461" max="7461" width="1.33203125" customWidth="1"/>
    <col min="7681" max="7681" width="0.6640625" customWidth="1"/>
    <col min="7682" max="7682" width="3.88671875" customWidth="1"/>
    <col min="7683" max="7683" width="4" customWidth="1"/>
    <col min="7684" max="7684" width="2.44140625" customWidth="1"/>
    <col min="7685" max="7685" width="1.6640625" customWidth="1"/>
    <col min="7686" max="7686" width="11" customWidth="1"/>
    <col min="7687" max="7687" width="2.5546875" customWidth="1"/>
    <col min="7688" max="7688" width="3" customWidth="1"/>
    <col min="7689" max="7690" width="3.109375" customWidth="1"/>
    <col min="7691" max="7691" width="2.44140625" customWidth="1"/>
    <col min="7692" max="7692" width="2.88671875" customWidth="1"/>
    <col min="7693" max="7693" width="0.6640625" customWidth="1"/>
    <col min="7694" max="7694" width="5.33203125" customWidth="1"/>
    <col min="7695" max="7695" width="10.5546875" customWidth="1"/>
    <col min="7696" max="7696" width="5.109375" customWidth="1"/>
    <col min="7697" max="7697" width="7.44140625" customWidth="1"/>
    <col min="7698" max="7698" width="6.6640625" customWidth="1"/>
    <col min="7699" max="7699" width="4.33203125" customWidth="1"/>
    <col min="7700" max="7700" width="2" customWidth="1"/>
    <col min="7701" max="7702" width="2.6640625" customWidth="1"/>
    <col min="7703" max="7704" width="2.109375" customWidth="1"/>
    <col min="7705" max="7705" width="4.6640625" customWidth="1"/>
    <col min="7706" max="7706" width="1.6640625" customWidth="1"/>
    <col min="7707" max="7707" width="6.6640625" customWidth="1"/>
    <col min="7708" max="7709" width="1.88671875" customWidth="1"/>
    <col min="7710" max="7710" width="3" customWidth="1"/>
    <col min="7711" max="7711" width="4" customWidth="1"/>
    <col min="7712" max="7712" width="4.33203125" customWidth="1"/>
    <col min="7713" max="7713" width="1.109375" customWidth="1"/>
    <col min="7714" max="7715" width="4.33203125" customWidth="1"/>
    <col min="7716" max="7716" width="5" customWidth="1"/>
    <col min="7717" max="7717" width="1.33203125" customWidth="1"/>
    <col min="7937" max="7937" width="0.6640625" customWidth="1"/>
    <col min="7938" max="7938" width="3.88671875" customWidth="1"/>
    <col min="7939" max="7939" width="4" customWidth="1"/>
    <col min="7940" max="7940" width="2.44140625" customWidth="1"/>
    <col min="7941" max="7941" width="1.6640625" customWidth="1"/>
    <col min="7942" max="7942" width="11" customWidth="1"/>
    <col min="7943" max="7943" width="2.5546875" customWidth="1"/>
    <col min="7944" max="7944" width="3" customWidth="1"/>
    <col min="7945" max="7946" width="3.109375" customWidth="1"/>
    <col min="7947" max="7947" width="2.44140625" customWidth="1"/>
    <col min="7948" max="7948" width="2.88671875" customWidth="1"/>
    <col min="7949" max="7949" width="0.6640625" customWidth="1"/>
    <col min="7950" max="7950" width="5.33203125" customWidth="1"/>
    <col min="7951" max="7951" width="10.5546875" customWidth="1"/>
    <col min="7952" max="7952" width="5.109375" customWidth="1"/>
    <col min="7953" max="7953" width="7.44140625" customWidth="1"/>
    <col min="7954" max="7954" width="6.6640625" customWidth="1"/>
    <col min="7955" max="7955" width="4.33203125" customWidth="1"/>
    <col min="7956" max="7956" width="2" customWidth="1"/>
    <col min="7957" max="7958" width="2.6640625" customWidth="1"/>
    <col min="7959" max="7960" width="2.109375" customWidth="1"/>
    <col min="7961" max="7961" width="4.6640625" customWidth="1"/>
    <col min="7962" max="7962" width="1.6640625" customWidth="1"/>
    <col min="7963" max="7963" width="6.6640625" customWidth="1"/>
    <col min="7964" max="7965" width="1.88671875" customWidth="1"/>
    <col min="7966" max="7966" width="3" customWidth="1"/>
    <col min="7967" max="7967" width="4" customWidth="1"/>
    <col min="7968" max="7968" width="4.33203125" customWidth="1"/>
    <col min="7969" max="7969" width="1.109375" customWidth="1"/>
    <col min="7970" max="7971" width="4.33203125" customWidth="1"/>
    <col min="7972" max="7972" width="5" customWidth="1"/>
    <col min="7973" max="7973" width="1.33203125" customWidth="1"/>
    <col min="8193" max="8193" width="0.6640625" customWidth="1"/>
    <col min="8194" max="8194" width="3.88671875" customWidth="1"/>
    <col min="8195" max="8195" width="4" customWidth="1"/>
    <col min="8196" max="8196" width="2.44140625" customWidth="1"/>
    <col min="8197" max="8197" width="1.6640625" customWidth="1"/>
    <col min="8198" max="8198" width="11" customWidth="1"/>
    <col min="8199" max="8199" width="2.5546875" customWidth="1"/>
    <col min="8200" max="8200" width="3" customWidth="1"/>
    <col min="8201" max="8202" width="3.109375" customWidth="1"/>
    <col min="8203" max="8203" width="2.44140625" customWidth="1"/>
    <col min="8204" max="8204" width="2.88671875" customWidth="1"/>
    <col min="8205" max="8205" width="0.6640625" customWidth="1"/>
    <col min="8206" max="8206" width="5.33203125" customWidth="1"/>
    <col min="8207" max="8207" width="10.5546875" customWidth="1"/>
    <col min="8208" max="8208" width="5.109375" customWidth="1"/>
    <col min="8209" max="8209" width="7.44140625" customWidth="1"/>
    <col min="8210" max="8210" width="6.6640625" customWidth="1"/>
    <col min="8211" max="8211" width="4.33203125" customWidth="1"/>
    <col min="8212" max="8212" width="2" customWidth="1"/>
    <col min="8213" max="8214" width="2.6640625" customWidth="1"/>
    <col min="8215" max="8216" width="2.109375" customWidth="1"/>
    <col min="8217" max="8217" width="4.6640625" customWidth="1"/>
    <col min="8218" max="8218" width="1.6640625" customWidth="1"/>
    <col min="8219" max="8219" width="6.6640625" customWidth="1"/>
    <col min="8220" max="8221" width="1.88671875" customWidth="1"/>
    <col min="8222" max="8222" width="3" customWidth="1"/>
    <col min="8223" max="8223" width="4" customWidth="1"/>
    <col min="8224" max="8224" width="4.33203125" customWidth="1"/>
    <col min="8225" max="8225" width="1.109375" customWidth="1"/>
    <col min="8226" max="8227" width="4.33203125" customWidth="1"/>
    <col min="8228" max="8228" width="5" customWidth="1"/>
    <col min="8229" max="8229" width="1.33203125" customWidth="1"/>
    <col min="8449" max="8449" width="0.6640625" customWidth="1"/>
    <col min="8450" max="8450" width="3.88671875" customWidth="1"/>
    <col min="8451" max="8451" width="4" customWidth="1"/>
    <col min="8452" max="8452" width="2.44140625" customWidth="1"/>
    <col min="8453" max="8453" width="1.6640625" customWidth="1"/>
    <col min="8454" max="8454" width="11" customWidth="1"/>
    <col min="8455" max="8455" width="2.5546875" customWidth="1"/>
    <col min="8456" max="8456" width="3" customWidth="1"/>
    <col min="8457" max="8458" width="3.109375" customWidth="1"/>
    <col min="8459" max="8459" width="2.44140625" customWidth="1"/>
    <col min="8460" max="8460" width="2.88671875" customWidth="1"/>
    <col min="8461" max="8461" width="0.6640625" customWidth="1"/>
    <col min="8462" max="8462" width="5.33203125" customWidth="1"/>
    <col min="8463" max="8463" width="10.5546875" customWidth="1"/>
    <col min="8464" max="8464" width="5.109375" customWidth="1"/>
    <col min="8465" max="8465" width="7.44140625" customWidth="1"/>
    <col min="8466" max="8466" width="6.6640625" customWidth="1"/>
    <col min="8467" max="8467" width="4.33203125" customWidth="1"/>
    <col min="8468" max="8468" width="2" customWidth="1"/>
    <col min="8469" max="8470" width="2.6640625" customWidth="1"/>
    <col min="8471" max="8472" width="2.109375" customWidth="1"/>
    <col min="8473" max="8473" width="4.6640625" customWidth="1"/>
    <col min="8474" max="8474" width="1.6640625" customWidth="1"/>
    <col min="8475" max="8475" width="6.6640625" customWidth="1"/>
    <col min="8476" max="8477" width="1.88671875" customWidth="1"/>
    <col min="8478" max="8478" width="3" customWidth="1"/>
    <col min="8479" max="8479" width="4" customWidth="1"/>
    <col min="8480" max="8480" width="4.33203125" customWidth="1"/>
    <col min="8481" max="8481" width="1.109375" customWidth="1"/>
    <col min="8482" max="8483" width="4.33203125" customWidth="1"/>
    <col min="8484" max="8484" width="5" customWidth="1"/>
    <col min="8485" max="8485" width="1.33203125" customWidth="1"/>
    <col min="8705" max="8705" width="0.6640625" customWidth="1"/>
    <col min="8706" max="8706" width="3.88671875" customWidth="1"/>
    <col min="8707" max="8707" width="4" customWidth="1"/>
    <col min="8708" max="8708" width="2.44140625" customWidth="1"/>
    <col min="8709" max="8709" width="1.6640625" customWidth="1"/>
    <col min="8710" max="8710" width="11" customWidth="1"/>
    <col min="8711" max="8711" width="2.5546875" customWidth="1"/>
    <col min="8712" max="8712" width="3" customWidth="1"/>
    <col min="8713" max="8714" width="3.109375" customWidth="1"/>
    <col min="8715" max="8715" width="2.44140625" customWidth="1"/>
    <col min="8716" max="8716" width="2.88671875" customWidth="1"/>
    <col min="8717" max="8717" width="0.6640625" customWidth="1"/>
    <col min="8718" max="8718" width="5.33203125" customWidth="1"/>
    <col min="8719" max="8719" width="10.5546875" customWidth="1"/>
    <col min="8720" max="8720" width="5.109375" customWidth="1"/>
    <col min="8721" max="8721" width="7.44140625" customWidth="1"/>
    <col min="8722" max="8722" width="6.6640625" customWidth="1"/>
    <col min="8723" max="8723" width="4.33203125" customWidth="1"/>
    <col min="8724" max="8724" width="2" customWidth="1"/>
    <col min="8725" max="8726" width="2.6640625" customWidth="1"/>
    <col min="8727" max="8728" width="2.109375" customWidth="1"/>
    <col min="8729" max="8729" width="4.6640625" customWidth="1"/>
    <col min="8730" max="8730" width="1.6640625" customWidth="1"/>
    <col min="8731" max="8731" width="6.6640625" customWidth="1"/>
    <col min="8732" max="8733" width="1.88671875" customWidth="1"/>
    <col min="8734" max="8734" width="3" customWidth="1"/>
    <col min="8735" max="8735" width="4" customWidth="1"/>
    <col min="8736" max="8736" width="4.33203125" customWidth="1"/>
    <col min="8737" max="8737" width="1.109375" customWidth="1"/>
    <col min="8738" max="8739" width="4.33203125" customWidth="1"/>
    <col min="8740" max="8740" width="5" customWidth="1"/>
    <col min="8741" max="8741" width="1.33203125" customWidth="1"/>
    <col min="8961" max="8961" width="0.6640625" customWidth="1"/>
    <col min="8962" max="8962" width="3.88671875" customWidth="1"/>
    <col min="8963" max="8963" width="4" customWidth="1"/>
    <col min="8964" max="8964" width="2.44140625" customWidth="1"/>
    <col min="8965" max="8965" width="1.6640625" customWidth="1"/>
    <col min="8966" max="8966" width="11" customWidth="1"/>
    <col min="8967" max="8967" width="2.5546875" customWidth="1"/>
    <col min="8968" max="8968" width="3" customWidth="1"/>
    <col min="8969" max="8970" width="3.109375" customWidth="1"/>
    <col min="8971" max="8971" width="2.44140625" customWidth="1"/>
    <col min="8972" max="8972" width="2.88671875" customWidth="1"/>
    <col min="8973" max="8973" width="0.6640625" customWidth="1"/>
    <col min="8974" max="8974" width="5.33203125" customWidth="1"/>
    <col min="8975" max="8975" width="10.5546875" customWidth="1"/>
    <col min="8976" max="8976" width="5.109375" customWidth="1"/>
    <col min="8977" max="8977" width="7.44140625" customWidth="1"/>
    <col min="8978" max="8978" width="6.6640625" customWidth="1"/>
    <col min="8979" max="8979" width="4.33203125" customWidth="1"/>
    <col min="8980" max="8980" width="2" customWidth="1"/>
    <col min="8981" max="8982" width="2.6640625" customWidth="1"/>
    <col min="8983" max="8984" width="2.109375" customWidth="1"/>
    <col min="8985" max="8985" width="4.6640625" customWidth="1"/>
    <col min="8986" max="8986" width="1.6640625" customWidth="1"/>
    <col min="8987" max="8987" width="6.6640625" customWidth="1"/>
    <col min="8988" max="8989" width="1.88671875" customWidth="1"/>
    <col min="8990" max="8990" width="3" customWidth="1"/>
    <col min="8991" max="8991" width="4" customWidth="1"/>
    <col min="8992" max="8992" width="4.33203125" customWidth="1"/>
    <col min="8993" max="8993" width="1.109375" customWidth="1"/>
    <col min="8994" max="8995" width="4.33203125" customWidth="1"/>
    <col min="8996" max="8996" width="5" customWidth="1"/>
    <col min="8997" max="8997" width="1.33203125" customWidth="1"/>
    <col min="9217" max="9217" width="0.6640625" customWidth="1"/>
    <col min="9218" max="9218" width="3.88671875" customWidth="1"/>
    <col min="9219" max="9219" width="4" customWidth="1"/>
    <col min="9220" max="9220" width="2.44140625" customWidth="1"/>
    <col min="9221" max="9221" width="1.6640625" customWidth="1"/>
    <col min="9222" max="9222" width="11" customWidth="1"/>
    <col min="9223" max="9223" width="2.5546875" customWidth="1"/>
    <col min="9224" max="9224" width="3" customWidth="1"/>
    <col min="9225" max="9226" width="3.109375" customWidth="1"/>
    <col min="9227" max="9227" width="2.44140625" customWidth="1"/>
    <col min="9228" max="9228" width="2.88671875" customWidth="1"/>
    <col min="9229" max="9229" width="0.6640625" customWidth="1"/>
    <col min="9230" max="9230" width="5.33203125" customWidth="1"/>
    <col min="9231" max="9231" width="10.5546875" customWidth="1"/>
    <col min="9232" max="9232" width="5.109375" customWidth="1"/>
    <col min="9233" max="9233" width="7.44140625" customWidth="1"/>
    <col min="9234" max="9234" width="6.6640625" customWidth="1"/>
    <col min="9235" max="9235" width="4.33203125" customWidth="1"/>
    <col min="9236" max="9236" width="2" customWidth="1"/>
    <col min="9237" max="9238" width="2.6640625" customWidth="1"/>
    <col min="9239" max="9240" width="2.109375" customWidth="1"/>
    <col min="9241" max="9241" width="4.6640625" customWidth="1"/>
    <col min="9242" max="9242" width="1.6640625" customWidth="1"/>
    <col min="9243" max="9243" width="6.6640625" customWidth="1"/>
    <col min="9244" max="9245" width="1.88671875" customWidth="1"/>
    <col min="9246" max="9246" width="3" customWidth="1"/>
    <col min="9247" max="9247" width="4" customWidth="1"/>
    <col min="9248" max="9248" width="4.33203125" customWidth="1"/>
    <col min="9249" max="9249" width="1.109375" customWidth="1"/>
    <col min="9250" max="9251" width="4.33203125" customWidth="1"/>
    <col min="9252" max="9252" width="5" customWidth="1"/>
    <col min="9253" max="9253" width="1.33203125" customWidth="1"/>
    <col min="9473" max="9473" width="0.6640625" customWidth="1"/>
    <col min="9474" max="9474" width="3.88671875" customWidth="1"/>
    <col min="9475" max="9475" width="4" customWidth="1"/>
    <col min="9476" max="9476" width="2.44140625" customWidth="1"/>
    <col min="9477" max="9477" width="1.6640625" customWidth="1"/>
    <col min="9478" max="9478" width="11" customWidth="1"/>
    <col min="9479" max="9479" width="2.5546875" customWidth="1"/>
    <col min="9480" max="9480" width="3" customWidth="1"/>
    <col min="9481" max="9482" width="3.109375" customWidth="1"/>
    <col min="9483" max="9483" width="2.44140625" customWidth="1"/>
    <col min="9484" max="9484" width="2.88671875" customWidth="1"/>
    <col min="9485" max="9485" width="0.6640625" customWidth="1"/>
    <col min="9486" max="9486" width="5.33203125" customWidth="1"/>
    <col min="9487" max="9487" width="10.5546875" customWidth="1"/>
    <col min="9488" max="9488" width="5.109375" customWidth="1"/>
    <col min="9489" max="9489" width="7.44140625" customWidth="1"/>
    <col min="9490" max="9490" width="6.6640625" customWidth="1"/>
    <col min="9491" max="9491" width="4.33203125" customWidth="1"/>
    <col min="9492" max="9492" width="2" customWidth="1"/>
    <col min="9493" max="9494" width="2.6640625" customWidth="1"/>
    <col min="9495" max="9496" width="2.109375" customWidth="1"/>
    <col min="9497" max="9497" width="4.6640625" customWidth="1"/>
    <col min="9498" max="9498" width="1.6640625" customWidth="1"/>
    <col min="9499" max="9499" width="6.6640625" customWidth="1"/>
    <col min="9500" max="9501" width="1.88671875" customWidth="1"/>
    <col min="9502" max="9502" width="3" customWidth="1"/>
    <col min="9503" max="9503" width="4" customWidth="1"/>
    <col min="9504" max="9504" width="4.33203125" customWidth="1"/>
    <col min="9505" max="9505" width="1.109375" customWidth="1"/>
    <col min="9506" max="9507" width="4.33203125" customWidth="1"/>
    <col min="9508" max="9508" width="5" customWidth="1"/>
    <col min="9509" max="9509" width="1.33203125" customWidth="1"/>
    <col min="9729" max="9729" width="0.6640625" customWidth="1"/>
    <col min="9730" max="9730" width="3.88671875" customWidth="1"/>
    <col min="9731" max="9731" width="4" customWidth="1"/>
    <col min="9732" max="9732" width="2.44140625" customWidth="1"/>
    <col min="9733" max="9733" width="1.6640625" customWidth="1"/>
    <col min="9734" max="9734" width="11" customWidth="1"/>
    <col min="9735" max="9735" width="2.5546875" customWidth="1"/>
    <col min="9736" max="9736" width="3" customWidth="1"/>
    <col min="9737" max="9738" width="3.109375" customWidth="1"/>
    <col min="9739" max="9739" width="2.44140625" customWidth="1"/>
    <col min="9740" max="9740" width="2.88671875" customWidth="1"/>
    <col min="9741" max="9741" width="0.6640625" customWidth="1"/>
    <col min="9742" max="9742" width="5.33203125" customWidth="1"/>
    <col min="9743" max="9743" width="10.5546875" customWidth="1"/>
    <col min="9744" max="9744" width="5.109375" customWidth="1"/>
    <col min="9745" max="9745" width="7.44140625" customWidth="1"/>
    <col min="9746" max="9746" width="6.6640625" customWidth="1"/>
    <col min="9747" max="9747" width="4.33203125" customWidth="1"/>
    <col min="9748" max="9748" width="2" customWidth="1"/>
    <col min="9749" max="9750" width="2.6640625" customWidth="1"/>
    <col min="9751" max="9752" width="2.109375" customWidth="1"/>
    <col min="9753" max="9753" width="4.6640625" customWidth="1"/>
    <col min="9754" max="9754" width="1.6640625" customWidth="1"/>
    <col min="9755" max="9755" width="6.6640625" customWidth="1"/>
    <col min="9756" max="9757" width="1.88671875" customWidth="1"/>
    <col min="9758" max="9758" width="3" customWidth="1"/>
    <col min="9759" max="9759" width="4" customWidth="1"/>
    <col min="9760" max="9760" width="4.33203125" customWidth="1"/>
    <col min="9761" max="9761" width="1.109375" customWidth="1"/>
    <col min="9762" max="9763" width="4.33203125" customWidth="1"/>
    <col min="9764" max="9764" width="5" customWidth="1"/>
    <col min="9765" max="9765" width="1.33203125" customWidth="1"/>
    <col min="9985" max="9985" width="0.6640625" customWidth="1"/>
    <col min="9986" max="9986" width="3.88671875" customWidth="1"/>
    <col min="9987" max="9987" width="4" customWidth="1"/>
    <col min="9988" max="9988" width="2.44140625" customWidth="1"/>
    <col min="9989" max="9989" width="1.6640625" customWidth="1"/>
    <col min="9990" max="9990" width="11" customWidth="1"/>
    <col min="9991" max="9991" width="2.5546875" customWidth="1"/>
    <col min="9992" max="9992" width="3" customWidth="1"/>
    <col min="9993" max="9994" width="3.109375" customWidth="1"/>
    <col min="9995" max="9995" width="2.44140625" customWidth="1"/>
    <col min="9996" max="9996" width="2.88671875" customWidth="1"/>
    <col min="9997" max="9997" width="0.6640625" customWidth="1"/>
    <col min="9998" max="9998" width="5.33203125" customWidth="1"/>
    <col min="9999" max="9999" width="10.5546875" customWidth="1"/>
    <col min="10000" max="10000" width="5.109375" customWidth="1"/>
    <col min="10001" max="10001" width="7.44140625" customWidth="1"/>
    <col min="10002" max="10002" width="6.6640625" customWidth="1"/>
    <col min="10003" max="10003" width="4.33203125" customWidth="1"/>
    <col min="10004" max="10004" width="2" customWidth="1"/>
    <col min="10005" max="10006" width="2.6640625" customWidth="1"/>
    <col min="10007" max="10008" width="2.109375" customWidth="1"/>
    <col min="10009" max="10009" width="4.6640625" customWidth="1"/>
    <col min="10010" max="10010" width="1.6640625" customWidth="1"/>
    <col min="10011" max="10011" width="6.6640625" customWidth="1"/>
    <col min="10012" max="10013" width="1.88671875" customWidth="1"/>
    <col min="10014" max="10014" width="3" customWidth="1"/>
    <col min="10015" max="10015" width="4" customWidth="1"/>
    <col min="10016" max="10016" width="4.33203125" customWidth="1"/>
    <col min="10017" max="10017" width="1.109375" customWidth="1"/>
    <col min="10018" max="10019" width="4.33203125" customWidth="1"/>
    <col min="10020" max="10020" width="5" customWidth="1"/>
    <col min="10021" max="10021" width="1.33203125" customWidth="1"/>
    <col min="10241" max="10241" width="0.6640625" customWidth="1"/>
    <col min="10242" max="10242" width="3.88671875" customWidth="1"/>
    <col min="10243" max="10243" width="4" customWidth="1"/>
    <col min="10244" max="10244" width="2.44140625" customWidth="1"/>
    <col min="10245" max="10245" width="1.6640625" customWidth="1"/>
    <col min="10246" max="10246" width="11" customWidth="1"/>
    <col min="10247" max="10247" width="2.5546875" customWidth="1"/>
    <col min="10248" max="10248" width="3" customWidth="1"/>
    <col min="10249" max="10250" width="3.109375" customWidth="1"/>
    <col min="10251" max="10251" width="2.44140625" customWidth="1"/>
    <col min="10252" max="10252" width="2.88671875" customWidth="1"/>
    <col min="10253" max="10253" width="0.6640625" customWidth="1"/>
    <col min="10254" max="10254" width="5.33203125" customWidth="1"/>
    <col min="10255" max="10255" width="10.5546875" customWidth="1"/>
    <col min="10256" max="10256" width="5.109375" customWidth="1"/>
    <col min="10257" max="10257" width="7.44140625" customWidth="1"/>
    <col min="10258" max="10258" width="6.6640625" customWidth="1"/>
    <col min="10259" max="10259" width="4.33203125" customWidth="1"/>
    <col min="10260" max="10260" width="2" customWidth="1"/>
    <col min="10261" max="10262" width="2.6640625" customWidth="1"/>
    <col min="10263" max="10264" width="2.109375" customWidth="1"/>
    <col min="10265" max="10265" width="4.6640625" customWidth="1"/>
    <col min="10266" max="10266" width="1.6640625" customWidth="1"/>
    <col min="10267" max="10267" width="6.6640625" customWidth="1"/>
    <col min="10268" max="10269" width="1.88671875" customWidth="1"/>
    <col min="10270" max="10270" width="3" customWidth="1"/>
    <col min="10271" max="10271" width="4" customWidth="1"/>
    <col min="10272" max="10272" width="4.33203125" customWidth="1"/>
    <col min="10273" max="10273" width="1.109375" customWidth="1"/>
    <col min="10274" max="10275" width="4.33203125" customWidth="1"/>
    <col min="10276" max="10276" width="5" customWidth="1"/>
    <col min="10277" max="10277" width="1.33203125" customWidth="1"/>
    <col min="10497" max="10497" width="0.6640625" customWidth="1"/>
    <col min="10498" max="10498" width="3.88671875" customWidth="1"/>
    <col min="10499" max="10499" width="4" customWidth="1"/>
    <col min="10500" max="10500" width="2.44140625" customWidth="1"/>
    <col min="10501" max="10501" width="1.6640625" customWidth="1"/>
    <col min="10502" max="10502" width="11" customWidth="1"/>
    <col min="10503" max="10503" width="2.5546875" customWidth="1"/>
    <col min="10504" max="10504" width="3" customWidth="1"/>
    <col min="10505" max="10506" width="3.109375" customWidth="1"/>
    <col min="10507" max="10507" width="2.44140625" customWidth="1"/>
    <col min="10508" max="10508" width="2.88671875" customWidth="1"/>
    <col min="10509" max="10509" width="0.6640625" customWidth="1"/>
    <col min="10510" max="10510" width="5.33203125" customWidth="1"/>
    <col min="10511" max="10511" width="10.5546875" customWidth="1"/>
    <col min="10512" max="10512" width="5.109375" customWidth="1"/>
    <col min="10513" max="10513" width="7.44140625" customWidth="1"/>
    <col min="10514" max="10514" width="6.6640625" customWidth="1"/>
    <col min="10515" max="10515" width="4.33203125" customWidth="1"/>
    <col min="10516" max="10516" width="2" customWidth="1"/>
    <col min="10517" max="10518" width="2.6640625" customWidth="1"/>
    <col min="10519" max="10520" width="2.109375" customWidth="1"/>
    <col min="10521" max="10521" width="4.6640625" customWidth="1"/>
    <col min="10522" max="10522" width="1.6640625" customWidth="1"/>
    <col min="10523" max="10523" width="6.6640625" customWidth="1"/>
    <col min="10524" max="10525" width="1.88671875" customWidth="1"/>
    <col min="10526" max="10526" width="3" customWidth="1"/>
    <col min="10527" max="10527" width="4" customWidth="1"/>
    <col min="10528" max="10528" width="4.33203125" customWidth="1"/>
    <col min="10529" max="10529" width="1.109375" customWidth="1"/>
    <col min="10530" max="10531" width="4.33203125" customWidth="1"/>
    <col min="10532" max="10532" width="5" customWidth="1"/>
    <col min="10533" max="10533" width="1.33203125" customWidth="1"/>
    <col min="10753" max="10753" width="0.6640625" customWidth="1"/>
    <col min="10754" max="10754" width="3.88671875" customWidth="1"/>
    <col min="10755" max="10755" width="4" customWidth="1"/>
    <col min="10756" max="10756" width="2.44140625" customWidth="1"/>
    <col min="10757" max="10757" width="1.6640625" customWidth="1"/>
    <col min="10758" max="10758" width="11" customWidth="1"/>
    <col min="10759" max="10759" width="2.5546875" customWidth="1"/>
    <col min="10760" max="10760" width="3" customWidth="1"/>
    <col min="10761" max="10762" width="3.109375" customWidth="1"/>
    <col min="10763" max="10763" width="2.44140625" customWidth="1"/>
    <col min="10764" max="10764" width="2.88671875" customWidth="1"/>
    <col min="10765" max="10765" width="0.6640625" customWidth="1"/>
    <col min="10766" max="10766" width="5.33203125" customWidth="1"/>
    <col min="10767" max="10767" width="10.5546875" customWidth="1"/>
    <col min="10768" max="10768" width="5.109375" customWidth="1"/>
    <col min="10769" max="10769" width="7.44140625" customWidth="1"/>
    <col min="10770" max="10770" width="6.6640625" customWidth="1"/>
    <col min="10771" max="10771" width="4.33203125" customWidth="1"/>
    <col min="10772" max="10772" width="2" customWidth="1"/>
    <col min="10773" max="10774" width="2.6640625" customWidth="1"/>
    <col min="10775" max="10776" width="2.109375" customWidth="1"/>
    <col min="10777" max="10777" width="4.6640625" customWidth="1"/>
    <col min="10778" max="10778" width="1.6640625" customWidth="1"/>
    <col min="10779" max="10779" width="6.6640625" customWidth="1"/>
    <col min="10780" max="10781" width="1.88671875" customWidth="1"/>
    <col min="10782" max="10782" width="3" customWidth="1"/>
    <col min="10783" max="10783" width="4" customWidth="1"/>
    <col min="10784" max="10784" width="4.33203125" customWidth="1"/>
    <col min="10785" max="10785" width="1.109375" customWidth="1"/>
    <col min="10786" max="10787" width="4.33203125" customWidth="1"/>
    <col min="10788" max="10788" width="5" customWidth="1"/>
    <col min="10789" max="10789" width="1.33203125" customWidth="1"/>
    <col min="11009" max="11009" width="0.6640625" customWidth="1"/>
    <col min="11010" max="11010" width="3.88671875" customWidth="1"/>
    <col min="11011" max="11011" width="4" customWidth="1"/>
    <col min="11012" max="11012" width="2.44140625" customWidth="1"/>
    <col min="11013" max="11013" width="1.6640625" customWidth="1"/>
    <col min="11014" max="11014" width="11" customWidth="1"/>
    <col min="11015" max="11015" width="2.5546875" customWidth="1"/>
    <col min="11016" max="11016" width="3" customWidth="1"/>
    <col min="11017" max="11018" width="3.109375" customWidth="1"/>
    <col min="11019" max="11019" width="2.44140625" customWidth="1"/>
    <col min="11020" max="11020" width="2.88671875" customWidth="1"/>
    <col min="11021" max="11021" width="0.6640625" customWidth="1"/>
    <col min="11022" max="11022" width="5.33203125" customWidth="1"/>
    <col min="11023" max="11023" width="10.5546875" customWidth="1"/>
    <col min="11024" max="11024" width="5.109375" customWidth="1"/>
    <col min="11025" max="11025" width="7.44140625" customWidth="1"/>
    <col min="11026" max="11026" width="6.6640625" customWidth="1"/>
    <col min="11027" max="11027" width="4.33203125" customWidth="1"/>
    <col min="11028" max="11028" width="2" customWidth="1"/>
    <col min="11029" max="11030" width="2.6640625" customWidth="1"/>
    <col min="11031" max="11032" width="2.109375" customWidth="1"/>
    <col min="11033" max="11033" width="4.6640625" customWidth="1"/>
    <col min="11034" max="11034" width="1.6640625" customWidth="1"/>
    <col min="11035" max="11035" width="6.6640625" customWidth="1"/>
    <col min="11036" max="11037" width="1.88671875" customWidth="1"/>
    <col min="11038" max="11038" width="3" customWidth="1"/>
    <col min="11039" max="11039" width="4" customWidth="1"/>
    <col min="11040" max="11040" width="4.33203125" customWidth="1"/>
    <col min="11041" max="11041" width="1.109375" customWidth="1"/>
    <col min="11042" max="11043" width="4.33203125" customWidth="1"/>
    <col min="11044" max="11044" width="5" customWidth="1"/>
    <col min="11045" max="11045" width="1.33203125" customWidth="1"/>
    <col min="11265" max="11265" width="0.6640625" customWidth="1"/>
    <col min="11266" max="11266" width="3.88671875" customWidth="1"/>
    <col min="11267" max="11267" width="4" customWidth="1"/>
    <col min="11268" max="11268" width="2.44140625" customWidth="1"/>
    <col min="11269" max="11269" width="1.6640625" customWidth="1"/>
    <col min="11270" max="11270" width="11" customWidth="1"/>
    <col min="11271" max="11271" width="2.5546875" customWidth="1"/>
    <col min="11272" max="11272" width="3" customWidth="1"/>
    <col min="11273" max="11274" width="3.109375" customWidth="1"/>
    <col min="11275" max="11275" width="2.44140625" customWidth="1"/>
    <col min="11276" max="11276" width="2.88671875" customWidth="1"/>
    <col min="11277" max="11277" width="0.6640625" customWidth="1"/>
    <col min="11278" max="11278" width="5.33203125" customWidth="1"/>
    <col min="11279" max="11279" width="10.5546875" customWidth="1"/>
    <col min="11280" max="11280" width="5.109375" customWidth="1"/>
    <col min="11281" max="11281" width="7.44140625" customWidth="1"/>
    <col min="11282" max="11282" width="6.6640625" customWidth="1"/>
    <col min="11283" max="11283" width="4.33203125" customWidth="1"/>
    <col min="11284" max="11284" width="2" customWidth="1"/>
    <col min="11285" max="11286" width="2.6640625" customWidth="1"/>
    <col min="11287" max="11288" width="2.109375" customWidth="1"/>
    <col min="11289" max="11289" width="4.6640625" customWidth="1"/>
    <col min="11290" max="11290" width="1.6640625" customWidth="1"/>
    <col min="11291" max="11291" width="6.6640625" customWidth="1"/>
    <col min="11292" max="11293" width="1.88671875" customWidth="1"/>
    <col min="11294" max="11294" width="3" customWidth="1"/>
    <col min="11295" max="11295" width="4" customWidth="1"/>
    <col min="11296" max="11296" width="4.33203125" customWidth="1"/>
    <col min="11297" max="11297" width="1.109375" customWidth="1"/>
    <col min="11298" max="11299" width="4.33203125" customWidth="1"/>
    <col min="11300" max="11300" width="5" customWidth="1"/>
    <col min="11301" max="11301" width="1.33203125" customWidth="1"/>
    <col min="11521" max="11521" width="0.6640625" customWidth="1"/>
    <col min="11522" max="11522" width="3.88671875" customWidth="1"/>
    <col min="11523" max="11523" width="4" customWidth="1"/>
    <col min="11524" max="11524" width="2.44140625" customWidth="1"/>
    <col min="11525" max="11525" width="1.6640625" customWidth="1"/>
    <col min="11526" max="11526" width="11" customWidth="1"/>
    <col min="11527" max="11527" width="2.5546875" customWidth="1"/>
    <col min="11528" max="11528" width="3" customWidth="1"/>
    <col min="11529" max="11530" width="3.109375" customWidth="1"/>
    <col min="11531" max="11531" width="2.44140625" customWidth="1"/>
    <col min="11532" max="11532" width="2.88671875" customWidth="1"/>
    <col min="11533" max="11533" width="0.6640625" customWidth="1"/>
    <col min="11534" max="11534" width="5.33203125" customWidth="1"/>
    <col min="11535" max="11535" width="10.5546875" customWidth="1"/>
    <col min="11536" max="11536" width="5.109375" customWidth="1"/>
    <col min="11537" max="11537" width="7.44140625" customWidth="1"/>
    <col min="11538" max="11538" width="6.6640625" customWidth="1"/>
    <col min="11539" max="11539" width="4.33203125" customWidth="1"/>
    <col min="11540" max="11540" width="2" customWidth="1"/>
    <col min="11541" max="11542" width="2.6640625" customWidth="1"/>
    <col min="11543" max="11544" width="2.109375" customWidth="1"/>
    <col min="11545" max="11545" width="4.6640625" customWidth="1"/>
    <col min="11546" max="11546" width="1.6640625" customWidth="1"/>
    <col min="11547" max="11547" width="6.6640625" customWidth="1"/>
    <col min="11548" max="11549" width="1.88671875" customWidth="1"/>
    <col min="11550" max="11550" width="3" customWidth="1"/>
    <col min="11551" max="11551" width="4" customWidth="1"/>
    <col min="11552" max="11552" width="4.33203125" customWidth="1"/>
    <col min="11553" max="11553" width="1.109375" customWidth="1"/>
    <col min="11554" max="11555" width="4.33203125" customWidth="1"/>
    <col min="11556" max="11556" width="5" customWidth="1"/>
    <col min="11557" max="11557" width="1.33203125" customWidth="1"/>
    <col min="11777" max="11777" width="0.6640625" customWidth="1"/>
    <col min="11778" max="11778" width="3.88671875" customWidth="1"/>
    <col min="11779" max="11779" width="4" customWidth="1"/>
    <col min="11780" max="11780" width="2.44140625" customWidth="1"/>
    <col min="11781" max="11781" width="1.6640625" customWidth="1"/>
    <col min="11782" max="11782" width="11" customWidth="1"/>
    <col min="11783" max="11783" width="2.5546875" customWidth="1"/>
    <col min="11784" max="11784" width="3" customWidth="1"/>
    <col min="11785" max="11786" width="3.109375" customWidth="1"/>
    <col min="11787" max="11787" width="2.44140625" customWidth="1"/>
    <col min="11788" max="11788" width="2.88671875" customWidth="1"/>
    <col min="11789" max="11789" width="0.6640625" customWidth="1"/>
    <col min="11790" max="11790" width="5.33203125" customWidth="1"/>
    <col min="11791" max="11791" width="10.5546875" customWidth="1"/>
    <col min="11792" max="11792" width="5.109375" customWidth="1"/>
    <col min="11793" max="11793" width="7.44140625" customWidth="1"/>
    <col min="11794" max="11794" width="6.6640625" customWidth="1"/>
    <col min="11795" max="11795" width="4.33203125" customWidth="1"/>
    <col min="11796" max="11796" width="2" customWidth="1"/>
    <col min="11797" max="11798" width="2.6640625" customWidth="1"/>
    <col min="11799" max="11800" width="2.109375" customWidth="1"/>
    <col min="11801" max="11801" width="4.6640625" customWidth="1"/>
    <col min="11802" max="11802" width="1.6640625" customWidth="1"/>
    <col min="11803" max="11803" width="6.6640625" customWidth="1"/>
    <col min="11804" max="11805" width="1.88671875" customWidth="1"/>
    <col min="11806" max="11806" width="3" customWidth="1"/>
    <col min="11807" max="11807" width="4" customWidth="1"/>
    <col min="11808" max="11808" width="4.33203125" customWidth="1"/>
    <col min="11809" max="11809" width="1.109375" customWidth="1"/>
    <col min="11810" max="11811" width="4.33203125" customWidth="1"/>
    <col min="11812" max="11812" width="5" customWidth="1"/>
    <col min="11813" max="11813" width="1.33203125" customWidth="1"/>
    <col min="12033" max="12033" width="0.6640625" customWidth="1"/>
    <col min="12034" max="12034" width="3.88671875" customWidth="1"/>
    <col min="12035" max="12035" width="4" customWidth="1"/>
    <col min="12036" max="12036" width="2.44140625" customWidth="1"/>
    <col min="12037" max="12037" width="1.6640625" customWidth="1"/>
    <col min="12038" max="12038" width="11" customWidth="1"/>
    <col min="12039" max="12039" width="2.5546875" customWidth="1"/>
    <col min="12040" max="12040" width="3" customWidth="1"/>
    <col min="12041" max="12042" width="3.109375" customWidth="1"/>
    <col min="12043" max="12043" width="2.44140625" customWidth="1"/>
    <col min="12044" max="12044" width="2.88671875" customWidth="1"/>
    <col min="12045" max="12045" width="0.6640625" customWidth="1"/>
    <col min="12046" max="12046" width="5.33203125" customWidth="1"/>
    <col min="12047" max="12047" width="10.5546875" customWidth="1"/>
    <col min="12048" max="12048" width="5.109375" customWidth="1"/>
    <col min="12049" max="12049" width="7.44140625" customWidth="1"/>
    <col min="12050" max="12050" width="6.6640625" customWidth="1"/>
    <col min="12051" max="12051" width="4.33203125" customWidth="1"/>
    <col min="12052" max="12052" width="2" customWidth="1"/>
    <col min="12053" max="12054" width="2.6640625" customWidth="1"/>
    <col min="12055" max="12056" width="2.109375" customWidth="1"/>
    <col min="12057" max="12057" width="4.6640625" customWidth="1"/>
    <col min="12058" max="12058" width="1.6640625" customWidth="1"/>
    <col min="12059" max="12059" width="6.6640625" customWidth="1"/>
    <col min="12060" max="12061" width="1.88671875" customWidth="1"/>
    <col min="12062" max="12062" width="3" customWidth="1"/>
    <col min="12063" max="12063" width="4" customWidth="1"/>
    <col min="12064" max="12064" width="4.33203125" customWidth="1"/>
    <col min="12065" max="12065" width="1.109375" customWidth="1"/>
    <col min="12066" max="12067" width="4.33203125" customWidth="1"/>
    <col min="12068" max="12068" width="5" customWidth="1"/>
    <col min="12069" max="12069" width="1.33203125" customWidth="1"/>
    <col min="12289" max="12289" width="0.6640625" customWidth="1"/>
    <col min="12290" max="12290" width="3.88671875" customWidth="1"/>
    <col min="12291" max="12291" width="4" customWidth="1"/>
    <col min="12292" max="12292" width="2.44140625" customWidth="1"/>
    <col min="12293" max="12293" width="1.6640625" customWidth="1"/>
    <col min="12294" max="12294" width="11" customWidth="1"/>
    <col min="12295" max="12295" width="2.5546875" customWidth="1"/>
    <col min="12296" max="12296" width="3" customWidth="1"/>
    <col min="12297" max="12298" width="3.109375" customWidth="1"/>
    <col min="12299" max="12299" width="2.44140625" customWidth="1"/>
    <col min="12300" max="12300" width="2.88671875" customWidth="1"/>
    <col min="12301" max="12301" width="0.6640625" customWidth="1"/>
    <col min="12302" max="12302" width="5.33203125" customWidth="1"/>
    <col min="12303" max="12303" width="10.5546875" customWidth="1"/>
    <col min="12304" max="12304" width="5.109375" customWidth="1"/>
    <col min="12305" max="12305" width="7.44140625" customWidth="1"/>
    <col min="12306" max="12306" width="6.6640625" customWidth="1"/>
    <col min="12307" max="12307" width="4.33203125" customWidth="1"/>
    <col min="12308" max="12308" width="2" customWidth="1"/>
    <col min="12309" max="12310" width="2.6640625" customWidth="1"/>
    <col min="12311" max="12312" width="2.109375" customWidth="1"/>
    <col min="12313" max="12313" width="4.6640625" customWidth="1"/>
    <col min="12314" max="12314" width="1.6640625" customWidth="1"/>
    <col min="12315" max="12315" width="6.6640625" customWidth="1"/>
    <col min="12316" max="12317" width="1.88671875" customWidth="1"/>
    <col min="12318" max="12318" width="3" customWidth="1"/>
    <col min="12319" max="12319" width="4" customWidth="1"/>
    <col min="12320" max="12320" width="4.33203125" customWidth="1"/>
    <col min="12321" max="12321" width="1.109375" customWidth="1"/>
    <col min="12322" max="12323" width="4.33203125" customWidth="1"/>
    <col min="12324" max="12324" width="5" customWidth="1"/>
    <col min="12325" max="12325" width="1.33203125" customWidth="1"/>
    <col min="12545" max="12545" width="0.6640625" customWidth="1"/>
    <col min="12546" max="12546" width="3.88671875" customWidth="1"/>
    <col min="12547" max="12547" width="4" customWidth="1"/>
    <col min="12548" max="12548" width="2.44140625" customWidth="1"/>
    <col min="12549" max="12549" width="1.6640625" customWidth="1"/>
    <col min="12550" max="12550" width="11" customWidth="1"/>
    <col min="12551" max="12551" width="2.5546875" customWidth="1"/>
    <col min="12552" max="12552" width="3" customWidth="1"/>
    <col min="12553" max="12554" width="3.109375" customWidth="1"/>
    <col min="12555" max="12555" width="2.44140625" customWidth="1"/>
    <col min="12556" max="12556" width="2.88671875" customWidth="1"/>
    <col min="12557" max="12557" width="0.6640625" customWidth="1"/>
    <col min="12558" max="12558" width="5.33203125" customWidth="1"/>
    <col min="12559" max="12559" width="10.5546875" customWidth="1"/>
    <col min="12560" max="12560" width="5.109375" customWidth="1"/>
    <col min="12561" max="12561" width="7.44140625" customWidth="1"/>
    <col min="12562" max="12562" width="6.6640625" customWidth="1"/>
    <col min="12563" max="12563" width="4.33203125" customWidth="1"/>
    <col min="12564" max="12564" width="2" customWidth="1"/>
    <col min="12565" max="12566" width="2.6640625" customWidth="1"/>
    <col min="12567" max="12568" width="2.109375" customWidth="1"/>
    <col min="12569" max="12569" width="4.6640625" customWidth="1"/>
    <col min="12570" max="12570" width="1.6640625" customWidth="1"/>
    <col min="12571" max="12571" width="6.6640625" customWidth="1"/>
    <col min="12572" max="12573" width="1.88671875" customWidth="1"/>
    <col min="12574" max="12574" width="3" customWidth="1"/>
    <col min="12575" max="12575" width="4" customWidth="1"/>
    <col min="12576" max="12576" width="4.33203125" customWidth="1"/>
    <col min="12577" max="12577" width="1.109375" customWidth="1"/>
    <col min="12578" max="12579" width="4.33203125" customWidth="1"/>
    <col min="12580" max="12580" width="5" customWidth="1"/>
    <col min="12581" max="12581" width="1.33203125" customWidth="1"/>
    <col min="12801" max="12801" width="0.6640625" customWidth="1"/>
    <col min="12802" max="12802" width="3.88671875" customWidth="1"/>
    <col min="12803" max="12803" width="4" customWidth="1"/>
    <col min="12804" max="12804" width="2.44140625" customWidth="1"/>
    <col min="12805" max="12805" width="1.6640625" customWidth="1"/>
    <col min="12806" max="12806" width="11" customWidth="1"/>
    <col min="12807" max="12807" width="2.5546875" customWidth="1"/>
    <col min="12808" max="12808" width="3" customWidth="1"/>
    <col min="12809" max="12810" width="3.109375" customWidth="1"/>
    <col min="12811" max="12811" width="2.44140625" customWidth="1"/>
    <col min="12812" max="12812" width="2.88671875" customWidth="1"/>
    <col min="12813" max="12813" width="0.6640625" customWidth="1"/>
    <col min="12814" max="12814" width="5.33203125" customWidth="1"/>
    <col min="12815" max="12815" width="10.5546875" customWidth="1"/>
    <col min="12816" max="12816" width="5.109375" customWidth="1"/>
    <col min="12817" max="12817" width="7.44140625" customWidth="1"/>
    <col min="12818" max="12818" width="6.6640625" customWidth="1"/>
    <col min="12819" max="12819" width="4.33203125" customWidth="1"/>
    <col min="12820" max="12820" width="2" customWidth="1"/>
    <col min="12821" max="12822" width="2.6640625" customWidth="1"/>
    <col min="12823" max="12824" width="2.109375" customWidth="1"/>
    <col min="12825" max="12825" width="4.6640625" customWidth="1"/>
    <col min="12826" max="12826" width="1.6640625" customWidth="1"/>
    <col min="12827" max="12827" width="6.6640625" customWidth="1"/>
    <col min="12828" max="12829" width="1.88671875" customWidth="1"/>
    <col min="12830" max="12830" width="3" customWidth="1"/>
    <col min="12831" max="12831" width="4" customWidth="1"/>
    <col min="12832" max="12832" width="4.33203125" customWidth="1"/>
    <col min="12833" max="12833" width="1.109375" customWidth="1"/>
    <col min="12834" max="12835" width="4.33203125" customWidth="1"/>
    <col min="12836" max="12836" width="5" customWidth="1"/>
    <col min="12837" max="12837" width="1.33203125" customWidth="1"/>
    <col min="13057" max="13057" width="0.6640625" customWidth="1"/>
    <col min="13058" max="13058" width="3.88671875" customWidth="1"/>
    <col min="13059" max="13059" width="4" customWidth="1"/>
    <col min="13060" max="13060" width="2.44140625" customWidth="1"/>
    <col min="13061" max="13061" width="1.6640625" customWidth="1"/>
    <col min="13062" max="13062" width="11" customWidth="1"/>
    <col min="13063" max="13063" width="2.5546875" customWidth="1"/>
    <col min="13064" max="13064" width="3" customWidth="1"/>
    <col min="13065" max="13066" width="3.109375" customWidth="1"/>
    <col min="13067" max="13067" width="2.44140625" customWidth="1"/>
    <col min="13068" max="13068" width="2.88671875" customWidth="1"/>
    <col min="13069" max="13069" width="0.6640625" customWidth="1"/>
    <col min="13070" max="13070" width="5.33203125" customWidth="1"/>
    <col min="13071" max="13071" width="10.5546875" customWidth="1"/>
    <col min="13072" max="13072" width="5.109375" customWidth="1"/>
    <col min="13073" max="13073" width="7.44140625" customWidth="1"/>
    <col min="13074" max="13074" width="6.6640625" customWidth="1"/>
    <col min="13075" max="13075" width="4.33203125" customWidth="1"/>
    <col min="13076" max="13076" width="2" customWidth="1"/>
    <col min="13077" max="13078" width="2.6640625" customWidth="1"/>
    <col min="13079" max="13080" width="2.109375" customWidth="1"/>
    <col min="13081" max="13081" width="4.6640625" customWidth="1"/>
    <col min="13082" max="13082" width="1.6640625" customWidth="1"/>
    <col min="13083" max="13083" width="6.6640625" customWidth="1"/>
    <col min="13084" max="13085" width="1.88671875" customWidth="1"/>
    <col min="13086" max="13086" width="3" customWidth="1"/>
    <col min="13087" max="13087" width="4" customWidth="1"/>
    <col min="13088" max="13088" width="4.33203125" customWidth="1"/>
    <col min="13089" max="13089" width="1.109375" customWidth="1"/>
    <col min="13090" max="13091" width="4.33203125" customWidth="1"/>
    <col min="13092" max="13092" width="5" customWidth="1"/>
    <col min="13093" max="13093" width="1.33203125" customWidth="1"/>
    <col min="13313" max="13313" width="0.6640625" customWidth="1"/>
    <col min="13314" max="13314" width="3.88671875" customWidth="1"/>
    <col min="13315" max="13315" width="4" customWidth="1"/>
    <col min="13316" max="13316" width="2.44140625" customWidth="1"/>
    <col min="13317" max="13317" width="1.6640625" customWidth="1"/>
    <col min="13318" max="13318" width="11" customWidth="1"/>
    <col min="13319" max="13319" width="2.5546875" customWidth="1"/>
    <col min="13320" max="13320" width="3" customWidth="1"/>
    <col min="13321" max="13322" width="3.109375" customWidth="1"/>
    <col min="13323" max="13323" width="2.44140625" customWidth="1"/>
    <col min="13324" max="13324" width="2.88671875" customWidth="1"/>
    <col min="13325" max="13325" width="0.6640625" customWidth="1"/>
    <col min="13326" max="13326" width="5.33203125" customWidth="1"/>
    <col min="13327" max="13327" width="10.5546875" customWidth="1"/>
    <col min="13328" max="13328" width="5.109375" customWidth="1"/>
    <col min="13329" max="13329" width="7.44140625" customWidth="1"/>
    <col min="13330" max="13330" width="6.6640625" customWidth="1"/>
    <col min="13331" max="13331" width="4.33203125" customWidth="1"/>
    <col min="13332" max="13332" width="2" customWidth="1"/>
    <col min="13333" max="13334" width="2.6640625" customWidth="1"/>
    <col min="13335" max="13336" width="2.109375" customWidth="1"/>
    <col min="13337" max="13337" width="4.6640625" customWidth="1"/>
    <col min="13338" max="13338" width="1.6640625" customWidth="1"/>
    <col min="13339" max="13339" width="6.6640625" customWidth="1"/>
    <col min="13340" max="13341" width="1.88671875" customWidth="1"/>
    <col min="13342" max="13342" width="3" customWidth="1"/>
    <col min="13343" max="13343" width="4" customWidth="1"/>
    <col min="13344" max="13344" width="4.33203125" customWidth="1"/>
    <col min="13345" max="13345" width="1.109375" customWidth="1"/>
    <col min="13346" max="13347" width="4.33203125" customWidth="1"/>
    <col min="13348" max="13348" width="5" customWidth="1"/>
    <col min="13349" max="13349" width="1.33203125" customWidth="1"/>
    <col min="13569" max="13569" width="0.6640625" customWidth="1"/>
    <col min="13570" max="13570" width="3.88671875" customWidth="1"/>
    <col min="13571" max="13571" width="4" customWidth="1"/>
    <col min="13572" max="13572" width="2.44140625" customWidth="1"/>
    <col min="13573" max="13573" width="1.6640625" customWidth="1"/>
    <col min="13574" max="13574" width="11" customWidth="1"/>
    <col min="13575" max="13575" width="2.5546875" customWidth="1"/>
    <col min="13576" max="13576" width="3" customWidth="1"/>
    <col min="13577" max="13578" width="3.109375" customWidth="1"/>
    <col min="13579" max="13579" width="2.44140625" customWidth="1"/>
    <col min="13580" max="13580" width="2.88671875" customWidth="1"/>
    <col min="13581" max="13581" width="0.6640625" customWidth="1"/>
    <col min="13582" max="13582" width="5.33203125" customWidth="1"/>
    <col min="13583" max="13583" width="10.5546875" customWidth="1"/>
    <col min="13584" max="13584" width="5.109375" customWidth="1"/>
    <col min="13585" max="13585" width="7.44140625" customWidth="1"/>
    <col min="13586" max="13586" width="6.6640625" customWidth="1"/>
    <col min="13587" max="13587" width="4.33203125" customWidth="1"/>
    <col min="13588" max="13588" width="2" customWidth="1"/>
    <col min="13589" max="13590" width="2.6640625" customWidth="1"/>
    <col min="13591" max="13592" width="2.109375" customWidth="1"/>
    <col min="13593" max="13593" width="4.6640625" customWidth="1"/>
    <col min="13594" max="13594" width="1.6640625" customWidth="1"/>
    <col min="13595" max="13595" width="6.6640625" customWidth="1"/>
    <col min="13596" max="13597" width="1.88671875" customWidth="1"/>
    <col min="13598" max="13598" width="3" customWidth="1"/>
    <col min="13599" max="13599" width="4" customWidth="1"/>
    <col min="13600" max="13600" width="4.33203125" customWidth="1"/>
    <col min="13601" max="13601" width="1.109375" customWidth="1"/>
    <col min="13602" max="13603" width="4.33203125" customWidth="1"/>
    <col min="13604" max="13604" width="5" customWidth="1"/>
    <col min="13605" max="13605" width="1.33203125" customWidth="1"/>
    <col min="13825" max="13825" width="0.6640625" customWidth="1"/>
    <col min="13826" max="13826" width="3.88671875" customWidth="1"/>
    <col min="13827" max="13827" width="4" customWidth="1"/>
    <col min="13828" max="13828" width="2.44140625" customWidth="1"/>
    <col min="13829" max="13829" width="1.6640625" customWidth="1"/>
    <col min="13830" max="13830" width="11" customWidth="1"/>
    <col min="13831" max="13831" width="2.5546875" customWidth="1"/>
    <col min="13832" max="13832" width="3" customWidth="1"/>
    <col min="13833" max="13834" width="3.109375" customWidth="1"/>
    <col min="13835" max="13835" width="2.44140625" customWidth="1"/>
    <col min="13836" max="13836" width="2.88671875" customWidth="1"/>
    <col min="13837" max="13837" width="0.6640625" customWidth="1"/>
    <col min="13838" max="13838" width="5.33203125" customWidth="1"/>
    <col min="13839" max="13839" width="10.5546875" customWidth="1"/>
    <col min="13840" max="13840" width="5.109375" customWidth="1"/>
    <col min="13841" max="13841" width="7.44140625" customWidth="1"/>
    <col min="13842" max="13842" width="6.6640625" customWidth="1"/>
    <col min="13843" max="13843" width="4.33203125" customWidth="1"/>
    <col min="13844" max="13844" width="2" customWidth="1"/>
    <col min="13845" max="13846" width="2.6640625" customWidth="1"/>
    <col min="13847" max="13848" width="2.109375" customWidth="1"/>
    <col min="13849" max="13849" width="4.6640625" customWidth="1"/>
    <col min="13850" max="13850" width="1.6640625" customWidth="1"/>
    <col min="13851" max="13851" width="6.6640625" customWidth="1"/>
    <col min="13852" max="13853" width="1.88671875" customWidth="1"/>
    <col min="13854" max="13854" width="3" customWidth="1"/>
    <col min="13855" max="13855" width="4" customWidth="1"/>
    <col min="13856" max="13856" width="4.33203125" customWidth="1"/>
    <col min="13857" max="13857" width="1.109375" customWidth="1"/>
    <col min="13858" max="13859" width="4.33203125" customWidth="1"/>
    <col min="13860" max="13860" width="5" customWidth="1"/>
    <col min="13861" max="13861" width="1.33203125" customWidth="1"/>
    <col min="14081" max="14081" width="0.6640625" customWidth="1"/>
    <col min="14082" max="14082" width="3.88671875" customWidth="1"/>
    <col min="14083" max="14083" width="4" customWidth="1"/>
    <col min="14084" max="14084" width="2.44140625" customWidth="1"/>
    <col min="14085" max="14085" width="1.6640625" customWidth="1"/>
    <col min="14086" max="14086" width="11" customWidth="1"/>
    <col min="14087" max="14087" width="2.5546875" customWidth="1"/>
    <col min="14088" max="14088" width="3" customWidth="1"/>
    <col min="14089" max="14090" width="3.109375" customWidth="1"/>
    <col min="14091" max="14091" width="2.44140625" customWidth="1"/>
    <col min="14092" max="14092" width="2.88671875" customWidth="1"/>
    <col min="14093" max="14093" width="0.6640625" customWidth="1"/>
    <col min="14094" max="14094" width="5.33203125" customWidth="1"/>
    <col min="14095" max="14095" width="10.5546875" customWidth="1"/>
    <col min="14096" max="14096" width="5.109375" customWidth="1"/>
    <col min="14097" max="14097" width="7.44140625" customWidth="1"/>
    <col min="14098" max="14098" width="6.6640625" customWidth="1"/>
    <col min="14099" max="14099" width="4.33203125" customWidth="1"/>
    <col min="14100" max="14100" width="2" customWidth="1"/>
    <col min="14101" max="14102" width="2.6640625" customWidth="1"/>
    <col min="14103" max="14104" width="2.109375" customWidth="1"/>
    <col min="14105" max="14105" width="4.6640625" customWidth="1"/>
    <col min="14106" max="14106" width="1.6640625" customWidth="1"/>
    <col min="14107" max="14107" width="6.6640625" customWidth="1"/>
    <col min="14108" max="14109" width="1.88671875" customWidth="1"/>
    <col min="14110" max="14110" width="3" customWidth="1"/>
    <col min="14111" max="14111" width="4" customWidth="1"/>
    <col min="14112" max="14112" width="4.33203125" customWidth="1"/>
    <col min="14113" max="14113" width="1.109375" customWidth="1"/>
    <col min="14114" max="14115" width="4.33203125" customWidth="1"/>
    <col min="14116" max="14116" width="5" customWidth="1"/>
    <col min="14117" max="14117" width="1.33203125" customWidth="1"/>
    <col min="14337" max="14337" width="0.6640625" customWidth="1"/>
    <col min="14338" max="14338" width="3.88671875" customWidth="1"/>
    <col min="14339" max="14339" width="4" customWidth="1"/>
    <col min="14340" max="14340" width="2.44140625" customWidth="1"/>
    <col min="14341" max="14341" width="1.6640625" customWidth="1"/>
    <col min="14342" max="14342" width="11" customWidth="1"/>
    <col min="14343" max="14343" width="2.5546875" customWidth="1"/>
    <col min="14344" max="14344" width="3" customWidth="1"/>
    <col min="14345" max="14346" width="3.109375" customWidth="1"/>
    <col min="14347" max="14347" width="2.44140625" customWidth="1"/>
    <col min="14348" max="14348" width="2.88671875" customWidth="1"/>
    <col min="14349" max="14349" width="0.6640625" customWidth="1"/>
    <col min="14350" max="14350" width="5.33203125" customWidth="1"/>
    <col min="14351" max="14351" width="10.5546875" customWidth="1"/>
    <col min="14352" max="14352" width="5.109375" customWidth="1"/>
    <col min="14353" max="14353" width="7.44140625" customWidth="1"/>
    <col min="14354" max="14354" width="6.6640625" customWidth="1"/>
    <col min="14355" max="14355" width="4.33203125" customWidth="1"/>
    <col min="14356" max="14356" width="2" customWidth="1"/>
    <col min="14357" max="14358" width="2.6640625" customWidth="1"/>
    <col min="14359" max="14360" width="2.109375" customWidth="1"/>
    <col min="14361" max="14361" width="4.6640625" customWidth="1"/>
    <col min="14362" max="14362" width="1.6640625" customWidth="1"/>
    <col min="14363" max="14363" width="6.6640625" customWidth="1"/>
    <col min="14364" max="14365" width="1.88671875" customWidth="1"/>
    <col min="14366" max="14366" width="3" customWidth="1"/>
    <col min="14367" max="14367" width="4" customWidth="1"/>
    <col min="14368" max="14368" width="4.33203125" customWidth="1"/>
    <col min="14369" max="14369" width="1.109375" customWidth="1"/>
    <col min="14370" max="14371" width="4.33203125" customWidth="1"/>
    <col min="14372" max="14372" width="5" customWidth="1"/>
    <col min="14373" max="14373" width="1.33203125" customWidth="1"/>
    <col min="14593" max="14593" width="0.6640625" customWidth="1"/>
    <col min="14594" max="14594" width="3.88671875" customWidth="1"/>
    <col min="14595" max="14595" width="4" customWidth="1"/>
    <col min="14596" max="14596" width="2.44140625" customWidth="1"/>
    <col min="14597" max="14597" width="1.6640625" customWidth="1"/>
    <col min="14598" max="14598" width="11" customWidth="1"/>
    <col min="14599" max="14599" width="2.5546875" customWidth="1"/>
    <col min="14600" max="14600" width="3" customWidth="1"/>
    <col min="14601" max="14602" width="3.109375" customWidth="1"/>
    <col min="14603" max="14603" width="2.44140625" customWidth="1"/>
    <col min="14604" max="14604" width="2.88671875" customWidth="1"/>
    <col min="14605" max="14605" width="0.6640625" customWidth="1"/>
    <col min="14606" max="14606" width="5.33203125" customWidth="1"/>
    <col min="14607" max="14607" width="10.5546875" customWidth="1"/>
    <col min="14608" max="14608" width="5.109375" customWidth="1"/>
    <col min="14609" max="14609" width="7.44140625" customWidth="1"/>
    <col min="14610" max="14610" width="6.6640625" customWidth="1"/>
    <col min="14611" max="14611" width="4.33203125" customWidth="1"/>
    <col min="14612" max="14612" width="2" customWidth="1"/>
    <col min="14613" max="14614" width="2.6640625" customWidth="1"/>
    <col min="14615" max="14616" width="2.109375" customWidth="1"/>
    <col min="14617" max="14617" width="4.6640625" customWidth="1"/>
    <col min="14618" max="14618" width="1.6640625" customWidth="1"/>
    <col min="14619" max="14619" width="6.6640625" customWidth="1"/>
    <col min="14620" max="14621" width="1.88671875" customWidth="1"/>
    <col min="14622" max="14622" width="3" customWidth="1"/>
    <col min="14623" max="14623" width="4" customWidth="1"/>
    <col min="14624" max="14624" width="4.33203125" customWidth="1"/>
    <col min="14625" max="14625" width="1.109375" customWidth="1"/>
    <col min="14626" max="14627" width="4.33203125" customWidth="1"/>
    <col min="14628" max="14628" width="5" customWidth="1"/>
    <col min="14629" max="14629" width="1.33203125" customWidth="1"/>
    <col min="14849" max="14849" width="0.6640625" customWidth="1"/>
    <col min="14850" max="14850" width="3.88671875" customWidth="1"/>
    <col min="14851" max="14851" width="4" customWidth="1"/>
    <col min="14852" max="14852" width="2.44140625" customWidth="1"/>
    <col min="14853" max="14853" width="1.6640625" customWidth="1"/>
    <col min="14854" max="14854" width="11" customWidth="1"/>
    <col min="14855" max="14855" width="2.5546875" customWidth="1"/>
    <col min="14856" max="14856" width="3" customWidth="1"/>
    <col min="14857" max="14858" width="3.109375" customWidth="1"/>
    <col min="14859" max="14859" width="2.44140625" customWidth="1"/>
    <col min="14860" max="14860" width="2.88671875" customWidth="1"/>
    <col min="14861" max="14861" width="0.6640625" customWidth="1"/>
    <col min="14862" max="14862" width="5.33203125" customWidth="1"/>
    <col min="14863" max="14863" width="10.5546875" customWidth="1"/>
    <col min="14864" max="14864" width="5.109375" customWidth="1"/>
    <col min="14865" max="14865" width="7.44140625" customWidth="1"/>
    <col min="14866" max="14866" width="6.6640625" customWidth="1"/>
    <col min="14867" max="14867" width="4.33203125" customWidth="1"/>
    <col min="14868" max="14868" width="2" customWidth="1"/>
    <col min="14869" max="14870" width="2.6640625" customWidth="1"/>
    <col min="14871" max="14872" width="2.109375" customWidth="1"/>
    <col min="14873" max="14873" width="4.6640625" customWidth="1"/>
    <col min="14874" max="14874" width="1.6640625" customWidth="1"/>
    <col min="14875" max="14875" width="6.6640625" customWidth="1"/>
    <col min="14876" max="14877" width="1.88671875" customWidth="1"/>
    <col min="14878" max="14878" width="3" customWidth="1"/>
    <col min="14879" max="14879" width="4" customWidth="1"/>
    <col min="14880" max="14880" width="4.33203125" customWidth="1"/>
    <col min="14881" max="14881" width="1.109375" customWidth="1"/>
    <col min="14882" max="14883" width="4.33203125" customWidth="1"/>
    <col min="14884" max="14884" width="5" customWidth="1"/>
    <col min="14885" max="14885" width="1.33203125" customWidth="1"/>
    <col min="15105" max="15105" width="0.6640625" customWidth="1"/>
    <col min="15106" max="15106" width="3.88671875" customWidth="1"/>
    <col min="15107" max="15107" width="4" customWidth="1"/>
    <col min="15108" max="15108" width="2.44140625" customWidth="1"/>
    <col min="15109" max="15109" width="1.6640625" customWidth="1"/>
    <col min="15110" max="15110" width="11" customWidth="1"/>
    <col min="15111" max="15111" width="2.5546875" customWidth="1"/>
    <col min="15112" max="15112" width="3" customWidth="1"/>
    <col min="15113" max="15114" width="3.109375" customWidth="1"/>
    <col min="15115" max="15115" width="2.44140625" customWidth="1"/>
    <col min="15116" max="15116" width="2.88671875" customWidth="1"/>
    <col min="15117" max="15117" width="0.6640625" customWidth="1"/>
    <col min="15118" max="15118" width="5.33203125" customWidth="1"/>
    <col min="15119" max="15119" width="10.5546875" customWidth="1"/>
    <col min="15120" max="15120" width="5.109375" customWidth="1"/>
    <col min="15121" max="15121" width="7.44140625" customWidth="1"/>
    <col min="15122" max="15122" width="6.6640625" customWidth="1"/>
    <col min="15123" max="15123" width="4.33203125" customWidth="1"/>
    <col min="15124" max="15124" width="2" customWidth="1"/>
    <col min="15125" max="15126" width="2.6640625" customWidth="1"/>
    <col min="15127" max="15128" width="2.109375" customWidth="1"/>
    <col min="15129" max="15129" width="4.6640625" customWidth="1"/>
    <col min="15130" max="15130" width="1.6640625" customWidth="1"/>
    <col min="15131" max="15131" width="6.6640625" customWidth="1"/>
    <col min="15132" max="15133" width="1.88671875" customWidth="1"/>
    <col min="15134" max="15134" width="3" customWidth="1"/>
    <col min="15135" max="15135" width="4" customWidth="1"/>
    <col min="15136" max="15136" width="4.33203125" customWidth="1"/>
    <col min="15137" max="15137" width="1.109375" customWidth="1"/>
    <col min="15138" max="15139" width="4.33203125" customWidth="1"/>
    <col min="15140" max="15140" width="5" customWidth="1"/>
    <col min="15141" max="15141" width="1.33203125" customWidth="1"/>
    <col min="15361" max="15361" width="0.6640625" customWidth="1"/>
    <col min="15362" max="15362" width="3.88671875" customWidth="1"/>
    <col min="15363" max="15363" width="4" customWidth="1"/>
    <col min="15364" max="15364" width="2.44140625" customWidth="1"/>
    <col min="15365" max="15365" width="1.6640625" customWidth="1"/>
    <col min="15366" max="15366" width="11" customWidth="1"/>
    <col min="15367" max="15367" width="2.5546875" customWidth="1"/>
    <col min="15368" max="15368" width="3" customWidth="1"/>
    <col min="15369" max="15370" width="3.109375" customWidth="1"/>
    <col min="15371" max="15371" width="2.44140625" customWidth="1"/>
    <col min="15372" max="15372" width="2.88671875" customWidth="1"/>
    <col min="15373" max="15373" width="0.6640625" customWidth="1"/>
    <col min="15374" max="15374" width="5.33203125" customWidth="1"/>
    <col min="15375" max="15375" width="10.5546875" customWidth="1"/>
    <col min="15376" max="15376" width="5.109375" customWidth="1"/>
    <col min="15377" max="15377" width="7.44140625" customWidth="1"/>
    <col min="15378" max="15378" width="6.6640625" customWidth="1"/>
    <col min="15379" max="15379" width="4.33203125" customWidth="1"/>
    <col min="15380" max="15380" width="2" customWidth="1"/>
    <col min="15381" max="15382" width="2.6640625" customWidth="1"/>
    <col min="15383" max="15384" width="2.109375" customWidth="1"/>
    <col min="15385" max="15385" width="4.6640625" customWidth="1"/>
    <col min="15386" max="15386" width="1.6640625" customWidth="1"/>
    <col min="15387" max="15387" width="6.6640625" customWidth="1"/>
    <col min="15388" max="15389" width="1.88671875" customWidth="1"/>
    <col min="15390" max="15390" width="3" customWidth="1"/>
    <col min="15391" max="15391" width="4" customWidth="1"/>
    <col min="15392" max="15392" width="4.33203125" customWidth="1"/>
    <col min="15393" max="15393" width="1.109375" customWidth="1"/>
    <col min="15394" max="15395" width="4.33203125" customWidth="1"/>
    <col min="15396" max="15396" width="5" customWidth="1"/>
    <col min="15397" max="15397" width="1.33203125" customWidth="1"/>
    <col min="15617" max="15617" width="0.6640625" customWidth="1"/>
    <col min="15618" max="15618" width="3.88671875" customWidth="1"/>
    <col min="15619" max="15619" width="4" customWidth="1"/>
    <col min="15620" max="15620" width="2.44140625" customWidth="1"/>
    <col min="15621" max="15621" width="1.6640625" customWidth="1"/>
    <col min="15622" max="15622" width="11" customWidth="1"/>
    <col min="15623" max="15623" width="2.5546875" customWidth="1"/>
    <col min="15624" max="15624" width="3" customWidth="1"/>
    <col min="15625" max="15626" width="3.109375" customWidth="1"/>
    <col min="15627" max="15627" width="2.44140625" customWidth="1"/>
    <col min="15628" max="15628" width="2.88671875" customWidth="1"/>
    <col min="15629" max="15629" width="0.6640625" customWidth="1"/>
    <col min="15630" max="15630" width="5.33203125" customWidth="1"/>
    <col min="15631" max="15631" width="10.5546875" customWidth="1"/>
    <col min="15632" max="15632" width="5.109375" customWidth="1"/>
    <col min="15633" max="15633" width="7.44140625" customWidth="1"/>
    <col min="15634" max="15634" width="6.6640625" customWidth="1"/>
    <col min="15635" max="15635" width="4.33203125" customWidth="1"/>
    <col min="15636" max="15636" width="2" customWidth="1"/>
    <col min="15637" max="15638" width="2.6640625" customWidth="1"/>
    <col min="15639" max="15640" width="2.109375" customWidth="1"/>
    <col min="15641" max="15641" width="4.6640625" customWidth="1"/>
    <col min="15642" max="15642" width="1.6640625" customWidth="1"/>
    <col min="15643" max="15643" width="6.6640625" customWidth="1"/>
    <col min="15644" max="15645" width="1.88671875" customWidth="1"/>
    <col min="15646" max="15646" width="3" customWidth="1"/>
    <col min="15647" max="15647" width="4" customWidth="1"/>
    <col min="15648" max="15648" width="4.33203125" customWidth="1"/>
    <col min="15649" max="15649" width="1.109375" customWidth="1"/>
    <col min="15650" max="15651" width="4.33203125" customWidth="1"/>
    <col min="15652" max="15652" width="5" customWidth="1"/>
    <col min="15653" max="15653" width="1.33203125" customWidth="1"/>
    <col min="15873" max="15873" width="0.6640625" customWidth="1"/>
    <col min="15874" max="15874" width="3.88671875" customWidth="1"/>
    <col min="15875" max="15875" width="4" customWidth="1"/>
    <col min="15876" max="15876" width="2.44140625" customWidth="1"/>
    <col min="15877" max="15877" width="1.6640625" customWidth="1"/>
    <col min="15878" max="15878" width="11" customWidth="1"/>
    <col min="15879" max="15879" width="2.5546875" customWidth="1"/>
    <col min="15880" max="15880" width="3" customWidth="1"/>
    <col min="15881" max="15882" width="3.109375" customWidth="1"/>
    <col min="15883" max="15883" width="2.44140625" customWidth="1"/>
    <col min="15884" max="15884" width="2.88671875" customWidth="1"/>
    <col min="15885" max="15885" width="0.6640625" customWidth="1"/>
    <col min="15886" max="15886" width="5.33203125" customWidth="1"/>
    <col min="15887" max="15887" width="10.5546875" customWidth="1"/>
    <col min="15888" max="15888" width="5.109375" customWidth="1"/>
    <col min="15889" max="15889" width="7.44140625" customWidth="1"/>
    <col min="15890" max="15890" width="6.6640625" customWidth="1"/>
    <col min="15891" max="15891" width="4.33203125" customWidth="1"/>
    <col min="15892" max="15892" width="2" customWidth="1"/>
    <col min="15893" max="15894" width="2.6640625" customWidth="1"/>
    <col min="15895" max="15896" width="2.109375" customWidth="1"/>
    <col min="15897" max="15897" width="4.6640625" customWidth="1"/>
    <col min="15898" max="15898" width="1.6640625" customWidth="1"/>
    <col min="15899" max="15899" width="6.6640625" customWidth="1"/>
    <col min="15900" max="15901" width="1.88671875" customWidth="1"/>
    <col min="15902" max="15902" width="3" customWidth="1"/>
    <col min="15903" max="15903" width="4" customWidth="1"/>
    <col min="15904" max="15904" width="4.33203125" customWidth="1"/>
    <col min="15905" max="15905" width="1.109375" customWidth="1"/>
    <col min="15906" max="15907" width="4.33203125" customWidth="1"/>
    <col min="15908" max="15908" width="5" customWidth="1"/>
    <col min="15909" max="15909" width="1.33203125" customWidth="1"/>
    <col min="16129" max="16129" width="0.6640625" customWidth="1"/>
    <col min="16130" max="16130" width="3.88671875" customWidth="1"/>
    <col min="16131" max="16131" width="4" customWidth="1"/>
    <col min="16132" max="16132" width="2.44140625" customWidth="1"/>
    <col min="16133" max="16133" width="1.6640625" customWidth="1"/>
    <col min="16134" max="16134" width="11" customWidth="1"/>
    <col min="16135" max="16135" width="2.5546875" customWidth="1"/>
    <col min="16136" max="16136" width="3" customWidth="1"/>
    <col min="16137" max="16138" width="3.109375" customWidth="1"/>
    <col min="16139" max="16139" width="2.44140625" customWidth="1"/>
    <col min="16140" max="16140" width="2.88671875" customWidth="1"/>
    <col min="16141" max="16141" width="0.6640625" customWidth="1"/>
    <col min="16142" max="16142" width="5.33203125" customWidth="1"/>
    <col min="16143" max="16143" width="10.5546875" customWidth="1"/>
    <col min="16144" max="16144" width="5.109375" customWidth="1"/>
    <col min="16145" max="16145" width="7.44140625" customWidth="1"/>
    <col min="16146" max="16146" width="6.6640625" customWidth="1"/>
    <col min="16147" max="16147" width="4.33203125" customWidth="1"/>
    <col min="16148" max="16148" width="2" customWidth="1"/>
    <col min="16149" max="16150" width="2.6640625" customWidth="1"/>
    <col min="16151" max="16152" width="2.109375" customWidth="1"/>
    <col min="16153" max="16153" width="4.6640625" customWidth="1"/>
    <col min="16154" max="16154" width="1.6640625" customWidth="1"/>
    <col min="16155" max="16155" width="6.6640625" customWidth="1"/>
    <col min="16156" max="16157" width="1.88671875" customWidth="1"/>
    <col min="16158" max="16158" width="3" customWidth="1"/>
    <col min="16159" max="16159" width="4" customWidth="1"/>
    <col min="16160" max="16160" width="4.33203125" customWidth="1"/>
    <col min="16161" max="16161" width="1.109375" customWidth="1"/>
    <col min="16162" max="16163" width="4.33203125" customWidth="1"/>
    <col min="16164" max="16164" width="5" customWidth="1"/>
    <col min="16165" max="16165" width="1.33203125" customWidth="1"/>
  </cols>
  <sheetData>
    <row r="1" spans="1:37" ht="13.5" customHeight="1">
      <c r="A1" s="595"/>
      <c r="B1" s="595"/>
      <c r="C1" s="595"/>
      <c r="D1" s="595"/>
      <c r="E1" s="595"/>
      <c r="F1" s="595"/>
      <c r="G1" s="595"/>
      <c r="H1" s="595"/>
      <c r="I1" s="595"/>
      <c r="J1" s="595"/>
      <c r="K1" s="595"/>
      <c r="L1" s="595"/>
      <c r="M1" s="595"/>
      <c r="N1" s="595"/>
      <c r="O1" s="595"/>
      <c r="P1" s="595"/>
      <c r="Q1" s="812"/>
      <c r="R1" s="812"/>
      <c r="S1" s="812"/>
      <c r="T1" s="595"/>
      <c r="U1" s="595"/>
      <c r="V1" s="595"/>
      <c r="W1" s="595"/>
      <c r="X1" s="595"/>
      <c r="Y1" s="595"/>
      <c r="Z1" s="595"/>
      <c r="AA1" s="595"/>
      <c r="AB1" s="595"/>
      <c r="AC1" s="595"/>
      <c r="AD1" s="595"/>
      <c r="AE1" s="595"/>
      <c r="AF1" s="595"/>
      <c r="AG1" s="595"/>
      <c r="AH1" s="3448" t="str">
        <f>'addl. concr. &amp; reinf. comme'!AH1</f>
        <v>700-010-84</v>
      </c>
      <c r="AI1" s="1873"/>
      <c r="AJ1" s="1873"/>
      <c r="AK1" s="595"/>
    </row>
    <row r="2" spans="1:37" ht="12.75" customHeight="1">
      <c r="A2" s="595"/>
      <c r="B2" s="595"/>
      <c r="C2" s="595"/>
      <c r="D2" s="1833" t="s">
        <v>933</v>
      </c>
      <c r="E2" s="1833"/>
      <c r="F2" s="1833"/>
      <c r="G2" s="1833"/>
      <c r="H2" s="1833"/>
      <c r="I2" s="1833"/>
      <c r="J2" s="1833"/>
      <c r="K2" s="1833"/>
      <c r="L2" s="1833"/>
      <c r="M2" s="1833"/>
      <c r="N2" s="1833"/>
      <c r="O2" s="1833"/>
      <c r="P2" s="1833"/>
      <c r="Q2" s="1833"/>
      <c r="R2" s="1833"/>
      <c r="S2" s="1833"/>
      <c r="T2" s="1833"/>
      <c r="U2" s="1833"/>
      <c r="V2" s="1833"/>
      <c r="W2" s="1833"/>
      <c r="X2" s="1833"/>
      <c r="Y2" s="1833"/>
      <c r="Z2" s="1833"/>
      <c r="AA2" s="1833"/>
      <c r="AB2" s="1833"/>
      <c r="AC2" s="1833"/>
      <c r="AD2" s="1833"/>
      <c r="AE2" s="1833"/>
      <c r="AF2" s="1833"/>
      <c r="AG2" s="869"/>
      <c r="AH2" s="1831" t="s">
        <v>8</v>
      </c>
      <c r="AI2" s="1832"/>
      <c r="AJ2" s="1832"/>
      <c r="AK2" s="595"/>
    </row>
    <row r="3" spans="1:37" ht="21.75" customHeight="1">
      <c r="A3" s="595"/>
      <c r="B3" s="595"/>
      <c r="C3" s="595"/>
      <c r="D3" s="1834" t="s">
        <v>975</v>
      </c>
      <c r="E3" s="1835"/>
      <c r="F3" s="1835"/>
      <c r="G3" s="1835"/>
      <c r="H3" s="1835"/>
      <c r="I3" s="1835"/>
      <c r="J3" s="1835"/>
      <c r="K3" s="1835"/>
      <c r="L3" s="1835"/>
      <c r="M3" s="1835"/>
      <c r="N3" s="1835"/>
      <c r="O3" s="1835"/>
      <c r="P3" s="1835"/>
      <c r="Q3" s="1835"/>
      <c r="R3" s="1835"/>
      <c r="S3" s="1835"/>
      <c r="T3" s="1835"/>
      <c r="U3" s="1835"/>
      <c r="V3" s="1835"/>
      <c r="W3" s="1835"/>
      <c r="X3" s="1835"/>
      <c r="Y3" s="1835"/>
      <c r="Z3" s="1835"/>
      <c r="AA3" s="1835"/>
      <c r="AB3" s="1835"/>
      <c r="AC3" s="1835"/>
      <c r="AD3" s="1835"/>
      <c r="AE3" s="1835"/>
      <c r="AF3" s="1835"/>
      <c r="AG3" s="596"/>
      <c r="AH3" s="596"/>
      <c r="AI3" s="3449">
        <f>'addl. concr. &amp; reinf. comme'!AI3</f>
        <v>45222</v>
      </c>
      <c r="AJ3" s="3450"/>
      <c r="AK3" s="595"/>
    </row>
    <row r="4" spans="1:37" ht="15" customHeight="1" thickBot="1">
      <c r="A4" s="595"/>
      <c r="B4" s="595"/>
      <c r="C4" s="595"/>
      <c r="D4" s="595"/>
      <c r="E4" s="1838"/>
      <c r="F4" s="1838"/>
      <c r="G4" s="1838"/>
      <c r="H4" s="1838"/>
      <c r="I4" s="1838"/>
      <c r="J4" s="1838"/>
      <c r="K4" s="1838"/>
      <c r="L4" s="1838"/>
      <c r="M4" s="1838"/>
      <c r="N4" s="1838"/>
      <c r="O4" s="1838"/>
      <c r="P4" s="1838"/>
      <c r="Q4" s="1838"/>
      <c r="R4" s="1838"/>
      <c r="S4" s="1838"/>
      <c r="T4" s="1838"/>
      <c r="U4" s="1838"/>
      <c r="V4" s="1838"/>
      <c r="W4" s="1838"/>
      <c r="X4" s="1838"/>
      <c r="Y4" s="1838"/>
      <c r="Z4" s="1838"/>
      <c r="AA4" s="1838"/>
      <c r="AB4" s="1838"/>
      <c r="AC4" s="1838"/>
      <c r="AD4" s="1838"/>
      <c r="AE4" s="1838"/>
      <c r="AF4" s="1838"/>
      <c r="AG4" s="872"/>
      <c r="AH4" s="872"/>
      <c r="AI4" s="846"/>
      <c r="AJ4" s="595"/>
      <c r="AK4" s="595"/>
    </row>
    <row r="5" spans="1:37" ht="15" customHeight="1" thickTop="1">
      <c r="A5" s="595"/>
      <c r="B5" s="845"/>
      <c r="C5" s="876"/>
      <c r="D5" s="876"/>
      <c r="E5" s="876"/>
      <c r="F5" s="876"/>
      <c r="G5" s="876"/>
      <c r="H5" s="876"/>
      <c r="I5" s="876"/>
      <c r="J5" s="876"/>
      <c r="K5" s="876"/>
      <c r="L5" s="876"/>
      <c r="M5" s="876"/>
      <c r="N5" s="876"/>
      <c r="O5" s="876"/>
      <c r="P5" s="876"/>
      <c r="Q5" s="877"/>
      <c r="R5" s="877"/>
      <c r="S5" s="877"/>
      <c r="T5" s="876"/>
      <c r="U5" s="876"/>
      <c r="V5" s="876"/>
      <c r="W5" s="876"/>
      <c r="X5" s="876"/>
      <c r="Y5" s="876"/>
      <c r="Z5" s="876"/>
      <c r="AA5" s="876"/>
      <c r="AB5" s="876"/>
      <c r="AC5" s="876"/>
      <c r="AD5" s="876"/>
      <c r="AE5" s="876"/>
      <c r="AF5" s="876"/>
      <c r="AG5" s="876"/>
      <c r="AH5" s="876"/>
      <c r="AI5" s="876"/>
      <c r="AJ5" s="878"/>
      <c r="AK5" s="595"/>
    </row>
    <row r="6" spans="1:37" ht="15" customHeight="1" thickBot="1">
      <c r="A6" s="595"/>
      <c r="B6" s="841"/>
      <c r="C6" s="840"/>
      <c r="D6" s="840"/>
      <c r="E6" s="840"/>
      <c r="F6" s="840"/>
      <c r="G6" s="840"/>
      <c r="H6" s="840"/>
      <c r="I6" s="840"/>
      <c r="J6" s="840"/>
      <c r="K6" s="840"/>
      <c r="L6" s="840"/>
      <c r="M6" s="840"/>
      <c r="N6" s="840"/>
      <c r="O6" s="840"/>
      <c r="P6" s="840"/>
      <c r="Q6" s="873"/>
      <c r="R6" s="873"/>
      <c r="S6" s="873"/>
      <c r="T6" s="840"/>
      <c r="U6" s="1843" t="s">
        <v>10</v>
      </c>
      <c r="V6" s="1843"/>
      <c r="W6" s="1843"/>
      <c r="X6" s="1843"/>
      <c r="Y6" s="1843"/>
      <c r="Z6" s="1841"/>
      <c r="AA6" s="1841"/>
      <c r="AB6" s="871"/>
      <c r="AC6" s="871"/>
      <c r="AD6" s="3413"/>
      <c r="AE6" s="3413"/>
      <c r="AF6" s="840" t="s">
        <v>981</v>
      </c>
      <c r="AG6" s="3413"/>
      <c r="AH6" s="3413"/>
      <c r="AI6" s="3451"/>
      <c r="AJ6" s="827"/>
      <c r="AK6" s="595"/>
    </row>
    <row r="7" spans="1:37" ht="15" customHeight="1" thickBot="1">
      <c r="A7" s="595"/>
      <c r="B7" s="841"/>
      <c r="C7" s="1843" t="s">
        <v>669</v>
      </c>
      <c r="D7" s="1843"/>
      <c r="E7" s="1843"/>
      <c r="F7" s="1843"/>
      <c r="G7" s="3433" t="str">
        <f>IF('DS Log Pg 1'!D7="","",'DS Log Pg 1'!D7)</f>
        <v/>
      </c>
      <c r="H7" s="3433"/>
      <c r="I7" s="3433"/>
      <c r="J7" s="3433"/>
      <c r="K7" s="3433"/>
      <c r="L7" s="3433"/>
      <c r="M7" s="3433"/>
      <c r="N7" s="3433"/>
      <c r="O7" s="3433"/>
      <c r="P7" s="3433"/>
      <c r="Q7" s="3433"/>
      <c r="R7" s="3433"/>
      <c r="S7" s="3433"/>
      <c r="T7" s="873"/>
      <c r="U7" s="1843" t="s">
        <v>670</v>
      </c>
      <c r="V7" s="1843"/>
      <c r="W7" s="1843"/>
      <c r="X7" s="1843"/>
      <c r="Y7" s="1843"/>
      <c r="Z7" s="1843"/>
      <c r="AA7" s="1843"/>
      <c r="AB7" s="870"/>
      <c r="AC7" s="870"/>
      <c r="AD7" s="3432" t="str">
        <f>IF('DS Log Pg 1'!S7="","",'DS Log Pg 1'!S7)</f>
        <v/>
      </c>
      <c r="AE7" s="3432"/>
      <c r="AF7" s="3432"/>
      <c r="AG7" s="3432"/>
      <c r="AH7" s="3432"/>
      <c r="AI7" s="3432"/>
      <c r="AJ7" s="827"/>
      <c r="AK7" s="595"/>
    </row>
    <row r="8" spans="1:37" ht="15" customHeight="1" thickBot="1">
      <c r="A8" s="595"/>
      <c r="B8" s="841"/>
      <c r="C8" s="1843" t="s">
        <v>931</v>
      </c>
      <c r="D8" s="1843"/>
      <c r="E8" s="1843"/>
      <c r="F8" s="1843"/>
      <c r="G8" s="3433" t="str">
        <f>IF('DS Log Pg 1'!D8="","",'DS Log Pg 1'!D8)</f>
        <v/>
      </c>
      <c r="H8" s="3433"/>
      <c r="I8" s="3433"/>
      <c r="J8" s="3433"/>
      <c r="K8" s="3433"/>
      <c r="L8" s="3433"/>
      <c r="M8" s="3433"/>
      <c r="N8" s="3433"/>
      <c r="O8" s="3433"/>
      <c r="P8" s="3433"/>
      <c r="Q8" s="3433"/>
      <c r="R8" s="3433"/>
      <c r="S8" s="3433"/>
      <c r="T8" s="873"/>
      <c r="U8" s="1841" t="s">
        <v>671</v>
      </c>
      <c r="V8" s="1841"/>
      <c r="W8" s="1841"/>
      <c r="X8" s="1841"/>
      <c r="Y8" s="1841"/>
      <c r="Z8" s="1841"/>
      <c r="AA8" s="1841"/>
      <c r="AB8" s="871"/>
      <c r="AC8" s="871"/>
      <c r="AD8" s="3432" t="str">
        <f>IF('DS Log Pg 1'!S8="","",'DS Log Pg 1'!S8)</f>
        <v/>
      </c>
      <c r="AE8" s="3432"/>
      <c r="AF8" s="3432"/>
      <c r="AG8" s="3432"/>
      <c r="AH8" s="3432"/>
      <c r="AI8" s="3432"/>
      <c r="AJ8" s="827"/>
      <c r="AK8" s="595"/>
    </row>
    <row r="9" spans="1:37" ht="9.75" customHeight="1" thickBot="1">
      <c r="A9" s="595"/>
      <c r="B9" s="838"/>
      <c r="C9" s="837"/>
      <c r="D9" s="837"/>
      <c r="E9" s="837"/>
      <c r="F9" s="836"/>
      <c r="G9" s="835"/>
      <c r="H9" s="835"/>
      <c r="I9" s="835"/>
      <c r="J9" s="835"/>
      <c r="K9" s="835"/>
      <c r="L9" s="835"/>
      <c r="M9" s="835"/>
      <c r="N9" s="835"/>
      <c r="O9" s="835"/>
      <c r="P9" s="835"/>
      <c r="Q9" s="835"/>
      <c r="R9" s="835"/>
      <c r="S9" s="835"/>
      <c r="T9" s="837"/>
      <c r="U9" s="837"/>
      <c r="V9" s="837"/>
      <c r="W9" s="837"/>
      <c r="X9" s="837"/>
      <c r="Y9" s="837"/>
      <c r="Z9" s="837"/>
      <c r="AA9" s="837"/>
      <c r="AB9" s="837"/>
      <c r="AC9" s="837"/>
      <c r="AD9" s="837"/>
      <c r="AE9" s="836"/>
      <c r="AF9" s="835"/>
      <c r="AG9" s="835"/>
      <c r="AH9" s="835"/>
      <c r="AI9" s="835"/>
      <c r="AJ9" s="834"/>
      <c r="AK9" s="595"/>
    </row>
    <row r="10" spans="1:37" ht="18" customHeight="1">
      <c r="B10" s="3423"/>
      <c r="C10" s="3424"/>
      <c r="D10" s="3424"/>
      <c r="E10" s="3424"/>
      <c r="F10" s="3424"/>
      <c r="G10" s="3424"/>
      <c r="H10" s="3424"/>
      <c r="I10" s="3424"/>
      <c r="J10" s="3424"/>
      <c r="K10" s="3424"/>
      <c r="L10" s="3424"/>
      <c r="M10" s="3424"/>
      <c r="N10" s="3424"/>
      <c r="O10" s="3424"/>
      <c r="P10" s="3424"/>
      <c r="Q10" s="3424"/>
      <c r="R10" s="3424"/>
      <c r="S10" s="3424"/>
      <c r="T10" s="3424"/>
      <c r="U10" s="3424"/>
      <c r="V10" s="3424"/>
      <c r="W10" s="3424"/>
      <c r="X10" s="3424"/>
      <c r="Y10" s="3424"/>
      <c r="Z10" s="3424"/>
      <c r="AA10" s="3424"/>
      <c r="AB10" s="3424"/>
      <c r="AC10" s="3424"/>
      <c r="AD10" s="3424"/>
      <c r="AE10" s="3424"/>
      <c r="AF10" s="3424"/>
      <c r="AG10" s="3424"/>
      <c r="AH10" s="3424"/>
      <c r="AI10" s="3424"/>
      <c r="AJ10" s="3425"/>
    </row>
    <row r="11" spans="1:37" ht="15.9" customHeight="1">
      <c r="A11" s="595"/>
      <c r="B11" s="819"/>
      <c r="C11" s="595"/>
      <c r="D11" s="595"/>
      <c r="E11" s="3426"/>
      <c r="F11" s="3426"/>
      <c r="G11" s="3426"/>
      <c r="H11" s="3426"/>
      <c r="I11" s="3426"/>
      <c r="J11" s="3426"/>
      <c r="K11" s="3426"/>
      <c r="L11" s="3426"/>
      <c r="M11" s="3426"/>
      <c r="N11" s="3426"/>
      <c r="O11" s="3426"/>
      <c r="P11" s="3426"/>
      <c r="Q11" s="3426"/>
      <c r="R11" s="3426"/>
      <c r="S11" s="3426"/>
      <c r="T11" s="3426"/>
      <c r="U11" s="3426"/>
      <c r="V11" s="3426"/>
      <c r="W11" s="3426"/>
      <c r="X11" s="3426"/>
      <c r="Y11" s="3426"/>
      <c r="Z11" s="3426"/>
      <c r="AA11" s="3426"/>
      <c r="AB11" s="3426"/>
      <c r="AC11" s="3426"/>
      <c r="AD11" s="3426"/>
      <c r="AE11" s="3426"/>
      <c r="AF11" s="3426"/>
      <c r="AG11" s="3426"/>
      <c r="AH11" s="3426"/>
      <c r="AI11" s="3426"/>
      <c r="AJ11" s="816"/>
      <c r="AK11" s="595"/>
    </row>
    <row r="12" spans="1:37" ht="15.9" customHeight="1">
      <c r="A12" s="595"/>
      <c r="B12" s="819"/>
      <c r="C12" s="595"/>
      <c r="D12" s="595"/>
      <c r="E12" s="3426"/>
      <c r="F12" s="3426"/>
      <c r="G12" s="3426"/>
      <c r="H12" s="3426"/>
      <c r="I12" s="3426"/>
      <c r="J12" s="3426"/>
      <c r="K12" s="3426"/>
      <c r="L12" s="3426"/>
      <c r="M12" s="3426"/>
      <c r="N12" s="3426"/>
      <c r="O12" s="3426"/>
      <c r="P12" s="3426"/>
      <c r="Q12" s="3426"/>
      <c r="R12" s="3426"/>
      <c r="S12" s="3426"/>
      <c r="T12" s="3426"/>
      <c r="U12" s="3426"/>
      <c r="V12" s="3426"/>
      <c r="W12" s="3426"/>
      <c r="X12" s="3426"/>
      <c r="Y12" s="3426"/>
      <c r="Z12" s="3426"/>
      <c r="AA12" s="3426"/>
      <c r="AB12" s="3426"/>
      <c r="AC12" s="3426"/>
      <c r="AD12" s="3426"/>
      <c r="AE12" s="3426"/>
      <c r="AF12" s="3426"/>
      <c r="AG12" s="3426"/>
      <c r="AH12" s="3426"/>
      <c r="AI12" s="3426"/>
      <c r="AJ12" s="816"/>
      <c r="AK12" s="595"/>
    </row>
    <row r="13" spans="1:37" ht="15.9" customHeight="1">
      <c r="A13" s="595"/>
      <c r="B13" s="819"/>
      <c r="C13" s="595"/>
      <c r="D13" s="595"/>
      <c r="E13" s="3426"/>
      <c r="F13" s="3426"/>
      <c r="G13" s="3426"/>
      <c r="H13" s="3426"/>
      <c r="I13" s="3426"/>
      <c r="J13" s="3426"/>
      <c r="K13" s="3426"/>
      <c r="L13" s="3426"/>
      <c r="M13" s="3426"/>
      <c r="N13" s="3426"/>
      <c r="O13" s="3426"/>
      <c r="P13" s="3426"/>
      <c r="Q13" s="3426"/>
      <c r="R13" s="3426"/>
      <c r="S13" s="3426"/>
      <c r="T13" s="3426"/>
      <c r="U13" s="3426"/>
      <c r="V13" s="3426"/>
      <c r="W13" s="3426"/>
      <c r="X13" s="3426"/>
      <c r="Y13" s="3426"/>
      <c r="Z13" s="3426"/>
      <c r="AA13" s="3426"/>
      <c r="AB13" s="3426"/>
      <c r="AC13" s="3426"/>
      <c r="AD13" s="3426"/>
      <c r="AE13" s="3426"/>
      <c r="AF13" s="3426"/>
      <c r="AG13" s="3426"/>
      <c r="AH13" s="3426"/>
      <c r="AI13" s="3426"/>
      <c r="AJ13" s="816"/>
      <c r="AK13" s="595"/>
    </row>
    <row r="14" spans="1:37" ht="15.9" customHeight="1">
      <c r="A14" s="595"/>
      <c r="B14" s="819"/>
      <c r="C14" s="595"/>
      <c r="D14" s="595"/>
      <c r="E14" s="3426"/>
      <c r="F14" s="3426"/>
      <c r="G14" s="3426"/>
      <c r="H14" s="3426"/>
      <c r="I14" s="3426"/>
      <c r="J14" s="3426"/>
      <c r="K14" s="3426"/>
      <c r="L14" s="3426"/>
      <c r="M14" s="3426"/>
      <c r="N14" s="3426"/>
      <c r="O14" s="3426"/>
      <c r="P14" s="3426"/>
      <c r="Q14" s="3426"/>
      <c r="R14" s="3426"/>
      <c r="S14" s="3426"/>
      <c r="T14" s="3426"/>
      <c r="U14" s="3426"/>
      <c r="V14" s="3426"/>
      <c r="W14" s="3426"/>
      <c r="X14" s="3426"/>
      <c r="Y14" s="3426"/>
      <c r="Z14" s="3426"/>
      <c r="AA14" s="3426"/>
      <c r="AB14" s="3426"/>
      <c r="AC14" s="3426"/>
      <c r="AD14" s="3426"/>
      <c r="AE14" s="3426"/>
      <c r="AF14" s="3426"/>
      <c r="AG14" s="3426"/>
      <c r="AH14" s="3426"/>
      <c r="AI14" s="3426"/>
      <c r="AJ14" s="816"/>
      <c r="AK14" s="595"/>
    </row>
    <row r="15" spans="1:37" ht="15.9" customHeight="1">
      <c r="A15" s="595"/>
      <c r="B15" s="819"/>
      <c r="C15" s="595"/>
      <c r="D15" s="595"/>
      <c r="E15" s="3426"/>
      <c r="F15" s="3426"/>
      <c r="G15" s="3426"/>
      <c r="H15" s="3426"/>
      <c r="I15" s="3426"/>
      <c r="J15" s="3426"/>
      <c r="K15" s="3426"/>
      <c r="L15" s="3426"/>
      <c r="M15" s="3426"/>
      <c r="N15" s="3426"/>
      <c r="O15" s="3426"/>
      <c r="P15" s="3426"/>
      <c r="Q15" s="3426"/>
      <c r="R15" s="3426"/>
      <c r="S15" s="3426"/>
      <c r="T15" s="3426"/>
      <c r="U15" s="3426"/>
      <c r="V15" s="3426"/>
      <c r="W15" s="3426"/>
      <c r="X15" s="3426"/>
      <c r="Y15" s="3426"/>
      <c r="Z15" s="3426"/>
      <c r="AA15" s="3426"/>
      <c r="AB15" s="3426"/>
      <c r="AC15" s="3426"/>
      <c r="AD15" s="3426"/>
      <c r="AE15" s="3426"/>
      <c r="AF15" s="3426"/>
      <c r="AG15" s="3426"/>
      <c r="AH15" s="3426"/>
      <c r="AI15" s="3426"/>
      <c r="AJ15" s="816"/>
      <c r="AK15" s="595"/>
    </row>
    <row r="16" spans="1:37" ht="15.9" customHeight="1">
      <c r="A16" s="595"/>
      <c r="B16" s="819"/>
      <c r="C16" s="595"/>
      <c r="D16" s="595"/>
      <c r="E16" s="3426"/>
      <c r="F16" s="3426"/>
      <c r="G16" s="3426"/>
      <c r="H16" s="3426"/>
      <c r="I16" s="3426"/>
      <c r="J16" s="3426"/>
      <c r="K16" s="3426"/>
      <c r="L16" s="3426"/>
      <c r="M16" s="3426"/>
      <c r="N16" s="3426"/>
      <c r="O16" s="3426"/>
      <c r="P16" s="3426"/>
      <c r="Q16" s="3426"/>
      <c r="R16" s="3426"/>
      <c r="S16" s="3426"/>
      <c r="T16" s="3426"/>
      <c r="U16" s="3426"/>
      <c r="V16" s="3426"/>
      <c r="W16" s="3426"/>
      <c r="X16" s="3426"/>
      <c r="Y16" s="3426"/>
      <c r="Z16" s="3426"/>
      <c r="AA16" s="3426"/>
      <c r="AB16" s="3426"/>
      <c r="AC16" s="3426"/>
      <c r="AD16" s="3426"/>
      <c r="AE16" s="3426"/>
      <c r="AF16" s="3426"/>
      <c r="AG16" s="3426"/>
      <c r="AH16" s="3426"/>
      <c r="AI16" s="3426"/>
      <c r="AJ16" s="816"/>
      <c r="AK16" s="595"/>
    </row>
    <row r="17" spans="1:40" ht="15.9" customHeight="1">
      <c r="A17" s="595"/>
      <c r="B17" s="819"/>
      <c r="C17" s="595"/>
      <c r="D17" s="595"/>
      <c r="E17" s="3426"/>
      <c r="F17" s="3426"/>
      <c r="G17" s="3426"/>
      <c r="H17" s="3426"/>
      <c r="I17" s="3426"/>
      <c r="J17" s="3426"/>
      <c r="K17" s="3426"/>
      <c r="L17" s="3426"/>
      <c r="M17" s="3426"/>
      <c r="N17" s="3426"/>
      <c r="O17" s="3426"/>
      <c r="P17" s="3426"/>
      <c r="Q17" s="3426"/>
      <c r="R17" s="3426"/>
      <c r="S17" s="3426"/>
      <c r="T17" s="3426"/>
      <c r="U17" s="3426"/>
      <c r="V17" s="3426"/>
      <c r="W17" s="3426"/>
      <c r="X17" s="3426"/>
      <c r="Y17" s="3426"/>
      <c r="Z17" s="3426"/>
      <c r="AA17" s="3426"/>
      <c r="AB17" s="3426"/>
      <c r="AC17" s="3426"/>
      <c r="AD17" s="3426"/>
      <c r="AE17" s="3426"/>
      <c r="AF17" s="3426"/>
      <c r="AG17" s="3426"/>
      <c r="AH17" s="3426"/>
      <c r="AI17" s="3426"/>
      <c r="AJ17" s="816"/>
      <c r="AK17" s="595"/>
    </row>
    <row r="18" spans="1:40" ht="15.9" customHeight="1">
      <c r="A18" s="595"/>
      <c r="B18" s="819"/>
      <c r="C18" s="595"/>
      <c r="D18" s="595"/>
      <c r="E18" s="3426"/>
      <c r="F18" s="3426"/>
      <c r="G18" s="3426"/>
      <c r="H18" s="3426"/>
      <c r="I18" s="3426"/>
      <c r="J18" s="3426"/>
      <c r="K18" s="3426"/>
      <c r="L18" s="3426"/>
      <c r="M18" s="3426"/>
      <c r="N18" s="3426"/>
      <c r="O18" s="3426"/>
      <c r="P18" s="3426"/>
      <c r="Q18" s="3426"/>
      <c r="R18" s="3426"/>
      <c r="S18" s="3426"/>
      <c r="T18" s="3426"/>
      <c r="U18" s="3426"/>
      <c r="V18" s="3426"/>
      <c r="W18" s="3426"/>
      <c r="X18" s="3426"/>
      <c r="Y18" s="3426"/>
      <c r="Z18" s="3426"/>
      <c r="AA18" s="3426"/>
      <c r="AB18" s="3426"/>
      <c r="AC18" s="3426"/>
      <c r="AD18" s="3426"/>
      <c r="AE18" s="3426"/>
      <c r="AF18" s="3426"/>
      <c r="AG18" s="3426"/>
      <c r="AH18" s="3426"/>
      <c r="AI18" s="3426"/>
      <c r="AJ18" s="816"/>
      <c r="AK18" s="595"/>
      <c r="AM18" s="874"/>
      <c r="AN18" s="874"/>
    </row>
    <row r="19" spans="1:40" ht="15.9" customHeight="1">
      <c r="A19" s="595"/>
      <c r="B19" s="819"/>
      <c r="C19" s="595"/>
      <c r="D19" s="595"/>
      <c r="E19" s="3426"/>
      <c r="F19" s="3426"/>
      <c r="G19" s="3426"/>
      <c r="H19" s="3426"/>
      <c r="I19" s="3426"/>
      <c r="J19" s="3426"/>
      <c r="K19" s="3426"/>
      <c r="L19" s="3426"/>
      <c r="M19" s="3426"/>
      <c r="N19" s="3426"/>
      <c r="O19" s="3426"/>
      <c r="P19" s="3426"/>
      <c r="Q19" s="3426"/>
      <c r="R19" s="3426"/>
      <c r="S19" s="3426"/>
      <c r="T19" s="3426"/>
      <c r="U19" s="3426"/>
      <c r="V19" s="3426"/>
      <c r="W19" s="3426"/>
      <c r="X19" s="3426"/>
      <c r="Y19" s="3426"/>
      <c r="Z19" s="3426"/>
      <c r="AA19" s="3426"/>
      <c r="AB19" s="3426"/>
      <c r="AC19" s="3426"/>
      <c r="AD19" s="3426"/>
      <c r="AE19" s="3426"/>
      <c r="AF19" s="3426"/>
      <c r="AG19" s="3426"/>
      <c r="AH19" s="3426"/>
      <c r="AI19" s="3426"/>
      <c r="AJ19" s="816"/>
      <c r="AK19" s="595"/>
      <c r="AM19" s="874"/>
      <c r="AN19" s="874"/>
    </row>
    <row r="20" spans="1:40" ht="15.9" customHeight="1">
      <c r="A20" s="595"/>
      <c r="B20" s="819"/>
      <c r="C20" s="595"/>
      <c r="D20" s="595"/>
      <c r="E20" s="3426"/>
      <c r="F20" s="3426"/>
      <c r="G20" s="3426"/>
      <c r="H20" s="3426"/>
      <c r="I20" s="3426"/>
      <c r="J20" s="3426"/>
      <c r="K20" s="3426"/>
      <c r="L20" s="3426"/>
      <c r="M20" s="3426"/>
      <c r="N20" s="3426"/>
      <c r="O20" s="3426"/>
      <c r="P20" s="3426"/>
      <c r="Q20" s="3426"/>
      <c r="R20" s="3426"/>
      <c r="S20" s="3426"/>
      <c r="T20" s="3426"/>
      <c r="U20" s="3426"/>
      <c r="V20" s="3426"/>
      <c r="W20" s="3426"/>
      <c r="X20" s="3426"/>
      <c r="Y20" s="3426"/>
      <c r="Z20" s="3426"/>
      <c r="AA20" s="3426"/>
      <c r="AB20" s="3426"/>
      <c r="AC20" s="3426"/>
      <c r="AD20" s="3426"/>
      <c r="AE20" s="3426"/>
      <c r="AF20" s="3426"/>
      <c r="AG20" s="3426"/>
      <c r="AH20" s="3426"/>
      <c r="AI20" s="3426"/>
      <c r="AJ20" s="816"/>
      <c r="AK20" s="595"/>
      <c r="AM20" s="874"/>
      <c r="AN20" s="874"/>
    </row>
    <row r="21" spans="1:40" ht="15.9" customHeight="1">
      <c r="A21" s="595"/>
      <c r="B21" s="819"/>
      <c r="C21" s="595"/>
      <c r="D21" s="595"/>
      <c r="E21" s="3426"/>
      <c r="F21" s="3426"/>
      <c r="G21" s="3426"/>
      <c r="H21" s="3426"/>
      <c r="I21" s="3426"/>
      <c r="J21" s="3426"/>
      <c r="K21" s="3426"/>
      <c r="L21" s="3426"/>
      <c r="M21" s="3426"/>
      <c r="N21" s="3426"/>
      <c r="O21" s="3426"/>
      <c r="P21" s="3426"/>
      <c r="Q21" s="3426"/>
      <c r="R21" s="3426"/>
      <c r="S21" s="3426"/>
      <c r="T21" s="3426"/>
      <c r="U21" s="3426"/>
      <c r="V21" s="3426"/>
      <c r="W21" s="3426"/>
      <c r="X21" s="3426"/>
      <c r="Y21" s="3426"/>
      <c r="Z21" s="3426"/>
      <c r="AA21" s="3426"/>
      <c r="AB21" s="3426"/>
      <c r="AC21" s="3426"/>
      <c r="AD21" s="3426"/>
      <c r="AE21" s="3426"/>
      <c r="AF21" s="3426"/>
      <c r="AG21" s="3426"/>
      <c r="AH21" s="3426"/>
      <c r="AI21" s="3426"/>
      <c r="AJ21" s="816"/>
      <c r="AK21" s="595"/>
      <c r="AM21" s="874"/>
      <c r="AN21" s="874"/>
    </row>
    <row r="22" spans="1:40" ht="15.9" customHeight="1">
      <c r="A22" s="595"/>
      <c r="B22" s="819"/>
      <c r="C22" s="595"/>
      <c r="D22" s="595"/>
      <c r="E22" s="3426"/>
      <c r="F22" s="3426"/>
      <c r="G22" s="3426"/>
      <c r="H22" s="3426"/>
      <c r="I22" s="3426"/>
      <c r="J22" s="3426"/>
      <c r="K22" s="3426"/>
      <c r="L22" s="3426"/>
      <c r="M22" s="3426"/>
      <c r="N22" s="3426"/>
      <c r="O22" s="3426"/>
      <c r="P22" s="3426"/>
      <c r="Q22" s="3426"/>
      <c r="R22" s="3426"/>
      <c r="S22" s="3426"/>
      <c r="T22" s="3426"/>
      <c r="U22" s="3426"/>
      <c r="V22" s="3426"/>
      <c r="W22" s="3426"/>
      <c r="X22" s="3426"/>
      <c r="Y22" s="3426"/>
      <c r="Z22" s="3426"/>
      <c r="AA22" s="3426"/>
      <c r="AB22" s="3426"/>
      <c r="AC22" s="3426"/>
      <c r="AD22" s="3426"/>
      <c r="AE22" s="3426"/>
      <c r="AF22" s="3426"/>
      <c r="AG22" s="3426"/>
      <c r="AH22" s="3426"/>
      <c r="AI22" s="3426"/>
      <c r="AJ22" s="816"/>
      <c r="AK22" s="595"/>
      <c r="AM22" s="874"/>
      <c r="AN22" s="874"/>
    </row>
    <row r="23" spans="1:40" ht="15.9" customHeight="1">
      <c r="A23" s="595"/>
      <c r="B23" s="819"/>
      <c r="C23" s="595"/>
      <c r="D23" s="595"/>
      <c r="E23" s="3426"/>
      <c r="F23" s="3426"/>
      <c r="G23" s="3426"/>
      <c r="H23" s="3426"/>
      <c r="I23" s="3426"/>
      <c r="J23" s="3426"/>
      <c r="K23" s="3426"/>
      <c r="L23" s="3426"/>
      <c r="M23" s="3426"/>
      <c r="N23" s="3426"/>
      <c r="O23" s="3426"/>
      <c r="P23" s="3426"/>
      <c r="Q23" s="3426"/>
      <c r="R23" s="3426"/>
      <c r="S23" s="3426"/>
      <c r="T23" s="3426"/>
      <c r="U23" s="3426"/>
      <c r="V23" s="3426"/>
      <c r="W23" s="3426"/>
      <c r="X23" s="3426"/>
      <c r="Y23" s="3426"/>
      <c r="Z23" s="3426"/>
      <c r="AA23" s="3426"/>
      <c r="AB23" s="3426"/>
      <c r="AC23" s="3426"/>
      <c r="AD23" s="3426"/>
      <c r="AE23" s="3426"/>
      <c r="AF23" s="3426"/>
      <c r="AG23" s="3426"/>
      <c r="AH23" s="3426"/>
      <c r="AI23" s="3426"/>
      <c r="AJ23" s="816"/>
      <c r="AK23" s="595"/>
    </row>
    <row r="24" spans="1:40" ht="15.9" customHeight="1">
      <c r="A24" s="595"/>
      <c r="B24" s="819"/>
      <c r="C24" s="595"/>
      <c r="D24" s="595"/>
      <c r="E24" s="3426"/>
      <c r="F24" s="3426"/>
      <c r="G24" s="3426"/>
      <c r="H24" s="3426"/>
      <c r="I24" s="3426"/>
      <c r="J24" s="3426"/>
      <c r="K24" s="3426"/>
      <c r="L24" s="3426"/>
      <c r="M24" s="3426"/>
      <c r="N24" s="3426"/>
      <c r="O24" s="3426"/>
      <c r="P24" s="3426"/>
      <c r="Q24" s="3426"/>
      <c r="R24" s="3426"/>
      <c r="S24" s="3426"/>
      <c r="T24" s="3426"/>
      <c r="U24" s="3426"/>
      <c r="V24" s="3426"/>
      <c r="W24" s="3426"/>
      <c r="X24" s="3426"/>
      <c r="Y24" s="3426"/>
      <c r="Z24" s="3426"/>
      <c r="AA24" s="3426"/>
      <c r="AB24" s="3426"/>
      <c r="AC24" s="3426"/>
      <c r="AD24" s="3426"/>
      <c r="AE24" s="3426"/>
      <c r="AF24" s="3426"/>
      <c r="AG24" s="3426"/>
      <c r="AH24" s="3426"/>
      <c r="AI24" s="3426"/>
      <c r="AJ24" s="816"/>
      <c r="AK24" s="595"/>
    </row>
    <row r="25" spans="1:40" ht="15.9" customHeight="1">
      <c r="A25" s="595"/>
      <c r="B25" s="819"/>
      <c r="C25" s="595"/>
      <c r="D25" s="595"/>
      <c r="E25" s="3426"/>
      <c r="F25" s="3426"/>
      <c r="G25" s="3426"/>
      <c r="H25" s="3426"/>
      <c r="I25" s="3426"/>
      <c r="J25" s="3426"/>
      <c r="K25" s="3426"/>
      <c r="L25" s="3426"/>
      <c r="M25" s="3426"/>
      <c r="N25" s="3426"/>
      <c r="O25" s="3426"/>
      <c r="P25" s="3426"/>
      <c r="Q25" s="3426"/>
      <c r="R25" s="3426"/>
      <c r="S25" s="3426"/>
      <c r="T25" s="3426"/>
      <c r="U25" s="3426"/>
      <c r="V25" s="3426"/>
      <c r="W25" s="3426"/>
      <c r="X25" s="3426"/>
      <c r="Y25" s="3426"/>
      <c r="Z25" s="3426"/>
      <c r="AA25" s="3426"/>
      <c r="AB25" s="3426"/>
      <c r="AC25" s="3426"/>
      <c r="AD25" s="3426"/>
      <c r="AE25" s="3426"/>
      <c r="AF25" s="3426"/>
      <c r="AG25" s="3426"/>
      <c r="AH25" s="3426"/>
      <c r="AI25" s="3426"/>
      <c r="AJ25" s="816"/>
      <c r="AK25" s="595"/>
    </row>
    <row r="26" spans="1:40" ht="15.9" customHeight="1">
      <c r="A26" s="595"/>
      <c r="B26" s="819"/>
      <c r="C26" s="595"/>
      <c r="D26" s="595"/>
      <c r="E26" s="3426"/>
      <c r="F26" s="3426"/>
      <c r="G26" s="3426"/>
      <c r="H26" s="3426"/>
      <c r="I26" s="3426"/>
      <c r="J26" s="3426"/>
      <c r="K26" s="3426"/>
      <c r="L26" s="3426"/>
      <c r="M26" s="3426"/>
      <c r="N26" s="3426"/>
      <c r="O26" s="3426"/>
      <c r="P26" s="3426"/>
      <c r="Q26" s="3426"/>
      <c r="R26" s="3426"/>
      <c r="S26" s="3426"/>
      <c r="T26" s="3426"/>
      <c r="U26" s="3426"/>
      <c r="V26" s="3426"/>
      <c r="W26" s="3426"/>
      <c r="X26" s="3426"/>
      <c r="Y26" s="3426"/>
      <c r="Z26" s="3426"/>
      <c r="AA26" s="3426"/>
      <c r="AB26" s="3426"/>
      <c r="AC26" s="3426"/>
      <c r="AD26" s="3426"/>
      <c r="AE26" s="3426"/>
      <c r="AF26" s="3426"/>
      <c r="AG26" s="3426"/>
      <c r="AH26" s="3426"/>
      <c r="AI26" s="3426"/>
      <c r="AJ26" s="827"/>
      <c r="AK26" s="595"/>
    </row>
    <row r="27" spans="1:40" ht="15.9" customHeight="1">
      <c r="A27" s="595"/>
      <c r="B27" s="819"/>
      <c r="C27" s="595"/>
      <c r="D27" s="595"/>
      <c r="E27" s="3426"/>
      <c r="F27" s="3426"/>
      <c r="G27" s="3426"/>
      <c r="H27" s="3426"/>
      <c r="I27" s="3426"/>
      <c r="J27" s="3426"/>
      <c r="K27" s="3426"/>
      <c r="L27" s="3426"/>
      <c r="M27" s="3426"/>
      <c r="N27" s="3426"/>
      <c r="O27" s="3426"/>
      <c r="P27" s="3426"/>
      <c r="Q27" s="3426"/>
      <c r="R27" s="3426"/>
      <c r="S27" s="3426"/>
      <c r="T27" s="3426"/>
      <c r="U27" s="3426"/>
      <c r="V27" s="3426"/>
      <c r="W27" s="3426"/>
      <c r="X27" s="3426"/>
      <c r="Y27" s="3426"/>
      <c r="Z27" s="3426"/>
      <c r="AA27" s="3426"/>
      <c r="AB27" s="3426"/>
      <c r="AC27" s="3426"/>
      <c r="AD27" s="3426"/>
      <c r="AE27" s="3426"/>
      <c r="AF27" s="3426"/>
      <c r="AG27" s="3426"/>
      <c r="AH27" s="3426"/>
      <c r="AI27" s="3426"/>
      <c r="AJ27" s="816"/>
      <c r="AK27" s="595"/>
    </row>
    <row r="28" spans="1:40" ht="15.9" customHeight="1">
      <c r="A28" s="595"/>
      <c r="B28" s="819"/>
      <c r="C28" s="595"/>
      <c r="D28" s="595"/>
      <c r="E28" s="3426"/>
      <c r="F28" s="3426"/>
      <c r="G28" s="3426"/>
      <c r="H28" s="3426"/>
      <c r="I28" s="3426"/>
      <c r="J28" s="3426"/>
      <c r="K28" s="3426"/>
      <c r="L28" s="3426"/>
      <c r="M28" s="3426"/>
      <c r="N28" s="3426"/>
      <c r="O28" s="3426"/>
      <c r="P28" s="3426"/>
      <c r="Q28" s="3426"/>
      <c r="R28" s="3426"/>
      <c r="S28" s="3426"/>
      <c r="T28" s="3426"/>
      <c r="U28" s="3426"/>
      <c r="V28" s="3426"/>
      <c r="W28" s="3426"/>
      <c r="X28" s="3426"/>
      <c r="Y28" s="3426"/>
      <c r="Z28" s="3426"/>
      <c r="AA28" s="3426"/>
      <c r="AB28" s="3426"/>
      <c r="AC28" s="3426"/>
      <c r="AD28" s="3426"/>
      <c r="AE28" s="3426"/>
      <c r="AF28" s="3426"/>
      <c r="AG28" s="3426"/>
      <c r="AH28" s="3426"/>
      <c r="AI28" s="3426"/>
      <c r="AJ28" s="816"/>
      <c r="AK28" s="595"/>
    </row>
    <row r="29" spans="1:40" ht="15.9" customHeight="1">
      <c r="A29" s="595"/>
      <c r="B29" s="819"/>
      <c r="C29" s="595"/>
      <c r="D29" s="595"/>
      <c r="E29" s="3426"/>
      <c r="F29" s="3426"/>
      <c r="G29" s="3426"/>
      <c r="H29" s="3426"/>
      <c r="I29" s="3426"/>
      <c r="J29" s="3426"/>
      <c r="K29" s="3426"/>
      <c r="L29" s="3426"/>
      <c r="M29" s="3426"/>
      <c r="N29" s="3426"/>
      <c r="O29" s="3426"/>
      <c r="P29" s="3426"/>
      <c r="Q29" s="3426"/>
      <c r="R29" s="3426"/>
      <c r="S29" s="3426"/>
      <c r="T29" s="3426"/>
      <c r="U29" s="3426"/>
      <c r="V29" s="3426"/>
      <c r="W29" s="3426"/>
      <c r="X29" s="3426"/>
      <c r="Y29" s="3426"/>
      <c r="Z29" s="3426"/>
      <c r="AA29" s="3426"/>
      <c r="AB29" s="3426"/>
      <c r="AC29" s="3426"/>
      <c r="AD29" s="3426"/>
      <c r="AE29" s="3426"/>
      <c r="AF29" s="3426"/>
      <c r="AG29" s="3426"/>
      <c r="AH29" s="3426"/>
      <c r="AI29" s="3426"/>
      <c r="AJ29" s="816"/>
      <c r="AK29" s="595"/>
    </row>
    <row r="30" spans="1:40" ht="15.9" customHeight="1">
      <c r="A30" s="595"/>
      <c r="B30" s="819"/>
      <c r="C30" s="595"/>
      <c r="D30" s="595"/>
      <c r="E30" s="3426"/>
      <c r="F30" s="3426"/>
      <c r="G30" s="3426"/>
      <c r="H30" s="3426"/>
      <c r="I30" s="3426"/>
      <c r="J30" s="3426"/>
      <c r="K30" s="3426"/>
      <c r="L30" s="3426"/>
      <c r="M30" s="3426"/>
      <c r="N30" s="3426"/>
      <c r="O30" s="3426"/>
      <c r="P30" s="3426"/>
      <c r="Q30" s="3426"/>
      <c r="R30" s="3426"/>
      <c r="S30" s="3426"/>
      <c r="T30" s="3426"/>
      <c r="U30" s="3426"/>
      <c r="V30" s="3426"/>
      <c r="W30" s="3426"/>
      <c r="X30" s="3426"/>
      <c r="Y30" s="3426"/>
      <c r="Z30" s="3426"/>
      <c r="AA30" s="3426"/>
      <c r="AB30" s="3426"/>
      <c r="AC30" s="3426"/>
      <c r="AD30" s="3426"/>
      <c r="AE30" s="3426"/>
      <c r="AF30" s="3426"/>
      <c r="AG30" s="3426"/>
      <c r="AH30" s="3426"/>
      <c r="AI30" s="3426"/>
      <c r="AJ30" s="816"/>
      <c r="AK30" s="595"/>
    </row>
    <row r="31" spans="1:40" ht="15.9" customHeight="1">
      <c r="A31" s="595"/>
      <c r="B31" s="819"/>
      <c r="C31" s="595"/>
      <c r="D31" s="595"/>
      <c r="E31" s="3426"/>
      <c r="F31" s="3426"/>
      <c r="G31" s="3426"/>
      <c r="H31" s="3426"/>
      <c r="I31" s="3426"/>
      <c r="J31" s="3426"/>
      <c r="K31" s="3426"/>
      <c r="L31" s="3426"/>
      <c r="M31" s="3426"/>
      <c r="N31" s="3426"/>
      <c r="O31" s="3426"/>
      <c r="P31" s="3426"/>
      <c r="Q31" s="3426"/>
      <c r="R31" s="3426"/>
      <c r="S31" s="3426"/>
      <c r="T31" s="3426"/>
      <c r="U31" s="3426"/>
      <c r="V31" s="3426"/>
      <c r="W31" s="3426"/>
      <c r="X31" s="3426"/>
      <c r="Y31" s="3426"/>
      <c r="Z31" s="3426"/>
      <c r="AA31" s="3426"/>
      <c r="AB31" s="3426"/>
      <c r="AC31" s="3426"/>
      <c r="AD31" s="3426"/>
      <c r="AE31" s="3426"/>
      <c r="AF31" s="3426"/>
      <c r="AG31" s="3426"/>
      <c r="AH31" s="3426"/>
      <c r="AI31" s="3426"/>
      <c r="AJ31" s="816"/>
      <c r="AK31" s="595"/>
    </row>
    <row r="32" spans="1:40" ht="15.9" customHeight="1">
      <c r="A32" s="595"/>
      <c r="B32" s="819"/>
      <c r="C32" s="595"/>
      <c r="D32" s="595"/>
      <c r="E32" s="3426"/>
      <c r="F32" s="3426"/>
      <c r="G32" s="3426"/>
      <c r="H32" s="3426"/>
      <c r="I32" s="3426"/>
      <c r="J32" s="3426"/>
      <c r="K32" s="3426"/>
      <c r="L32" s="3426"/>
      <c r="M32" s="3426"/>
      <c r="N32" s="3426"/>
      <c r="O32" s="3426"/>
      <c r="P32" s="3426"/>
      <c r="Q32" s="3426"/>
      <c r="R32" s="3426"/>
      <c r="S32" s="3426"/>
      <c r="T32" s="3426"/>
      <c r="U32" s="3426"/>
      <c r="V32" s="3426"/>
      <c r="W32" s="3426"/>
      <c r="X32" s="3426"/>
      <c r="Y32" s="3426"/>
      <c r="Z32" s="3426"/>
      <c r="AA32" s="3426"/>
      <c r="AB32" s="3426"/>
      <c r="AC32" s="3426"/>
      <c r="AD32" s="3426"/>
      <c r="AE32" s="3426"/>
      <c r="AF32" s="3426"/>
      <c r="AG32" s="3426"/>
      <c r="AH32" s="3426"/>
      <c r="AI32" s="3426"/>
      <c r="AJ32" s="816"/>
      <c r="AK32" s="595"/>
    </row>
    <row r="33" spans="1:40" ht="15.9" customHeight="1">
      <c r="A33" s="595"/>
      <c r="B33" s="819"/>
      <c r="C33" s="595"/>
      <c r="D33" s="595"/>
      <c r="E33" s="3426"/>
      <c r="F33" s="3426"/>
      <c r="G33" s="3426"/>
      <c r="H33" s="3426"/>
      <c r="I33" s="3426"/>
      <c r="J33" s="3426"/>
      <c r="K33" s="3426"/>
      <c r="L33" s="3426"/>
      <c r="M33" s="3426"/>
      <c r="N33" s="3426"/>
      <c r="O33" s="3426"/>
      <c r="P33" s="3426"/>
      <c r="Q33" s="3426"/>
      <c r="R33" s="3426"/>
      <c r="S33" s="3426"/>
      <c r="T33" s="3426"/>
      <c r="U33" s="3426"/>
      <c r="V33" s="3426"/>
      <c r="W33" s="3426"/>
      <c r="X33" s="3426"/>
      <c r="Y33" s="3426"/>
      <c r="Z33" s="3426"/>
      <c r="AA33" s="3426"/>
      <c r="AB33" s="3426"/>
      <c r="AC33" s="3426"/>
      <c r="AD33" s="3426"/>
      <c r="AE33" s="3426"/>
      <c r="AF33" s="3426"/>
      <c r="AG33" s="3426"/>
      <c r="AH33" s="3426"/>
      <c r="AI33" s="3426"/>
      <c r="AJ33" s="816"/>
      <c r="AK33" s="595"/>
      <c r="AM33" s="874"/>
      <c r="AN33" s="874"/>
    </row>
    <row r="34" spans="1:40" ht="15.9" customHeight="1">
      <c r="A34" s="595"/>
      <c r="B34" s="819"/>
      <c r="C34" s="595"/>
      <c r="D34" s="595"/>
      <c r="E34" s="3426"/>
      <c r="F34" s="3426"/>
      <c r="G34" s="3426"/>
      <c r="H34" s="3426"/>
      <c r="I34" s="3426"/>
      <c r="J34" s="3426"/>
      <c r="K34" s="3426"/>
      <c r="L34" s="3426"/>
      <c r="M34" s="3426"/>
      <c r="N34" s="3426"/>
      <c r="O34" s="3426"/>
      <c r="P34" s="3426"/>
      <c r="Q34" s="3426"/>
      <c r="R34" s="3426"/>
      <c r="S34" s="3426"/>
      <c r="T34" s="3426"/>
      <c r="U34" s="3426"/>
      <c r="V34" s="3426"/>
      <c r="W34" s="3426"/>
      <c r="X34" s="3426"/>
      <c r="Y34" s="3426"/>
      <c r="Z34" s="3426"/>
      <c r="AA34" s="3426"/>
      <c r="AB34" s="3426"/>
      <c r="AC34" s="3426"/>
      <c r="AD34" s="3426"/>
      <c r="AE34" s="3426"/>
      <c r="AF34" s="3426"/>
      <c r="AG34" s="3426"/>
      <c r="AH34" s="3426"/>
      <c r="AI34" s="3426"/>
      <c r="AJ34" s="816"/>
      <c r="AK34" s="595"/>
      <c r="AM34" s="874"/>
      <c r="AN34" s="874"/>
    </row>
    <row r="35" spans="1:40" ht="15.9" customHeight="1">
      <c r="A35" s="595"/>
      <c r="B35" s="819"/>
      <c r="C35" s="595"/>
      <c r="D35" s="595"/>
      <c r="E35" s="3426"/>
      <c r="F35" s="3426"/>
      <c r="G35" s="3426"/>
      <c r="H35" s="3426"/>
      <c r="I35" s="3426"/>
      <c r="J35" s="3426"/>
      <c r="K35" s="3426"/>
      <c r="L35" s="3426"/>
      <c r="M35" s="3426"/>
      <c r="N35" s="3426"/>
      <c r="O35" s="3426"/>
      <c r="P35" s="3426"/>
      <c r="Q35" s="3426"/>
      <c r="R35" s="3426"/>
      <c r="S35" s="3426"/>
      <c r="T35" s="3426"/>
      <c r="U35" s="3426"/>
      <c r="V35" s="3426"/>
      <c r="W35" s="3426"/>
      <c r="X35" s="3426"/>
      <c r="Y35" s="3426"/>
      <c r="Z35" s="3426"/>
      <c r="AA35" s="3426"/>
      <c r="AB35" s="3426"/>
      <c r="AC35" s="3426"/>
      <c r="AD35" s="3426"/>
      <c r="AE35" s="3426"/>
      <c r="AF35" s="3426"/>
      <c r="AG35" s="3426"/>
      <c r="AH35" s="3426"/>
      <c r="AI35" s="3426"/>
      <c r="AJ35" s="816"/>
      <c r="AK35" s="595"/>
    </row>
    <row r="36" spans="1:40" ht="15.9" customHeight="1">
      <c r="A36" s="595"/>
      <c r="B36" s="819"/>
      <c r="C36" s="595"/>
      <c r="D36" s="595"/>
      <c r="E36" s="3426"/>
      <c r="F36" s="3426"/>
      <c r="G36" s="3426"/>
      <c r="H36" s="3426"/>
      <c r="I36" s="3426"/>
      <c r="J36" s="3426"/>
      <c r="K36" s="3426"/>
      <c r="L36" s="3426"/>
      <c r="M36" s="3426"/>
      <c r="N36" s="3426"/>
      <c r="O36" s="3426"/>
      <c r="P36" s="3426"/>
      <c r="Q36" s="3426"/>
      <c r="R36" s="3426"/>
      <c r="S36" s="3426"/>
      <c r="T36" s="3426"/>
      <c r="U36" s="3426"/>
      <c r="V36" s="3426"/>
      <c r="W36" s="3426"/>
      <c r="X36" s="3426"/>
      <c r="Y36" s="3426"/>
      <c r="Z36" s="3426"/>
      <c r="AA36" s="3426"/>
      <c r="AB36" s="3426"/>
      <c r="AC36" s="3426"/>
      <c r="AD36" s="3426"/>
      <c r="AE36" s="3426"/>
      <c r="AF36" s="3426"/>
      <c r="AG36" s="3426"/>
      <c r="AH36" s="3426"/>
      <c r="AI36" s="3426"/>
      <c r="AJ36" s="816"/>
      <c r="AK36" s="595"/>
    </row>
    <row r="37" spans="1:40" ht="15.9" customHeight="1">
      <c r="A37" s="595"/>
      <c r="B37" s="819"/>
      <c r="C37" s="595"/>
      <c r="D37" s="595"/>
      <c r="E37" s="3426"/>
      <c r="F37" s="3426"/>
      <c r="G37" s="3426"/>
      <c r="H37" s="3426"/>
      <c r="I37" s="3426"/>
      <c r="J37" s="3426"/>
      <c r="K37" s="3426"/>
      <c r="L37" s="3426"/>
      <c r="M37" s="3426"/>
      <c r="N37" s="3426"/>
      <c r="O37" s="3426"/>
      <c r="P37" s="3426"/>
      <c r="Q37" s="3426"/>
      <c r="R37" s="3426"/>
      <c r="S37" s="3426"/>
      <c r="T37" s="3426"/>
      <c r="U37" s="3426"/>
      <c r="V37" s="3426"/>
      <c r="W37" s="3426"/>
      <c r="X37" s="3426"/>
      <c r="Y37" s="3426"/>
      <c r="Z37" s="3426"/>
      <c r="AA37" s="3426"/>
      <c r="AB37" s="3426"/>
      <c r="AC37" s="3426"/>
      <c r="AD37" s="3426"/>
      <c r="AE37" s="3426"/>
      <c r="AF37" s="3426"/>
      <c r="AG37" s="3426"/>
      <c r="AH37" s="3426"/>
      <c r="AI37" s="3426"/>
      <c r="AJ37" s="816"/>
      <c r="AK37" s="595"/>
    </row>
    <row r="38" spans="1:40" ht="15.9" customHeight="1">
      <c r="A38" s="595"/>
      <c r="B38" s="819"/>
      <c r="C38" s="595"/>
      <c r="D38" s="595"/>
      <c r="E38" s="3426"/>
      <c r="F38" s="3426"/>
      <c r="G38" s="3426"/>
      <c r="H38" s="3426"/>
      <c r="I38" s="3426"/>
      <c r="J38" s="3426"/>
      <c r="K38" s="3426"/>
      <c r="L38" s="3426"/>
      <c r="M38" s="3426"/>
      <c r="N38" s="3426"/>
      <c r="O38" s="3426"/>
      <c r="P38" s="3426"/>
      <c r="Q38" s="3426"/>
      <c r="R38" s="3426"/>
      <c r="S38" s="3426"/>
      <c r="T38" s="3426"/>
      <c r="U38" s="3426"/>
      <c r="V38" s="3426"/>
      <c r="W38" s="3426"/>
      <c r="X38" s="3426"/>
      <c r="Y38" s="3426"/>
      <c r="Z38" s="3426"/>
      <c r="AA38" s="3426"/>
      <c r="AB38" s="3426"/>
      <c r="AC38" s="3426"/>
      <c r="AD38" s="3426"/>
      <c r="AE38" s="3426"/>
      <c r="AF38" s="3426"/>
      <c r="AG38" s="3426"/>
      <c r="AH38" s="3426"/>
      <c r="AI38" s="3426"/>
      <c r="AJ38" s="827"/>
      <c r="AK38" s="595"/>
    </row>
    <row r="39" spans="1:40" ht="15.9" customHeight="1">
      <c r="A39" s="595"/>
      <c r="B39" s="819"/>
      <c r="C39" s="595"/>
      <c r="D39" s="595"/>
      <c r="E39" s="3426"/>
      <c r="F39" s="3426"/>
      <c r="G39" s="3426"/>
      <c r="H39" s="3426"/>
      <c r="I39" s="3426"/>
      <c r="J39" s="3426"/>
      <c r="K39" s="3426"/>
      <c r="L39" s="3426"/>
      <c r="M39" s="3426"/>
      <c r="N39" s="3426"/>
      <c r="O39" s="3426"/>
      <c r="P39" s="3426"/>
      <c r="Q39" s="3426"/>
      <c r="R39" s="3426"/>
      <c r="S39" s="3426"/>
      <c r="T39" s="3426"/>
      <c r="U39" s="3426"/>
      <c r="V39" s="3426"/>
      <c r="W39" s="3426"/>
      <c r="X39" s="3426"/>
      <c r="Y39" s="3426"/>
      <c r="Z39" s="3426"/>
      <c r="AA39" s="3426"/>
      <c r="AB39" s="3426"/>
      <c r="AC39" s="3426"/>
      <c r="AD39" s="3426"/>
      <c r="AE39" s="3426"/>
      <c r="AF39" s="3426"/>
      <c r="AG39" s="3426"/>
      <c r="AH39" s="3426"/>
      <c r="AI39" s="3426"/>
      <c r="AJ39" s="827"/>
      <c r="AK39" s="595"/>
    </row>
    <row r="40" spans="1:40" ht="15.9" customHeight="1">
      <c r="A40" s="595"/>
      <c r="B40" s="819"/>
      <c r="C40" s="595"/>
      <c r="D40" s="595"/>
      <c r="E40" s="3426"/>
      <c r="F40" s="3426"/>
      <c r="G40" s="3426"/>
      <c r="H40" s="3426"/>
      <c r="I40" s="3426"/>
      <c r="J40" s="3426"/>
      <c r="K40" s="3426"/>
      <c r="L40" s="3426"/>
      <c r="M40" s="3426"/>
      <c r="N40" s="3426"/>
      <c r="O40" s="3426"/>
      <c r="P40" s="3426"/>
      <c r="Q40" s="3426"/>
      <c r="R40" s="3426"/>
      <c r="S40" s="3426"/>
      <c r="T40" s="3426"/>
      <c r="U40" s="3426"/>
      <c r="V40" s="3426"/>
      <c r="W40" s="3426"/>
      <c r="X40" s="3426"/>
      <c r="Y40" s="3426"/>
      <c r="Z40" s="3426"/>
      <c r="AA40" s="3426"/>
      <c r="AB40" s="3426"/>
      <c r="AC40" s="3426"/>
      <c r="AD40" s="3426"/>
      <c r="AE40" s="3426"/>
      <c r="AF40" s="3426"/>
      <c r="AG40" s="3426"/>
      <c r="AH40" s="3426"/>
      <c r="AI40" s="3426"/>
      <c r="AJ40" s="816"/>
      <c r="AK40" s="595"/>
    </row>
    <row r="41" spans="1:40" ht="15.9" customHeight="1">
      <c r="A41" s="595"/>
      <c r="B41" s="819"/>
      <c r="C41" s="595"/>
      <c r="D41" s="595"/>
      <c r="E41" s="3426"/>
      <c r="F41" s="3426"/>
      <c r="G41" s="3426"/>
      <c r="H41" s="3426"/>
      <c r="I41" s="3426"/>
      <c r="J41" s="3426"/>
      <c r="K41" s="3426"/>
      <c r="L41" s="3426"/>
      <c r="M41" s="3426"/>
      <c r="N41" s="3426"/>
      <c r="O41" s="3426"/>
      <c r="P41" s="3426"/>
      <c r="Q41" s="3426"/>
      <c r="R41" s="3426"/>
      <c r="S41" s="3426"/>
      <c r="T41" s="3426"/>
      <c r="U41" s="3426"/>
      <c r="V41" s="3426"/>
      <c r="W41" s="3426"/>
      <c r="X41" s="3426"/>
      <c r="Y41" s="3426"/>
      <c r="Z41" s="3426"/>
      <c r="AA41" s="3426"/>
      <c r="AB41" s="3426"/>
      <c r="AC41" s="3426"/>
      <c r="AD41" s="3426"/>
      <c r="AE41" s="3426"/>
      <c r="AF41" s="3426"/>
      <c r="AG41" s="3426"/>
      <c r="AH41" s="3426"/>
      <c r="AI41" s="3426"/>
      <c r="AJ41" s="816"/>
      <c r="AK41" s="595"/>
      <c r="AM41" s="874"/>
      <c r="AN41" s="874"/>
    </row>
    <row r="42" spans="1:40" ht="15.9" customHeight="1">
      <c r="A42" s="595"/>
      <c r="B42" s="819"/>
      <c r="C42" s="595"/>
      <c r="D42" s="595"/>
      <c r="E42" s="3426"/>
      <c r="F42" s="3426"/>
      <c r="G42" s="3426"/>
      <c r="H42" s="3426"/>
      <c r="I42" s="3426"/>
      <c r="J42" s="3426"/>
      <c r="K42" s="3426"/>
      <c r="L42" s="3426"/>
      <c r="M42" s="3426"/>
      <c r="N42" s="3426"/>
      <c r="O42" s="3426"/>
      <c r="P42" s="3426"/>
      <c r="Q42" s="3426"/>
      <c r="R42" s="3426"/>
      <c r="S42" s="3426"/>
      <c r="T42" s="3426"/>
      <c r="U42" s="3426"/>
      <c r="V42" s="3426"/>
      <c r="W42" s="3426"/>
      <c r="X42" s="3426"/>
      <c r="Y42" s="3426"/>
      <c r="Z42" s="3426"/>
      <c r="AA42" s="3426"/>
      <c r="AB42" s="3426"/>
      <c r="AC42" s="3426"/>
      <c r="AD42" s="3426"/>
      <c r="AE42" s="3426"/>
      <c r="AF42" s="3426"/>
      <c r="AG42" s="3426"/>
      <c r="AH42" s="3426"/>
      <c r="AI42" s="3426"/>
      <c r="AJ42" s="816"/>
      <c r="AK42" s="595"/>
      <c r="AM42" s="874"/>
      <c r="AN42" s="874"/>
    </row>
    <row r="43" spans="1:40" ht="15.9" customHeight="1">
      <c r="A43" s="595"/>
      <c r="B43" s="819"/>
      <c r="C43" s="595"/>
      <c r="D43" s="595"/>
      <c r="E43" s="3426"/>
      <c r="F43" s="3426"/>
      <c r="G43" s="3426"/>
      <c r="H43" s="3426"/>
      <c r="I43" s="3426"/>
      <c r="J43" s="3426"/>
      <c r="K43" s="3426"/>
      <c r="L43" s="3426"/>
      <c r="M43" s="3426"/>
      <c r="N43" s="3426"/>
      <c r="O43" s="3426"/>
      <c r="P43" s="3426"/>
      <c r="Q43" s="3426"/>
      <c r="R43" s="3426"/>
      <c r="S43" s="3426"/>
      <c r="T43" s="3426"/>
      <c r="U43" s="3426"/>
      <c r="V43" s="3426"/>
      <c r="W43" s="3426"/>
      <c r="X43" s="3426"/>
      <c r="Y43" s="3426"/>
      <c r="Z43" s="3426"/>
      <c r="AA43" s="3426"/>
      <c r="AB43" s="3426"/>
      <c r="AC43" s="3426"/>
      <c r="AD43" s="3426"/>
      <c r="AE43" s="3426"/>
      <c r="AF43" s="3426"/>
      <c r="AG43" s="3426"/>
      <c r="AH43" s="3426"/>
      <c r="AI43" s="3426"/>
      <c r="AJ43" s="816"/>
      <c r="AK43" s="595"/>
    </row>
    <row r="44" spans="1:40" ht="15.9" customHeight="1">
      <c r="A44" s="595"/>
      <c r="B44" s="819"/>
      <c r="C44" s="595"/>
      <c r="D44" s="595"/>
      <c r="E44" s="3426"/>
      <c r="F44" s="3426"/>
      <c r="G44" s="3426"/>
      <c r="H44" s="3426"/>
      <c r="I44" s="3426"/>
      <c r="J44" s="3426"/>
      <c r="K44" s="3426"/>
      <c r="L44" s="3426"/>
      <c r="M44" s="3426"/>
      <c r="N44" s="3426"/>
      <c r="O44" s="3426"/>
      <c r="P44" s="3426"/>
      <c r="Q44" s="3426"/>
      <c r="R44" s="3426"/>
      <c r="S44" s="3426"/>
      <c r="T44" s="3426"/>
      <c r="U44" s="3426"/>
      <c r="V44" s="3426"/>
      <c r="W44" s="3426"/>
      <c r="X44" s="3426"/>
      <c r="Y44" s="3426"/>
      <c r="Z44" s="3426"/>
      <c r="AA44" s="3426"/>
      <c r="AB44" s="3426"/>
      <c r="AC44" s="3426"/>
      <c r="AD44" s="3426"/>
      <c r="AE44" s="3426"/>
      <c r="AF44" s="3426"/>
      <c r="AG44" s="3426"/>
      <c r="AH44" s="3426"/>
      <c r="AI44" s="3426"/>
      <c r="AJ44" s="816"/>
      <c r="AK44" s="595"/>
    </row>
    <row r="45" spans="1:40" ht="15.9" customHeight="1">
      <c r="A45" s="595"/>
      <c r="B45" s="819"/>
      <c r="C45" s="595"/>
      <c r="D45" s="595"/>
      <c r="E45" s="3426"/>
      <c r="F45" s="3426"/>
      <c r="G45" s="3426"/>
      <c r="H45" s="3426"/>
      <c r="I45" s="3426"/>
      <c r="J45" s="3426"/>
      <c r="K45" s="3426"/>
      <c r="L45" s="3426"/>
      <c r="M45" s="3426"/>
      <c r="N45" s="3426"/>
      <c r="O45" s="3426"/>
      <c r="P45" s="3426"/>
      <c r="Q45" s="3426"/>
      <c r="R45" s="3426"/>
      <c r="S45" s="3426"/>
      <c r="T45" s="3426"/>
      <c r="U45" s="3426"/>
      <c r="V45" s="3426"/>
      <c r="W45" s="3426"/>
      <c r="X45" s="3426"/>
      <c r="Y45" s="3426"/>
      <c r="Z45" s="3426"/>
      <c r="AA45" s="3426"/>
      <c r="AB45" s="3426"/>
      <c r="AC45" s="3426"/>
      <c r="AD45" s="3426"/>
      <c r="AE45" s="3426"/>
      <c r="AF45" s="3426"/>
      <c r="AG45" s="3426"/>
      <c r="AH45" s="3426"/>
      <c r="AI45" s="3426"/>
      <c r="AJ45" s="816"/>
      <c r="AK45" s="595"/>
    </row>
    <row r="46" spans="1:40" ht="15.9" customHeight="1">
      <c r="A46" s="595"/>
      <c r="B46" s="819"/>
      <c r="C46" s="595"/>
      <c r="D46" s="595"/>
      <c r="E46" s="3426"/>
      <c r="F46" s="3426"/>
      <c r="G46" s="3426"/>
      <c r="H46" s="3426"/>
      <c r="I46" s="3426"/>
      <c r="J46" s="3426"/>
      <c r="K46" s="3426"/>
      <c r="L46" s="3426"/>
      <c r="M46" s="3426"/>
      <c r="N46" s="3426"/>
      <c r="O46" s="3426"/>
      <c r="P46" s="3426"/>
      <c r="Q46" s="3426"/>
      <c r="R46" s="3426"/>
      <c r="S46" s="3426"/>
      <c r="T46" s="3426"/>
      <c r="U46" s="3426"/>
      <c r="V46" s="3426"/>
      <c r="W46" s="3426"/>
      <c r="X46" s="3426"/>
      <c r="Y46" s="3426"/>
      <c r="Z46" s="3426"/>
      <c r="AA46" s="3426"/>
      <c r="AB46" s="3426"/>
      <c r="AC46" s="3426"/>
      <c r="AD46" s="3426"/>
      <c r="AE46" s="3426"/>
      <c r="AF46" s="3426"/>
      <c r="AG46" s="3426"/>
      <c r="AH46" s="3426"/>
      <c r="AI46" s="3426"/>
      <c r="AJ46" s="827"/>
      <c r="AK46" s="595"/>
    </row>
    <row r="47" spans="1:40" ht="15.9" customHeight="1">
      <c r="A47" s="595"/>
      <c r="B47" s="819"/>
      <c r="C47" s="595"/>
      <c r="D47" s="595"/>
      <c r="E47" s="3426"/>
      <c r="F47" s="3426"/>
      <c r="G47" s="3426"/>
      <c r="H47" s="3426"/>
      <c r="I47" s="3426"/>
      <c r="J47" s="3426"/>
      <c r="K47" s="3426"/>
      <c r="L47" s="3426"/>
      <c r="M47" s="3426"/>
      <c r="N47" s="3426"/>
      <c r="O47" s="3426"/>
      <c r="P47" s="3426"/>
      <c r="Q47" s="3426"/>
      <c r="R47" s="3426"/>
      <c r="S47" s="3426"/>
      <c r="T47" s="3426"/>
      <c r="U47" s="3426"/>
      <c r="V47" s="3426"/>
      <c r="W47" s="3426"/>
      <c r="X47" s="3426"/>
      <c r="Y47" s="3426"/>
      <c r="Z47" s="3426"/>
      <c r="AA47" s="3426"/>
      <c r="AB47" s="3426"/>
      <c r="AC47" s="3426"/>
      <c r="AD47" s="3426"/>
      <c r="AE47" s="3426"/>
      <c r="AF47" s="3426"/>
      <c r="AG47" s="3426"/>
      <c r="AH47" s="3426"/>
      <c r="AI47" s="3426"/>
      <c r="AJ47" s="827"/>
      <c r="AK47" s="595"/>
    </row>
    <row r="48" spans="1:40" ht="15.9" customHeight="1">
      <c r="A48" s="595"/>
      <c r="B48" s="819"/>
      <c r="C48" s="595"/>
      <c r="D48" s="595"/>
      <c r="E48" s="3426"/>
      <c r="F48" s="3426"/>
      <c r="G48" s="3426"/>
      <c r="H48" s="3426"/>
      <c r="I48" s="3426"/>
      <c r="J48" s="3426"/>
      <c r="K48" s="3426"/>
      <c r="L48" s="3426"/>
      <c r="M48" s="3426"/>
      <c r="N48" s="3426"/>
      <c r="O48" s="3426"/>
      <c r="P48" s="3426"/>
      <c r="Q48" s="3426"/>
      <c r="R48" s="3426"/>
      <c r="S48" s="3426"/>
      <c r="T48" s="3426"/>
      <c r="U48" s="3426"/>
      <c r="V48" s="3426"/>
      <c r="W48" s="3426"/>
      <c r="X48" s="3426"/>
      <c r="Y48" s="3426"/>
      <c r="Z48" s="3426"/>
      <c r="AA48" s="3426"/>
      <c r="AB48" s="3426"/>
      <c r="AC48" s="3426"/>
      <c r="AD48" s="3426"/>
      <c r="AE48" s="3426"/>
      <c r="AF48" s="3426"/>
      <c r="AG48" s="3426"/>
      <c r="AH48" s="3426"/>
      <c r="AI48" s="3426"/>
      <c r="AJ48" s="816"/>
      <c r="AK48" s="595"/>
    </row>
    <row r="49" spans="1:37" ht="15.9" customHeight="1">
      <c r="A49" s="595"/>
      <c r="B49" s="819"/>
      <c r="C49" s="595"/>
      <c r="D49" s="595"/>
      <c r="E49" s="3426"/>
      <c r="F49" s="3426"/>
      <c r="G49" s="3426"/>
      <c r="H49" s="3426"/>
      <c r="I49" s="3426"/>
      <c r="J49" s="3426"/>
      <c r="K49" s="3426"/>
      <c r="L49" s="3426"/>
      <c r="M49" s="3426"/>
      <c r="N49" s="3426"/>
      <c r="O49" s="3426"/>
      <c r="P49" s="3426"/>
      <c r="Q49" s="3426"/>
      <c r="R49" s="3426"/>
      <c r="S49" s="3426"/>
      <c r="T49" s="3426"/>
      <c r="U49" s="3426"/>
      <c r="V49" s="3426"/>
      <c r="W49" s="3426"/>
      <c r="X49" s="3426"/>
      <c r="Y49" s="3426"/>
      <c r="Z49" s="3426"/>
      <c r="AA49" s="3426"/>
      <c r="AB49" s="3426"/>
      <c r="AC49" s="3426"/>
      <c r="AD49" s="3426"/>
      <c r="AE49" s="3426"/>
      <c r="AF49" s="3426"/>
      <c r="AG49" s="3426"/>
      <c r="AH49" s="3426"/>
      <c r="AI49" s="3426"/>
      <c r="AJ49" s="816"/>
      <c r="AK49" s="595"/>
    </row>
    <row r="50" spans="1:37" ht="15.9" customHeight="1">
      <c r="A50" s="595"/>
      <c r="B50" s="819"/>
      <c r="C50" s="595"/>
      <c r="D50" s="595"/>
      <c r="E50" s="3426"/>
      <c r="F50" s="3426"/>
      <c r="G50" s="3426"/>
      <c r="H50" s="3426"/>
      <c r="I50" s="3426"/>
      <c r="J50" s="3426"/>
      <c r="K50" s="3426"/>
      <c r="L50" s="3426"/>
      <c r="M50" s="3426"/>
      <c r="N50" s="3426"/>
      <c r="O50" s="3426"/>
      <c r="P50" s="3426"/>
      <c r="Q50" s="3426"/>
      <c r="R50" s="3426"/>
      <c r="S50" s="3426"/>
      <c r="T50" s="3426"/>
      <c r="U50" s="3426"/>
      <c r="V50" s="3426"/>
      <c r="W50" s="3426"/>
      <c r="X50" s="3426"/>
      <c r="Y50" s="3426"/>
      <c r="Z50" s="3426"/>
      <c r="AA50" s="3426"/>
      <c r="AB50" s="3426"/>
      <c r="AC50" s="3426"/>
      <c r="AD50" s="3426"/>
      <c r="AE50" s="3426"/>
      <c r="AF50" s="3426"/>
      <c r="AG50" s="3426"/>
      <c r="AH50" s="3426"/>
      <c r="AI50" s="3426"/>
      <c r="AJ50" s="816"/>
      <c r="AK50" s="595"/>
    </row>
    <row r="51" spans="1:37" ht="15.9" customHeight="1">
      <c r="A51" s="595"/>
      <c r="B51" s="819"/>
      <c r="C51" s="595"/>
      <c r="D51" s="595"/>
      <c r="E51" s="3426"/>
      <c r="F51" s="3426"/>
      <c r="G51" s="3426"/>
      <c r="H51" s="3426"/>
      <c r="I51" s="3426"/>
      <c r="J51" s="3426"/>
      <c r="K51" s="3426"/>
      <c r="L51" s="3426"/>
      <c r="M51" s="3426"/>
      <c r="N51" s="3426"/>
      <c r="O51" s="3426"/>
      <c r="P51" s="3426"/>
      <c r="Q51" s="3426"/>
      <c r="R51" s="3426"/>
      <c r="S51" s="3426"/>
      <c r="T51" s="3426"/>
      <c r="U51" s="3426"/>
      <c r="V51" s="3426"/>
      <c r="W51" s="3426"/>
      <c r="X51" s="3426"/>
      <c r="Y51" s="3426"/>
      <c r="Z51" s="3426"/>
      <c r="AA51" s="3426"/>
      <c r="AB51" s="3426"/>
      <c r="AC51" s="3426"/>
      <c r="AD51" s="3426"/>
      <c r="AE51" s="3426"/>
      <c r="AF51" s="3426"/>
      <c r="AG51" s="3426"/>
      <c r="AH51" s="3426"/>
      <c r="AI51" s="3426"/>
      <c r="AJ51" s="816"/>
      <c r="AK51" s="595"/>
    </row>
    <row r="52" spans="1:37" ht="15.9" customHeight="1">
      <c r="A52" s="595"/>
      <c r="B52" s="819"/>
      <c r="C52" s="595"/>
      <c r="D52" s="595"/>
      <c r="E52" s="3426"/>
      <c r="F52" s="3426"/>
      <c r="G52" s="3426"/>
      <c r="H52" s="3426"/>
      <c r="I52" s="3426"/>
      <c r="J52" s="3426"/>
      <c r="K52" s="3426"/>
      <c r="L52" s="3426"/>
      <c r="M52" s="3426"/>
      <c r="N52" s="3426"/>
      <c r="O52" s="3426"/>
      <c r="P52" s="3426"/>
      <c r="Q52" s="3426"/>
      <c r="R52" s="3426"/>
      <c r="S52" s="3426"/>
      <c r="T52" s="3426"/>
      <c r="U52" s="3426"/>
      <c r="V52" s="3426"/>
      <c r="W52" s="3426"/>
      <c r="X52" s="3426"/>
      <c r="Y52" s="3426"/>
      <c r="Z52" s="3426"/>
      <c r="AA52" s="3426"/>
      <c r="AB52" s="3426"/>
      <c r="AC52" s="3426"/>
      <c r="AD52" s="3426"/>
      <c r="AE52" s="3426"/>
      <c r="AF52" s="3426"/>
      <c r="AG52" s="3426"/>
      <c r="AH52" s="3426"/>
      <c r="AI52" s="3426"/>
      <c r="AJ52" s="827"/>
      <c r="AK52" s="595"/>
    </row>
    <row r="53" spans="1:37" ht="15.9" customHeight="1">
      <c r="A53" s="595"/>
      <c r="B53" s="819"/>
      <c r="C53" s="595"/>
      <c r="D53" s="595"/>
      <c r="E53" s="3426"/>
      <c r="F53" s="3426"/>
      <c r="G53" s="3426"/>
      <c r="H53" s="3426"/>
      <c r="I53" s="3426"/>
      <c r="J53" s="3426"/>
      <c r="K53" s="3426"/>
      <c r="L53" s="3426"/>
      <c r="M53" s="3426"/>
      <c r="N53" s="3426"/>
      <c r="O53" s="3426"/>
      <c r="P53" s="3426"/>
      <c r="Q53" s="3426"/>
      <c r="R53" s="3426"/>
      <c r="S53" s="3426"/>
      <c r="T53" s="3426"/>
      <c r="U53" s="3426"/>
      <c r="V53" s="3426"/>
      <c r="W53" s="3426"/>
      <c r="X53" s="3426"/>
      <c r="Y53" s="3426"/>
      <c r="Z53" s="3426"/>
      <c r="AA53" s="3426"/>
      <c r="AB53" s="3426"/>
      <c r="AC53" s="3426"/>
      <c r="AD53" s="3426"/>
      <c r="AE53" s="3426"/>
      <c r="AF53" s="3426"/>
      <c r="AG53" s="3426"/>
      <c r="AH53" s="3426"/>
      <c r="AI53" s="3426"/>
      <c r="AJ53" s="827"/>
      <c r="AK53" s="595"/>
    </row>
    <row r="54" spans="1:37" ht="15.9" customHeight="1">
      <c r="A54" s="595"/>
      <c r="B54" s="819"/>
      <c r="C54" s="595"/>
      <c r="D54" s="595"/>
      <c r="E54" s="3426"/>
      <c r="F54" s="3426"/>
      <c r="G54" s="3426"/>
      <c r="H54" s="3426"/>
      <c r="I54" s="3426"/>
      <c r="J54" s="3426"/>
      <c r="K54" s="3426"/>
      <c r="L54" s="3426"/>
      <c r="M54" s="3426"/>
      <c r="N54" s="3426"/>
      <c r="O54" s="3426"/>
      <c r="P54" s="3426"/>
      <c r="Q54" s="3426"/>
      <c r="R54" s="3426"/>
      <c r="S54" s="3426"/>
      <c r="T54" s="3426"/>
      <c r="U54" s="3426"/>
      <c r="V54" s="3426"/>
      <c r="W54" s="3426"/>
      <c r="X54" s="3426"/>
      <c r="Y54" s="3426"/>
      <c r="Z54" s="3426"/>
      <c r="AA54" s="3426"/>
      <c r="AB54" s="3426"/>
      <c r="AC54" s="3426"/>
      <c r="AD54" s="3426"/>
      <c r="AE54" s="3426"/>
      <c r="AF54" s="3426"/>
      <c r="AG54" s="3426"/>
      <c r="AH54" s="3426"/>
      <c r="AI54" s="3426"/>
      <c r="AJ54" s="816"/>
      <c r="AK54" s="595"/>
    </row>
    <row r="55" spans="1:37" ht="15.9" customHeight="1">
      <c r="A55" s="595"/>
      <c r="B55" s="819"/>
      <c r="C55" s="595"/>
      <c r="D55" s="595"/>
      <c r="E55" s="3426"/>
      <c r="F55" s="3426"/>
      <c r="G55" s="3426"/>
      <c r="H55" s="3426"/>
      <c r="I55" s="3426"/>
      <c r="J55" s="3426"/>
      <c r="K55" s="3426"/>
      <c r="L55" s="3426"/>
      <c r="M55" s="3426"/>
      <c r="N55" s="3426"/>
      <c r="O55" s="3426"/>
      <c r="P55" s="3426"/>
      <c r="Q55" s="3426"/>
      <c r="R55" s="3426"/>
      <c r="S55" s="3426"/>
      <c r="T55" s="3426"/>
      <c r="U55" s="3426"/>
      <c r="V55" s="3426"/>
      <c r="W55" s="3426"/>
      <c r="X55" s="3426"/>
      <c r="Y55" s="3426"/>
      <c r="Z55" s="3426"/>
      <c r="AA55" s="3426"/>
      <c r="AB55" s="3426"/>
      <c r="AC55" s="3426"/>
      <c r="AD55" s="3426"/>
      <c r="AE55" s="3426"/>
      <c r="AF55" s="3426"/>
      <c r="AG55" s="3426"/>
      <c r="AH55" s="3426"/>
      <c r="AI55" s="3426"/>
      <c r="AJ55" s="816"/>
      <c r="AK55" s="595"/>
    </row>
    <row r="56" spans="1:37" ht="15.9" customHeight="1">
      <c r="A56" s="595"/>
      <c r="B56" s="819"/>
      <c r="C56" s="595"/>
      <c r="D56" s="595"/>
      <c r="E56" s="3426"/>
      <c r="F56" s="3426"/>
      <c r="G56" s="3426"/>
      <c r="H56" s="3426"/>
      <c r="I56" s="3426"/>
      <c r="J56" s="3426"/>
      <c r="K56" s="3426"/>
      <c r="L56" s="3426"/>
      <c r="M56" s="3426"/>
      <c r="N56" s="3426"/>
      <c r="O56" s="3426"/>
      <c r="P56" s="3426"/>
      <c r="Q56" s="3426"/>
      <c r="R56" s="3426"/>
      <c r="S56" s="3426"/>
      <c r="T56" s="3426"/>
      <c r="U56" s="3426"/>
      <c r="V56" s="3426"/>
      <c r="W56" s="3426"/>
      <c r="X56" s="3426"/>
      <c r="Y56" s="3426"/>
      <c r="Z56" s="3426"/>
      <c r="AA56" s="3426"/>
      <c r="AB56" s="3426"/>
      <c r="AC56" s="3426"/>
      <c r="AD56" s="3426"/>
      <c r="AE56" s="3426"/>
      <c r="AF56" s="3426"/>
      <c r="AG56" s="3426"/>
      <c r="AH56" s="3426"/>
      <c r="AI56" s="3426"/>
      <c r="AJ56" s="816"/>
      <c r="AK56" s="595"/>
    </row>
    <row r="57" spans="1:37" ht="15.9" customHeight="1">
      <c r="A57" s="595"/>
      <c r="B57" s="819"/>
      <c r="C57" s="595"/>
      <c r="D57" s="595"/>
      <c r="E57" s="3426"/>
      <c r="F57" s="3426"/>
      <c r="G57" s="3426"/>
      <c r="H57" s="3426"/>
      <c r="I57" s="3426"/>
      <c r="J57" s="3426"/>
      <c r="K57" s="3426"/>
      <c r="L57" s="3426"/>
      <c r="M57" s="3426"/>
      <c r="N57" s="3426"/>
      <c r="O57" s="3426"/>
      <c r="P57" s="3426"/>
      <c r="Q57" s="3426"/>
      <c r="R57" s="3426"/>
      <c r="S57" s="3426"/>
      <c r="T57" s="3426"/>
      <c r="U57" s="3426"/>
      <c r="V57" s="3426"/>
      <c r="W57" s="3426"/>
      <c r="X57" s="3426"/>
      <c r="Y57" s="3426"/>
      <c r="Z57" s="3426"/>
      <c r="AA57" s="3426"/>
      <c r="AB57" s="3426"/>
      <c r="AC57" s="3426"/>
      <c r="AD57" s="3426"/>
      <c r="AE57" s="3426"/>
      <c r="AF57" s="3426"/>
      <c r="AG57" s="3426"/>
      <c r="AH57" s="3426"/>
      <c r="AI57" s="3426"/>
      <c r="AJ57" s="816"/>
      <c r="AK57" s="595"/>
    </row>
    <row r="58" spans="1:37">
      <c r="A58" s="595"/>
      <c r="B58" s="819"/>
      <c r="C58" s="595"/>
      <c r="D58" s="595"/>
      <c r="E58" s="697"/>
      <c r="F58" s="697"/>
      <c r="G58" s="697"/>
      <c r="H58" s="697"/>
      <c r="I58" s="697"/>
      <c r="J58" s="697"/>
      <c r="K58" s="697"/>
      <c r="L58" s="697"/>
      <c r="M58" s="697"/>
      <c r="N58" s="697"/>
      <c r="O58" s="697"/>
      <c r="P58" s="697"/>
      <c r="Q58" s="896"/>
      <c r="R58" s="896"/>
      <c r="S58" s="896"/>
      <c r="T58" s="697"/>
      <c r="U58" s="697"/>
      <c r="V58" s="697"/>
      <c r="W58" s="697"/>
      <c r="X58" s="697"/>
      <c r="Y58" s="697"/>
      <c r="Z58" s="697"/>
      <c r="AA58" s="697"/>
      <c r="AB58" s="697"/>
      <c r="AC58" s="697"/>
      <c r="AD58" s="697"/>
      <c r="AE58" s="697"/>
      <c r="AF58" s="697"/>
      <c r="AG58" s="697"/>
      <c r="AH58" s="697"/>
      <c r="AI58" s="697"/>
      <c r="AJ58" s="816"/>
      <c r="AK58" s="595"/>
    </row>
    <row r="59" spans="1:37" ht="15" customHeight="1" thickBot="1">
      <c r="A59" s="595"/>
      <c r="B59" s="815"/>
      <c r="C59" s="881"/>
      <c r="D59" s="881"/>
      <c r="E59" s="881"/>
      <c r="F59" s="881"/>
      <c r="G59" s="881"/>
      <c r="H59" s="881"/>
      <c r="I59" s="881"/>
      <c r="J59" s="881"/>
      <c r="K59" s="881"/>
      <c r="L59" s="881"/>
      <c r="M59" s="881"/>
      <c r="N59" s="881"/>
      <c r="O59" s="881"/>
      <c r="P59" s="881"/>
      <c r="Q59" s="882"/>
      <c r="R59" s="882"/>
      <c r="S59" s="882"/>
      <c r="T59" s="881"/>
      <c r="U59" s="881"/>
      <c r="V59" s="881"/>
      <c r="W59" s="881"/>
      <c r="X59" s="881"/>
      <c r="Y59" s="881"/>
      <c r="Z59" s="881"/>
      <c r="AA59" s="881"/>
      <c r="AB59" s="881"/>
      <c r="AC59" s="881"/>
      <c r="AD59" s="881"/>
      <c r="AE59" s="881"/>
      <c r="AF59" s="881"/>
      <c r="AG59" s="881"/>
      <c r="AH59" s="881"/>
      <c r="AI59" s="881"/>
      <c r="AJ59" s="883"/>
      <c r="AK59" s="595"/>
    </row>
    <row r="60" spans="1:37" ht="6.75" customHeight="1" thickTop="1">
      <c r="A60" s="595"/>
      <c r="B60" s="595"/>
      <c r="C60" s="595"/>
      <c r="D60" s="595"/>
      <c r="E60" s="595"/>
      <c r="F60" s="595"/>
      <c r="G60" s="595"/>
      <c r="H60" s="595"/>
      <c r="I60" s="595"/>
      <c r="J60" s="595"/>
      <c r="K60" s="595"/>
      <c r="L60" s="595"/>
      <c r="M60" s="595"/>
      <c r="N60" s="595"/>
      <c r="O60" s="595"/>
      <c r="P60" s="595"/>
      <c r="Q60" s="812"/>
      <c r="R60" s="812"/>
      <c r="S60" s="812"/>
      <c r="T60" s="595"/>
      <c r="U60" s="595"/>
      <c r="V60" s="595"/>
      <c r="W60" s="595"/>
      <c r="X60" s="595"/>
      <c r="Y60" s="595"/>
      <c r="Z60" s="595"/>
      <c r="AA60" s="595"/>
      <c r="AB60" s="595"/>
      <c r="AC60" s="595"/>
      <c r="AD60" s="595"/>
      <c r="AE60" s="595"/>
      <c r="AF60" s="595"/>
      <c r="AG60" s="595"/>
      <c r="AH60" s="595"/>
      <c r="AI60" s="595"/>
      <c r="AJ60" s="595"/>
      <c r="AK60" s="595"/>
    </row>
  </sheetData>
  <sheetProtection selectLockedCells="1"/>
  <mergeCells count="65">
    <mergeCell ref="E57:AI57"/>
    <mergeCell ref="E46:AI46"/>
    <mergeCell ref="E47:AI47"/>
    <mergeCell ref="E48:AI48"/>
    <mergeCell ref="E49:AI49"/>
    <mergeCell ref="E50:AI50"/>
    <mergeCell ref="E51:AI51"/>
    <mergeCell ref="E52:AI52"/>
    <mergeCell ref="E53:AI53"/>
    <mergeCell ref="E54:AI54"/>
    <mergeCell ref="E55:AI55"/>
    <mergeCell ref="E56:AI56"/>
    <mergeCell ref="E45:AI45"/>
    <mergeCell ref="E34:AI34"/>
    <mergeCell ref="E35:AI35"/>
    <mergeCell ref="E36:AI36"/>
    <mergeCell ref="E37:AI37"/>
    <mergeCell ref="E38:AI38"/>
    <mergeCell ref="E39:AI39"/>
    <mergeCell ref="E40:AI40"/>
    <mergeCell ref="E41:AI41"/>
    <mergeCell ref="E42:AI42"/>
    <mergeCell ref="E43:AI43"/>
    <mergeCell ref="E44:AI44"/>
    <mergeCell ref="E33:AI33"/>
    <mergeCell ref="E22:AI22"/>
    <mergeCell ref="E23:AI23"/>
    <mergeCell ref="E24:AI24"/>
    <mergeCell ref="E25:AI25"/>
    <mergeCell ref="E26:AI26"/>
    <mergeCell ref="E27:AI27"/>
    <mergeCell ref="E28:AI28"/>
    <mergeCell ref="E29:AI29"/>
    <mergeCell ref="E30:AI30"/>
    <mergeCell ref="E31:AI31"/>
    <mergeCell ref="E32:AI32"/>
    <mergeCell ref="E21:AI21"/>
    <mergeCell ref="B10:AJ10"/>
    <mergeCell ref="E11:AI11"/>
    <mergeCell ref="E12:AI12"/>
    <mergeCell ref="E13:AI13"/>
    <mergeCell ref="E14:AI14"/>
    <mergeCell ref="E15:AI15"/>
    <mergeCell ref="E16:AI16"/>
    <mergeCell ref="E17:AI17"/>
    <mergeCell ref="E18:AI18"/>
    <mergeCell ref="E19:AI19"/>
    <mergeCell ref="E20:AI20"/>
    <mergeCell ref="C8:F8"/>
    <mergeCell ref="G8:S8"/>
    <mergeCell ref="U8:AA8"/>
    <mergeCell ref="AD8:AI8"/>
    <mergeCell ref="U6:AA6"/>
    <mergeCell ref="AD6:AE6"/>
    <mergeCell ref="C7:F7"/>
    <mergeCell ref="G7:S7"/>
    <mergeCell ref="U7:AA7"/>
    <mergeCell ref="AD7:AI7"/>
    <mergeCell ref="AG6:AI6"/>
    <mergeCell ref="E4:AF4"/>
    <mergeCell ref="AH1:AJ1"/>
    <mergeCell ref="D2:AF2"/>
    <mergeCell ref="AH2:AJ2"/>
    <mergeCell ref="D3:AF3"/>
    <mergeCell ref="AI3:AJ3"/>
  </mergeCells>
  <printOptions horizontalCentered="1"/>
  <pageMargins left="0.25" right="0.25" top="0.5" bottom="0.5" header="0" footer="0"/>
  <pageSetup scale="74" orientation="portrait" r:id="rId1"/>
  <extLst>
    <ext xmlns:x14="http://schemas.microsoft.com/office/spreadsheetml/2009/9/main" uri="{CCE6A557-97BC-4b89-ADB6-D9C93CAAB3DF}">
      <x14:dataValidations xmlns:xm="http://schemas.microsoft.com/office/excel/2006/main" count="2">
        <x14:dataValidation type="list" allowBlank="1" showInputMessage="1" xr:uid="{00000000-0002-0000-1400-000000000000}">
          <x14:formula1>
            <xm:f>List!$F$36:$F$43</xm:f>
          </x14:formula1>
          <xm:sqref>AD6:AE6</xm:sqref>
        </x14:dataValidation>
        <x14:dataValidation type="list" showInputMessage="1" xr:uid="{00000000-0002-0000-1400-000001000000}">
          <x14:formula1>
            <xm:f>List!$F$37:$F$43</xm:f>
          </x14:formula1>
          <xm:sqref>AG6:AI6</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41"/>
  <dimension ref="A1:L48"/>
  <sheetViews>
    <sheetView topLeftCell="A25" workbookViewId="0">
      <selection activeCell="D49" sqref="D49"/>
    </sheetView>
  </sheetViews>
  <sheetFormatPr defaultColWidth="8.88671875" defaultRowHeight="14.4"/>
  <cols>
    <col min="2" max="2" width="20.44140625" bestFit="1" customWidth="1"/>
    <col min="3" max="3" width="9.6640625" bestFit="1" customWidth="1"/>
    <col min="4" max="4" width="16.44140625" bestFit="1" customWidth="1"/>
    <col min="5" max="5" width="14.109375" bestFit="1" customWidth="1"/>
    <col min="6" max="6" width="9.6640625" bestFit="1" customWidth="1"/>
    <col min="8" max="8" width="15.88671875" bestFit="1" customWidth="1"/>
    <col min="9" max="9" width="12.109375" customWidth="1"/>
    <col min="10" max="10" width="9.6640625" customWidth="1"/>
    <col min="11" max="11" width="5.88671875" bestFit="1" customWidth="1"/>
    <col min="12" max="12" width="14.109375" bestFit="1" customWidth="1"/>
  </cols>
  <sheetData>
    <row r="1" spans="1:12">
      <c r="B1" s="152" t="s">
        <v>934</v>
      </c>
      <c r="C1" s="847" t="s">
        <v>935</v>
      </c>
      <c r="E1" s="152" t="s">
        <v>936</v>
      </c>
      <c r="F1" s="847" t="s">
        <v>937</v>
      </c>
      <c r="H1" s="152" t="s">
        <v>938</v>
      </c>
      <c r="I1" s="847" t="s">
        <v>939</v>
      </c>
    </row>
    <row r="2" spans="1:12">
      <c r="A2" t="s">
        <v>940</v>
      </c>
      <c r="B2" s="12">
        <f>'DS Log Pg 1'!D10</f>
        <v>0</v>
      </c>
      <c r="C2" s="14">
        <f>'DS Log Pg 1'!I10</f>
        <v>0</v>
      </c>
      <c r="D2" s="13"/>
      <c r="E2" s="12">
        <f>'DS Log Pg 1'!D10</f>
        <v>0</v>
      </c>
      <c r="F2" s="14">
        <f>'DS Log Pg 1'!I10</f>
        <v>0</v>
      </c>
      <c r="G2" s="13"/>
      <c r="H2" s="12">
        <f>'DS Log Pg 1'!D10</f>
        <v>0</v>
      </c>
      <c r="I2" s="14">
        <f>'DS Log Pg 1'!I10</f>
        <v>0</v>
      </c>
    </row>
    <row r="3" spans="1:12">
      <c r="A3" t="s">
        <v>941</v>
      </c>
      <c r="C3" t="str">
        <f>""</f>
        <v/>
      </c>
      <c r="E3" s="12"/>
      <c r="F3" s="14"/>
      <c r="G3" s="13"/>
      <c r="H3" s="12">
        <f>'rein.&amp;spacers'!H10</f>
        <v>0</v>
      </c>
      <c r="I3" s="14">
        <f>'rein.&amp;spacers'!P10</f>
        <v>0</v>
      </c>
    </row>
    <row r="4" spans="1:12">
      <c r="A4" t="s">
        <v>942</v>
      </c>
      <c r="H4" s="12">
        <f>'Concr. Pg 1'!J14</f>
        <v>0</v>
      </c>
      <c r="I4" s="14">
        <f>'Concr. Pg 1'!AC14</f>
        <v>0</v>
      </c>
    </row>
    <row r="5" spans="1:12">
      <c r="B5" t="str">
        <f>""</f>
        <v/>
      </c>
    </row>
    <row r="9" spans="1:12">
      <c r="B9" t="s">
        <v>78</v>
      </c>
      <c r="D9" t="s">
        <v>943</v>
      </c>
      <c r="F9" t="s">
        <v>953</v>
      </c>
      <c r="H9" t="s">
        <v>944</v>
      </c>
      <c r="I9" t="s">
        <v>945</v>
      </c>
      <c r="J9" t="s">
        <v>946</v>
      </c>
      <c r="K9" t="s">
        <v>947</v>
      </c>
      <c r="L9" t="s">
        <v>948</v>
      </c>
    </row>
    <row r="10" spans="1:12">
      <c r="B10" s="848">
        <f>'DS Log Pg 1'!D7</f>
        <v>0</v>
      </c>
      <c r="C10" s="13"/>
      <c r="D10" s="124">
        <f>'DS Log Pg 1'!D8</f>
        <v>0</v>
      </c>
      <c r="E10" s="14"/>
      <c r="F10" s="848">
        <v>1</v>
      </c>
      <c r="H10">
        <f>'DS Log Pg 1'!S7</f>
        <v>0</v>
      </c>
      <c r="I10">
        <f>'DS Log Pg 1'!S8</f>
        <v>0</v>
      </c>
      <c r="J10">
        <f>'DS Log Pg 1'!S9</f>
        <v>0</v>
      </c>
      <c r="K10">
        <f>'DS Log Pg 1'!S10</f>
        <v>0</v>
      </c>
      <c r="L10">
        <f>'DS Log Pg 1'!S11</f>
        <v>0</v>
      </c>
    </row>
    <row r="11" spans="1:12">
      <c r="B11" s="849"/>
      <c r="C11" s="155"/>
      <c r="D11" s="154"/>
      <c r="E11" s="850"/>
      <c r="F11" s="848">
        <v>2</v>
      </c>
    </row>
    <row r="12" spans="1:12">
      <c r="F12" s="848">
        <v>3</v>
      </c>
    </row>
    <row r="13" spans="1:12">
      <c r="F13" s="848">
        <v>4</v>
      </c>
    </row>
    <row r="14" spans="1:12">
      <c r="F14" s="848">
        <v>5</v>
      </c>
    </row>
    <row r="15" spans="1:12">
      <c r="F15" s="848">
        <v>6</v>
      </c>
    </row>
    <row r="16" spans="1:12">
      <c r="B16" s="848" t="s">
        <v>684</v>
      </c>
      <c r="F16" s="848"/>
    </row>
    <row r="17" spans="2:10">
      <c r="B17" s="848">
        <f>'DS Log Pg 1'!D11</f>
        <v>0</v>
      </c>
      <c r="F17" s="848"/>
    </row>
    <row r="18" spans="2:10">
      <c r="B18" s="848"/>
      <c r="F18" t="s">
        <v>954</v>
      </c>
      <c r="H18" t="s">
        <v>955</v>
      </c>
      <c r="I18" t="s">
        <v>956</v>
      </c>
      <c r="J18" t="s">
        <v>957</v>
      </c>
    </row>
    <row r="19" spans="2:10">
      <c r="F19">
        <v>1</v>
      </c>
      <c r="H19" s="853">
        <f>'DS Log Pg 1'!M10</f>
        <v>0</v>
      </c>
      <c r="I19" s="853">
        <f>'DS Log Pg 1'!M10</f>
        <v>0</v>
      </c>
      <c r="J19" s="853">
        <f>'DS Log Pg 1'!M11</f>
        <v>0</v>
      </c>
    </row>
    <row r="20" spans="2:10">
      <c r="B20" s="848" t="s">
        <v>949</v>
      </c>
      <c r="F20">
        <v>2</v>
      </c>
    </row>
    <row r="21" spans="2:10">
      <c r="B21" s="848">
        <f>'DS Log Pg 1'!D9</f>
        <v>0</v>
      </c>
      <c r="F21">
        <v>3</v>
      </c>
    </row>
    <row r="22" spans="2:10">
      <c r="B22" s="848"/>
      <c r="F22">
        <v>4</v>
      </c>
    </row>
    <row r="23" spans="2:10">
      <c r="F23">
        <v>5</v>
      </c>
    </row>
    <row r="24" spans="2:10">
      <c r="F24" t="s">
        <v>982</v>
      </c>
    </row>
    <row r="25" spans="2:10">
      <c r="B25" t="s">
        <v>1096</v>
      </c>
      <c r="F25">
        <v>3</v>
      </c>
      <c r="I25" t="s">
        <v>1132</v>
      </c>
    </row>
    <row r="26" spans="2:10">
      <c r="B26" s="1014">
        <f>'rein.&amp;spacers'!K60</f>
        <v>0</v>
      </c>
      <c r="F26">
        <v>4</v>
      </c>
      <c r="I26">
        <v>5</v>
      </c>
    </row>
    <row r="27" spans="2:10">
      <c r="F27">
        <v>5</v>
      </c>
    </row>
    <row r="28" spans="2:10">
      <c r="F28">
        <v>6</v>
      </c>
    </row>
    <row r="29" spans="2:10">
      <c r="F29">
        <v>7</v>
      </c>
    </row>
    <row r="30" spans="2:10">
      <c r="F30">
        <v>8</v>
      </c>
    </row>
    <row r="31" spans="2:10">
      <c r="F31">
        <v>9</v>
      </c>
    </row>
    <row r="32" spans="2:10">
      <c r="F32">
        <v>10</v>
      </c>
    </row>
    <row r="33" spans="2:6">
      <c r="F33" t="s">
        <v>963</v>
      </c>
    </row>
    <row r="34" spans="2:6">
      <c r="F34">
        <v>3</v>
      </c>
    </row>
    <row r="35" spans="2:6">
      <c r="F35">
        <v>4</v>
      </c>
    </row>
    <row r="36" spans="2:6">
      <c r="F36">
        <v>5</v>
      </c>
    </row>
    <row r="37" spans="2:6">
      <c r="F37">
        <v>6</v>
      </c>
    </row>
    <row r="38" spans="2:6">
      <c r="F38">
        <v>7</v>
      </c>
    </row>
    <row r="39" spans="2:6">
      <c r="F39">
        <v>8</v>
      </c>
    </row>
    <row r="40" spans="2:6">
      <c r="F40">
        <v>9</v>
      </c>
    </row>
    <row r="41" spans="2:6">
      <c r="F41">
        <v>10</v>
      </c>
    </row>
    <row r="42" spans="2:6">
      <c r="F42">
        <v>11</v>
      </c>
    </row>
    <row r="43" spans="2:6">
      <c r="F43">
        <v>12</v>
      </c>
    </row>
    <row r="46" spans="2:6">
      <c r="B46" s="1263" t="s">
        <v>1147</v>
      </c>
      <c r="D46" t="s">
        <v>1148</v>
      </c>
      <c r="E46" t="s">
        <v>1149</v>
      </c>
    </row>
    <row r="47" spans="2:6">
      <c r="B47" t="s">
        <v>813</v>
      </c>
      <c r="D47" s="18">
        <f>('DS Log Pg 1'!C21-'DS Log Pg 1'!C20)/2</f>
        <v>0</v>
      </c>
      <c r="E47" s="18">
        <f>('DS Log Pg 1'!H21-'DS Log Pg 1'!H20)/2</f>
        <v>0</v>
      </c>
    </row>
    <row r="48" spans="2:6">
      <c r="B48" t="s">
        <v>816</v>
      </c>
    </row>
  </sheetData>
  <sheetProtection algorithmName="SHA-512" hashValue="i7Kpg0XAEq94bEQ6Fj0FeaGhTVZITRQgTJzZUJMC8HQAilLkie8mMUdvR117clqipt8emAK9KyVzuVUf3gjFJA==" saltValue="BgpluXObraiTJGEcRlpUhg==" spinCount="100000" sheet="1" objects="1" scenarios="1"/>
  <dataValidations disablePrompts="1" count="1">
    <dataValidation type="list" allowBlank="1" showInputMessage="1" showErrorMessage="1" sqref="A10" xr:uid="{00000000-0002-0000-1500-000000000000}">
      <formula1>inspectors</formula1>
    </dataValidation>
  </dataValidations>
  <pageMargins left="0.7" right="0.7" top="0.75" bottom="0.75" header="0.3" footer="0.3"/>
  <pageSetup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5AF814-856D-41D9-8863-54F16956D785}">
  <sheetPr>
    <pageSetUpPr fitToPage="1"/>
  </sheetPr>
  <dimension ref="A1:AH53"/>
  <sheetViews>
    <sheetView showGridLines="0" showRuler="0" zoomScaleNormal="100" zoomScalePageLayoutView="130" workbookViewId="0">
      <selection activeCell="A11" sqref="A11"/>
    </sheetView>
  </sheetViews>
  <sheetFormatPr defaultColWidth="9.109375" defaultRowHeight="14.4"/>
  <cols>
    <col min="1" max="1" width="9.109375" style="1326" customWidth="1"/>
    <col min="2" max="2" width="8.44140625" style="1326" customWidth="1"/>
    <col min="3" max="3" width="6.6640625" style="1326" customWidth="1"/>
    <col min="4" max="6" width="9.109375" style="1326"/>
    <col min="7" max="7" width="2.6640625" style="1326" customWidth="1"/>
    <col min="8" max="8" width="9.6640625" style="1326" customWidth="1"/>
    <col min="9" max="9" width="9.109375" style="1326"/>
    <col min="10" max="10" width="6.33203125" style="1326" customWidth="1"/>
    <col min="11" max="11" width="10.6640625" style="1326" customWidth="1"/>
    <col min="12" max="12" width="8.5546875" style="1326" hidden="1" customWidth="1"/>
    <col min="13" max="17" width="0" style="1326" hidden="1" customWidth="1"/>
    <col min="18" max="24" width="9.109375" style="1326"/>
    <col min="25" max="25" width="12.6640625" style="1326" customWidth="1"/>
    <col min="26" max="16384" width="9.109375" style="1326"/>
  </cols>
  <sheetData>
    <row r="1" spans="1:32" ht="10.95" customHeight="1" thickBot="1">
      <c r="A1" s="1333"/>
      <c r="B1" s="1334"/>
      <c r="C1" s="3493"/>
      <c r="D1" s="3493"/>
      <c r="E1" s="3493"/>
      <c r="F1" s="3493"/>
      <c r="G1" s="3493"/>
      <c r="H1" s="3493"/>
      <c r="I1" s="3493"/>
      <c r="J1" s="1334"/>
      <c r="K1" s="1347" t="str">
        <f>'Concr. Pg 1'!CB1</f>
        <v>700-010-84</v>
      </c>
      <c r="L1" s="1346"/>
      <c r="M1" s="1346"/>
      <c r="N1" s="1346"/>
      <c r="O1" s="1346"/>
      <c r="P1" s="1346"/>
      <c r="Q1" s="1346"/>
      <c r="R1" s="1346"/>
      <c r="S1" s="1346"/>
      <c r="T1" s="1346"/>
      <c r="U1" s="1346"/>
      <c r="V1" s="1346"/>
      <c r="W1" s="1346"/>
      <c r="X1" s="1346"/>
    </row>
    <row r="2" spans="1:32" ht="13.2" customHeight="1">
      <c r="A2" s="1333"/>
      <c r="B2" s="1334"/>
      <c r="C2" s="3493" t="s">
        <v>98</v>
      </c>
      <c r="D2" s="3493"/>
      <c r="E2" s="3493"/>
      <c r="F2" s="3493"/>
      <c r="G2" s="3493"/>
      <c r="H2" s="3493"/>
      <c r="I2" s="3493"/>
      <c r="J2" s="3494" t="s">
        <v>8</v>
      </c>
      <c r="K2" s="3495"/>
      <c r="R2" s="1335"/>
    </row>
    <row r="3" spans="1:32" ht="10.95" customHeight="1">
      <c r="A3" s="1335"/>
      <c r="C3" s="1350"/>
      <c r="D3" s="1350"/>
      <c r="E3" s="1350"/>
      <c r="F3" s="1350"/>
      <c r="G3" s="1350"/>
      <c r="H3" s="1350"/>
      <c r="I3" s="1350"/>
      <c r="K3" s="1348">
        <f>'Concr. Pg 1'!CB5</f>
        <v>45222</v>
      </c>
      <c r="R3" s="1335"/>
    </row>
    <row r="4" spans="1:32" ht="25.95" customHeight="1">
      <c r="A4" s="3479" t="s">
        <v>1258</v>
      </c>
      <c r="B4" s="3480"/>
      <c r="C4" s="3480"/>
      <c r="D4" s="3480"/>
      <c r="E4" s="3480"/>
      <c r="F4" s="3480"/>
      <c r="G4" s="3480"/>
      <c r="H4" s="3480"/>
      <c r="I4" s="3480"/>
      <c r="J4" s="3480"/>
      <c r="K4" s="3481"/>
      <c r="R4" s="1335"/>
    </row>
    <row r="5" spans="1:32">
      <c r="A5" s="3516" t="s">
        <v>1263</v>
      </c>
      <c r="B5" s="3489"/>
      <c r="C5" s="3492" t="str">
        <f>'Concr. Pg 1'!J8</f>
        <v/>
      </c>
      <c r="D5" s="3492"/>
      <c r="E5" s="3492"/>
      <c r="F5" s="3492"/>
      <c r="G5" s="3484"/>
      <c r="H5" s="3488" t="s">
        <v>1267</v>
      </c>
      <c r="I5" s="3522"/>
      <c r="J5" s="3520" t="str">
        <f>'Concr. Pg 1'!J11</f>
        <v/>
      </c>
      <c r="K5" s="3521"/>
      <c r="R5" s="1335"/>
    </row>
    <row r="6" spans="1:32">
      <c r="A6" s="3482" t="s">
        <v>1264</v>
      </c>
      <c r="B6" s="3483"/>
      <c r="C6" s="3484" t="str">
        <f>'Concr. Pg 1'!BE8</f>
        <v/>
      </c>
      <c r="D6" s="3485"/>
      <c r="E6" s="1371" t="s">
        <v>1266</v>
      </c>
      <c r="F6" s="3490" t="str">
        <f>'Concr. Pg 1'!AK11</f>
        <v/>
      </c>
      <c r="G6" s="3491"/>
      <c r="H6" s="3488" t="s">
        <v>675</v>
      </c>
      <c r="I6" s="3489"/>
      <c r="J6" s="3486" t="str">
        <f>IF('Concr. Pg 1'!AR14="","",'Concr. Pg 1'!AR14)</f>
        <v/>
      </c>
      <c r="K6" s="3487"/>
      <c r="R6" s="1335"/>
    </row>
    <row r="7" spans="1:32">
      <c r="A7" s="1351" t="s">
        <v>1265</v>
      </c>
      <c r="B7" s="1352" t="str">
        <f>'Concr. Pg 1'!BA11</f>
        <v/>
      </c>
      <c r="C7" s="1353" t="s">
        <v>1262</v>
      </c>
      <c r="D7" s="1352" t="str">
        <f>'Concr. Pg 1'!BV11</f>
        <v/>
      </c>
      <c r="E7" s="3496" t="s">
        <v>1312</v>
      </c>
      <c r="F7" s="3497"/>
      <c r="G7" s="3497"/>
      <c r="H7" s="3492" t="str">
        <f>IF('Concr. Pg 1'!J14="","",'Concr. Pg 1'!J14)</f>
        <v/>
      </c>
      <c r="I7" s="3484"/>
      <c r="J7" s="1354" t="s">
        <v>1160</v>
      </c>
      <c r="K7" s="3492" t="str">
        <f>IF('Concr. Pg 1'!AC14="","",'Concr. Pg 1'!AC14)</f>
        <v/>
      </c>
      <c r="L7" s="3484"/>
      <c r="R7" s="1335"/>
    </row>
    <row r="8" spans="1:32">
      <c r="A8" s="3517" t="s">
        <v>1221</v>
      </c>
      <c r="B8" s="3518"/>
      <c r="C8" s="3518"/>
      <c r="D8" s="3518"/>
      <c r="E8" s="3518"/>
      <c r="F8" s="3518"/>
      <c r="G8" s="3518"/>
      <c r="H8" s="3518"/>
      <c r="I8" s="3518"/>
      <c r="J8" s="3518"/>
      <c r="K8" s="3519"/>
      <c r="R8" s="1335"/>
    </row>
    <row r="9" spans="1:32" ht="15" customHeight="1">
      <c r="A9" s="3528" t="s">
        <v>1222</v>
      </c>
      <c r="B9" s="1327"/>
      <c r="C9" s="1327"/>
      <c r="D9" s="3509" t="s">
        <v>1223</v>
      </c>
      <c r="E9" s="3509" t="s">
        <v>1224</v>
      </c>
      <c r="F9" s="3509" t="s">
        <v>1225</v>
      </c>
      <c r="G9" s="1327"/>
      <c r="H9" s="3498" t="s">
        <v>1226</v>
      </c>
      <c r="I9" s="3498" t="s">
        <v>1225</v>
      </c>
      <c r="J9" s="3500" t="s">
        <v>1227</v>
      </c>
      <c r="K9" s="1344"/>
      <c r="R9" s="1335"/>
      <c r="Z9" s="1326" t="s">
        <v>1294</v>
      </c>
      <c r="AA9" s="1326" t="s">
        <v>1228</v>
      </c>
      <c r="AB9" s="1326" t="s">
        <v>1229</v>
      </c>
      <c r="AC9" s="1326" t="s">
        <v>662</v>
      </c>
      <c r="AD9" s="1328" t="s">
        <v>1230</v>
      </c>
      <c r="AE9" s="1328" t="s">
        <v>1231</v>
      </c>
    </row>
    <row r="10" spans="1:32" ht="15" customHeight="1">
      <c r="A10" s="3529"/>
      <c r="B10" s="1327"/>
      <c r="C10" s="1327"/>
      <c r="D10" s="3509"/>
      <c r="E10" s="3509"/>
      <c r="F10" s="3509"/>
      <c r="G10" s="1327"/>
      <c r="H10" s="3499"/>
      <c r="I10" s="3499"/>
      <c r="J10" s="3501"/>
      <c r="K10" s="1344"/>
      <c r="R10" s="1335"/>
      <c r="AA10" s="1355" t="s">
        <v>1232</v>
      </c>
      <c r="AB10" s="1356">
        <f>A11</f>
        <v>0</v>
      </c>
      <c r="AC10" s="1356">
        <f>D13</f>
        <v>0</v>
      </c>
      <c r="AD10" s="1356">
        <f>-AD11</f>
        <v>0</v>
      </c>
      <c r="AE10" s="1356">
        <f>AE11</f>
        <v>0</v>
      </c>
      <c r="AF10" s="1326">
        <v>0</v>
      </c>
    </row>
    <row r="11" spans="1:32" ht="15" customHeight="1">
      <c r="A11" s="1338"/>
      <c r="B11" s="1327"/>
      <c r="C11" s="1327"/>
      <c r="D11" s="1327"/>
      <c r="E11" s="1327"/>
      <c r="F11" s="1327"/>
      <c r="G11" s="1327"/>
      <c r="H11" s="1327" t="s">
        <v>1233</v>
      </c>
      <c r="I11" s="1327">
        <f>F13</f>
        <v>0</v>
      </c>
      <c r="J11" s="1357"/>
      <c r="K11" s="1344"/>
      <c r="O11" s="1326" t="s">
        <v>1234</v>
      </c>
      <c r="P11" s="1327">
        <f>P13*E13</f>
        <v>0</v>
      </c>
      <c r="Q11" s="802" t="s">
        <v>1191</v>
      </c>
      <c r="R11" s="1345"/>
      <c r="S11" s="802"/>
      <c r="T11" s="802"/>
      <c r="U11" s="802"/>
      <c r="Z11" s="3474">
        <v>5</v>
      </c>
      <c r="AA11" s="1362" t="s">
        <v>1232</v>
      </c>
      <c r="AB11" s="1363">
        <f>A11</f>
        <v>0</v>
      </c>
      <c r="AC11" s="1363">
        <f>D13</f>
        <v>0</v>
      </c>
      <c r="AD11" s="1363">
        <f>-AC11/2</f>
        <v>0</v>
      </c>
      <c r="AE11" s="1363">
        <f>AC11/2</f>
        <v>0</v>
      </c>
      <c r="AF11" s="1326">
        <v>0</v>
      </c>
    </row>
    <row r="12" spans="1:32" ht="13.95" customHeight="1">
      <c r="A12" s="1339" t="s">
        <v>60</v>
      </c>
      <c r="B12" s="1327"/>
      <c r="C12" s="1327"/>
      <c r="D12" s="1327"/>
      <c r="E12" s="1327"/>
      <c r="F12" s="1327"/>
      <c r="G12" s="1327"/>
      <c r="H12" s="1327" t="s">
        <v>1235</v>
      </c>
      <c r="I12" s="1327">
        <f>F19</f>
        <v>0</v>
      </c>
      <c r="J12" s="3502" t="s">
        <v>1236</v>
      </c>
      <c r="K12" s="3503"/>
      <c r="R12" s="1335"/>
      <c r="Z12" s="3475"/>
      <c r="AA12" s="1362" t="s">
        <v>1237</v>
      </c>
      <c r="AB12" s="1363">
        <f>A16</f>
        <v>0</v>
      </c>
      <c r="AC12" s="1363">
        <f>D13</f>
        <v>0</v>
      </c>
      <c r="AD12" s="1363">
        <f>-AC12/2</f>
        <v>0</v>
      </c>
      <c r="AE12" s="1363">
        <f>AC12/2</f>
        <v>0</v>
      </c>
      <c r="AF12" s="1326">
        <v>0</v>
      </c>
    </row>
    <row r="13" spans="1:32" ht="13.95" customHeight="1">
      <c r="A13" s="1337"/>
      <c r="B13" s="1327"/>
      <c r="C13" s="1327"/>
      <c r="D13" s="1329"/>
      <c r="E13" s="1330">
        <f>A11-A16</f>
        <v>0</v>
      </c>
      <c r="F13" s="1330">
        <f>(PI()/4*D13^2*E13)/27</f>
        <v>0</v>
      </c>
      <c r="G13" s="1327"/>
      <c r="H13" s="1327" t="s">
        <v>1238</v>
      </c>
      <c r="I13" s="1327">
        <f>F25</f>
        <v>0</v>
      </c>
      <c r="J13" s="3502"/>
      <c r="K13" s="3503"/>
      <c r="O13" s="1326" t="s">
        <v>1239</v>
      </c>
      <c r="P13" s="1327">
        <f>PI()*D13^2/4</f>
        <v>0</v>
      </c>
      <c r="Q13" s="802" t="s">
        <v>1240</v>
      </c>
      <c r="R13" s="1345"/>
      <c r="S13" s="802"/>
      <c r="T13" s="802"/>
      <c r="U13" s="802"/>
      <c r="Z13" s="3476">
        <v>4</v>
      </c>
      <c r="AA13" s="1364" t="s">
        <v>1241</v>
      </c>
      <c r="AB13" s="1365">
        <f>A17</f>
        <v>0</v>
      </c>
      <c r="AC13" s="1365">
        <f>D19</f>
        <v>0</v>
      </c>
      <c r="AD13" s="1365">
        <f t="shared" ref="AD13:AD14" si="0">-AC13/2</f>
        <v>0</v>
      </c>
      <c r="AE13" s="1365">
        <f t="shared" ref="AE13:AE14" si="1">AC13/2</f>
        <v>0</v>
      </c>
      <c r="AF13" s="1326">
        <v>0</v>
      </c>
    </row>
    <row r="14" spans="1:32" ht="13.95" customHeight="1">
      <c r="A14" s="1337"/>
      <c r="B14" s="1327"/>
      <c r="C14" s="1327"/>
      <c r="D14" s="1327"/>
      <c r="E14" s="1327"/>
      <c r="F14" s="1327"/>
      <c r="G14" s="1327"/>
      <c r="H14" s="1327" t="s">
        <v>1242</v>
      </c>
      <c r="I14" s="1327">
        <f>F31</f>
        <v>0</v>
      </c>
      <c r="J14" s="3502"/>
      <c r="K14" s="3503"/>
      <c r="R14" s="1335"/>
      <c r="Z14" s="3476"/>
      <c r="AA14" s="1364" t="s">
        <v>1243</v>
      </c>
      <c r="AB14" s="1365">
        <f>A22</f>
        <v>0</v>
      </c>
      <c r="AC14" s="1365">
        <f>D19</f>
        <v>0</v>
      </c>
      <c r="AD14" s="1365">
        <f t="shared" si="0"/>
        <v>0</v>
      </c>
      <c r="AE14" s="1365">
        <f t="shared" si="1"/>
        <v>0</v>
      </c>
      <c r="AF14" s="1326">
        <v>0</v>
      </c>
    </row>
    <row r="15" spans="1:32" ht="13.95" customHeight="1">
      <c r="A15" s="1340" t="s">
        <v>59</v>
      </c>
      <c r="B15" s="1327"/>
      <c r="C15" s="1327"/>
      <c r="D15" s="1327"/>
      <c r="E15" s="1327"/>
      <c r="F15" s="1327"/>
      <c r="G15" s="1327"/>
      <c r="H15" s="1327" t="s">
        <v>1244</v>
      </c>
      <c r="I15" s="1327">
        <f>F37</f>
        <v>0</v>
      </c>
      <c r="J15" s="1327"/>
      <c r="K15" s="1344"/>
      <c r="P15" s="1327"/>
      <c r="Q15" s="802"/>
      <c r="R15" s="1345"/>
      <c r="S15" s="802"/>
      <c r="T15" s="802"/>
      <c r="U15" s="802"/>
      <c r="Z15" s="3475">
        <v>3</v>
      </c>
      <c r="AA15" s="1362" t="s">
        <v>1268</v>
      </c>
      <c r="AB15" s="1363" t="str">
        <f>IF(A23="","",A23)</f>
        <v/>
      </c>
      <c r="AC15" s="1363" t="str">
        <f>IF(D25="","",D25)</f>
        <v/>
      </c>
      <c r="AD15" s="1363" t="str">
        <f t="shared" ref="AD15:AD21" si="2">IF(AC15="","",-AC15/2)</f>
        <v/>
      </c>
      <c r="AE15" s="1363" t="str">
        <f>IF(AC15="","",AC15/2)</f>
        <v/>
      </c>
      <c r="AF15" s="1326">
        <v>0</v>
      </c>
    </row>
    <row r="16" spans="1:32" ht="15" customHeight="1">
      <c r="A16" s="1338"/>
      <c r="B16" s="1327"/>
      <c r="C16" s="1327"/>
      <c r="D16" s="1327"/>
      <c r="E16" s="1327"/>
      <c r="F16" s="1327"/>
      <c r="G16" s="1327"/>
      <c r="H16" s="1331" t="s">
        <v>183</v>
      </c>
      <c r="I16" s="1331">
        <f>F45</f>
        <v>0</v>
      </c>
      <c r="J16" s="1327"/>
      <c r="K16" s="1344"/>
      <c r="R16" s="1335"/>
      <c r="Z16" s="3475"/>
      <c r="AA16" s="1362" t="s">
        <v>1269</v>
      </c>
      <c r="AB16" s="1363" t="str">
        <f>IF(A28="","",A28)</f>
        <v/>
      </c>
      <c r="AC16" s="1363" t="str">
        <f>IF(D25="","",D25)</f>
        <v/>
      </c>
      <c r="AD16" s="1363" t="str">
        <f t="shared" si="2"/>
        <v/>
      </c>
      <c r="AE16" s="1363" t="str">
        <f>IF(AC16="","",AC16/2)</f>
        <v/>
      </c>
      <c r="AF16" s="1326">
        <v>0</v>
      </c>
    </row>
    <row r="17" spans="1:34" ht="15" customHeight="1">
      <c r="A17" s="1338"/>
      <c r="B17" s="1327"/>
      <c r="C17" s="1327"/>
      <c r="D17" s="1327"/>
      <c r="E17" s="1327"/>
      <c r="F17" s="1327"/>
      <c r="G17" s="1327"/>
      <c r="H17" s="1326" t="s">
        <v>1247</v>
      </c>
      <c r="I17" s="1341">
        <f>SUM(I11:I16)</f>
        <v>0</v>
      </c>
      <c r="J17" s="1342"/>
      <c r="K17" s="1336"/>
      <c r="O17" s="1326" t="s">
        <v>1248</v>
      </c>
      <c r="P17" s="1327">
        <f>P19*E19</f>
        <v>0</v>
      </c>
      <c r="Q17" s="802" t="s">
        <v>1191</v>
      </c>
      <c r="R17" s="1345"/>
      <c r="S17" s="802"/>
      <c r="T17" s="802"/>
      <c r="U17" s="802"/>
      <c r="Z17" s="3476">
        <v>2</v>
      </c>
      <c r="AA17" s="1364" t="s">
        <v>1270</v>
      </c>
      <c r="AB17" s="1365" t="str">
        <f>IF(A29="","",A29)</f>
        <v/>
      </c>
      <c r="AC17" s="1365" t="str">
        <f>IF(D31="","",D31)</f>
        <v/>
      </c>
      <c r="AD17" s="1365" t="str">
        <f t="shared" si="2"/>
        <v/>
      </c>
      <c r="AE17" s="1365" t="str">
        <f t="shared" ref="AE17:AE20" si="3">IF(AC17="","",AC17/2)</f>
        <v/>
      </c>
      <c r="AF17" s="1326">
        <v>0</v>
      </c>
    </row>
    <row r="18" spans="1:34" ht="13.95" customHeight="1">
      <c r="A18" s="1339" t="s">
        <v>60</v>
      </c>
      <c r="B18" s="1327"/>
      <c r="C18" s="1327"/>
      <c r="D18" s="1327"/>
      <c r="E18" s="1327"/>
      <c r="F18" s="1327"/>
      <c r="G18" s="1327"/>
      <c r="K18" s="1336"/>
      <c r="R18" s="1335"/>
      <c r="Z18" s="3476"/>
      <c r="AA18" s="1364" t="s">
        <v>1271</v>
      </c>
      <c r="AB18" s="1365" t="str">
        <f>IF(A34="","",A34)</f>
        <v/>
      </c>
      <c r="AC18" s="1365" t="str">
        <f>IF(D31="","",D31)</f>
        <v/>
      </c>
      <c r="AD18" s="1365" t="str">
        <f t="shared" si="2"/>
        <v/>
      </c>
      <c r="AE18" s="1365" t="str">
        <f t="shared" si="3"/>
        <v/>
      </c>
      <c r="AF18" s="1326">
        <v>0</v>
      </c>
    </row>
    <row r="19" spans="1:34" ht="13.95" customHeight="1" thickBot="1">
      <c r="A19" s="1337"/>
      <c r="B19" s="1327"/>
      <c r="C19" s="1327"/>
      <c r="D19" s="1329"/>
      <c r="E19" s="1330">
        <f>A17-A22</f>
        <v>0</v>
      </c>
      <c r="F19" s="1330">
        <f>(PI()/4*D19^2*E19)/27</f>
        <v>0</v>
      </c>
      <c r="G19" s="1327"/>
      <c r="K19" s="1336"/>
      <c r="O19" s="1326" t="s">
        <v>1249</v>
      </c>
      <c r="P19" s="1327">
        <f>PI()*D19^2/4</f>
        <v>0</v>
      </c>
      <c r="Q19" s="802" t="s">
        <v>1240</v>
      </c>
      <c r="R19" s="1345"/>
      <c r="S19" s="802"/>
      <c r="T19" s="802"/>
      <c r="U19" s="802"/>
      <c r="Z19" s="3475">
        <v>1</v>
      </c>
      <c r="AA19" s="1362" t="s">
        <v>1272</v>
      </c>
      <c r="AB19" s="1363" t="str">
        <f>IF(A35="","",A35)</f>
        <v/>
      </c>
      <c r="AC19" s="1363" t="str">
        <f>IF(D37="","",D37)</f>
        <v/>
      </c>
      <c r="AD19" s="1363" t="str">
        <f t="shared" si="2"/>
        <v/>
      </c>
      <c r="AE19" s="1363" t="str">
        <f t="shared" si="3"/>
        <v/>
      </c>
      <c r="AF19" s="1326">
        <v>0</v>
      </c>
    </row>
    <row r="20" spans="1:34" ht="16.2" customHeight="1">
      <c r="A20" s="1337"/>
      <c r="B20" s="1327"/>
      <c r="C20" s="1327"/>
      <c r="D20" s="1327"/>
      <c r="E20" s="1327"/>
      <c r="F20" s="1327"/>
      <c r="G20" s="3504" t="s">
        <v>1250</v>
      </c>
      <c r="H20" s="3504"/>
      <c r="I20" s="3505">
        <f>SUM(I11:I16)-J11</f>
        <v>0</v>
      </c>
      <c r="J20" s="3507" t="s">
        <v>1251</v>
      </c>
      <c r="K20" s="3508"/>
      <c r="R20" s="1335"/>
      <c r="Z20" s="3475"/>
      <c r="AA20" s="1362" t="s">
        <v>1273</v>
      </c>
      <c r="AB20" s="1363" t="str">
        <f>IF(A40="","",A40)</f>
        <v/>
      </c>
      <c r="AC20" s="1363" t="str">
        <f>IF(D37="","",D37)</f>
        <v/>
      </c>
      <c r="AD20" s="1363" t="str">
        <f t="shared" si="2"/>
        <v/>
      </c>
      <c r="AE20" s="1363" t="str">
        <f t="shared" si="3"/>
        <v/>
      </c>
      <c r="AF20" s="1326">
        <v>0</v>
      </c>
    </row>
    <row r="21" spans="1:34" ht="15" customHeight="1" thickBot="1">
      <c r="A21" s="1339" t="s">
        <v>59</v>
      </c>
      <c r="B21" s="1327"/>
      <c r="C21" s="1327"/>
      <c r="D21" s="1327"/>
      <c r="E21" s="1327"/>
      <c r="F21" s="1327"/>
      <c r="G21" s="3504"/>
      <c r="H21" s="3504"/>
      <c r="I21" s="3506"/>
      <c r="J21" s="3507"/>
      <c r="K21" s="3508"/>
      <c r="R21" s="1335"/>
      <c r="Z21" s="3452" t="s">
        <v>1274</v>
      </c>
      <c r="AA21" s="1366" t="s">
        <v>1245</v>
      </c>
      <c r="AB21" s="1367" t="str">
        <f>IF(A41="","",A41)</f>
        <v/>
      </c>
      <c r="AC21" s="1367" t="str">
        <f>IF(AB21="","",D45)</f>
        <v/>
      </c>
      <c r="AD21" s="1367" t="str">
        <f t="shared" si="2"/>
        <v/>
      </c>
      <c r="AE21" s="1367" t="str">
        <f>IF(AC21="","",AC21/2)</f>
        <v/>
      </c>
      <c r="AF21" s="1326">
        <v>0</v>
      </c>
    </row>
    <row r="22" spans="1:34" ht="15" customHeight="1">
      <c r="A22" s="1338"/>
      <c r="B22" s="1327"/>
      <c r="C22" s="1327"/>
      <c r="D22" s="1327"/>
      <c r="E22" s="1327"/>
      <c r="F22" s="1327"/>
      <c r="G22" s="1327"/>
      <c r="H22" s="3471" t="s">
        <v>1252</v>
      </c>
      <c r="I22" s="3472"/>
      <c r="J22" s="3472"/>
      <c r="K22" s="3473"/>
      <c r="R22" s="1335"/>
      <c r="Z22" s="3453"/>
      <c r="AA22" s="1366" t="s">
        <v>1246</v>
      </c>
      <c r="AB22" s="1367" t="str">
        <f>IF(A49="","",A49)</f>
        <v/>
      </c>
      <c r="AC22" s="1367" t="str">
        <f>IF(D45="","",D45)</f>
        <v/>
      </c>
      <c r="AD22" s="1367" t="e">
        <f t="shared" ref="AD22" si="4">-AC22/2</f>
        <v>#VALUE!</v>
      </c>
      <c r="AE22" s="1367" t="e">
        <f t="shared" ref="AE22" si="5">AC22/2</f>
        <v>#VALUE!</v>
      </c>
      <c r="AF22" s="1326">
        <v>0</v>
      </c>
    </row>
    <row r="23" spans="1:34" ht="15" customHeight="1">
      <c r="A23" s="1338"/>
      <c r="B23" s="1327"/>
      <c r="C23" s="1327"/>
      <c r="D23" s="1327"/>
      <c r="E23" s="1327"/>
      <c r="F23" s="1327"/>
      <c r="G23" s="1327"/>
      <c r="H23" s="3472"/>
      <c r="I23" s="3472"/>
      <c r="J23" s="3472"/>
      <c r="K23" s="3473"/>
      <c r="R23" s="1335"/>
      <c r="AA23" s="1355" t="s">
        <v>1246</v>
      </c>
      <c r="AB23" s="1356" t="str">
        <f>IF(A49="","",A49)</f>
        <v/>
      </c>
      <c r="AC23" s="1356" t="str">
        <f>IF(D45="","",D45)</f>
        <v/>
      </c>
      <c r="AD23" s="1356" t="e">
        <f>-AD22</f>
        <v>#VALUE!</v>
      </c>
      <c r="AE23" s="1356" t="e">
        <f>AE22</f>
        <v>#VALUE!</v>
      </c>
      <c r="AF23" s="1326">
        <v>0</v>
      </c>
    </row>
    <row r="24" spans="1:34" ht="13.95" customHeight="1">
      <c r="A24" s="1339" t="s">
        <v>60</v>
      </c>
      <c r="B24" s="1327"/>
      <c r="C24" s="1327"/>
      <c r="D24" s="1327"/>
      <c r="E24" s="1327"/>
      <c r="F24" s="1327"/>
      <c r="G24" s="1327"/>
      <c r="H24" s="3472"/>
      <c r="I24" s="3472"/>
      <c r="J24" s="3472"/>
      <c r="K24" s="3473"/>
      <c r="R24" s="1335"/>
    </row>
    <row r="25" spans="1:34" ht="13.95" customHeight="1">
      <c r="A25" s="1337"/>
      <c r="B25" s="1327"/>
      <c r="C25" s="1327"/>
      <c r="D25" s="1329"/>
      <c r="E25" s="1330">
        <f>A23-A28</f>
        <v>0</v>
      </c>
      <c r="F25" s="1330">
        <f>(PI()/4*D25^2*E25)/27</f>
        <v>0</v>
      </c>
      <c r="G25" s="1327"/>
      <c r="H25" s="3530" t="s">
        <v>1253</v>
      </c>
      <c r="I25" s="3530" t="s">
        <v>1254</v>
      </c>
      <c r="J25" s="1327"/>
      <c r="K25" s="1344"/>
      <c r="R25" s="1335"/>
      <c r="AA25" s="1326" t="s">
        <v>1291</v>
      </c>
      <c r="AB25" s="1327">
        <f>MAX(AB10:AB23)</f>
        <v>0</v>
      </c>
      <c r="AD25" s="1326" t="s">
        <v>1289</v>
      </c>
      <c r="AE25" s="1327" t="e">
        <f>MAX(AE10:AE23)</f>
        <v>#VALUE!</v>
      </c>
      <c r="AG25" s="1326" t="s">
        <v>1292</v>
      </c>
      <c r="AH25" s="1327">
        <f>MIN(AB11:AB22)</f>
        <v>0</v>
      </c>
    </row>
    <row r="26" spans="1:34" ht="13.95" customHeight="1">
      <c r="A26" s="1337"/>
      <c r="B26" s="1327"/>
      <c r="C26" s="1327"/>
      <c r="D26" s="1327"/>
      <c r="E26" s="1327"/>
      <c r="F26" s="1327"/>
      <c r="G26" s="1327"/>
      <c r="H26" s="3530"/>
      <c r="I26" s="3530"/>
      <c r="J26" s="1327"/>
      <c r="K26" s="1344"/>
      <c r="R26" s="1335"/>
      <c r="AB26" s="1327">
        <f>AB25</f>
        <v>0</v>
      </c>
      <c r="AD26" s="1326" t="s">
        <v>1290</v>
      </c>
      <c r="AE26" s="1327" t="e">
        <f>MIN(AD11:AD22)</f>
        <v>#VALUE!</v>
      </c>
      <c r="AH26" s="1327">
        <f>AH25</f>
        <v>0</v>
      </c>
    </row>
    <row r="27" spans="1:34" ht="13.95" customHeight="1">
      <c r="A27" s="1339" t="s">
        <v>59</v>
      </c>
      <c r="B27" s="1327"/>
      <c r="C27" s="1327"/>
      <c r="D27" s="1327"/>
      <c r="E27" s="1327"/>
      <c r="F27" s="1327"/>
      <c r="G27" s="1327"/>
      <c r="H27" s="3530"/>
      <c r="I27" s="3530"/>
      <c r="J27" s="1327"/>
      <c r="K27" s="1344"/>
      <c r="R27" s="1335"/>
      <c r="AE27" s="1327"/>
    </row>
    <row r="28" spans="1:34" ht="15" customHeight="1" thickBot="1">
      <c r="A28" s="1338"/>
      <c r="B28" s="1327"/>
      <c r="C28" s="1327"/>
      <c r="D28" s="1327"/>
      <c r="E28" s="1327"/>
      <c r="F28" s="1327"/>
      <c r="G28" s="1327"/>
      <c r="H28" s="3530"/>
      <c r="I28" s="3530"/>
      <c r="J28" s="1327"/>
      <c r="K28" s="1344"/>
      <c r="R28" s="1335"/>
    </row>
    <row r="29" spans="1:34" ht="15" customHeight="1" thickBot="1">
      <c r="A29" s="1338"/>
      <c r="B29" s="1327"/>
      <c r="C29" s="1327"/>
      <c r="D29" s="1327"/>
      <c r="E29" s="1327"/>
      <c r="F29" s="1327"/>
      <c r="G29" s="1327"/>
      <c r="H29" s="3530"/>
      <c r="I29" s="3531"/>
      <c r="J29" s="1327"/>
      <c r="K29" s="1344"/>
      <c r="R29" s="1335"/>
      <c r="S29" s="3465" t="s">
        <v>1279</v>
      </c>
      <c r="T29" s="3466"/>
      <c r="U29" s="3466"/>
      <c r="V29" s="3466"/>
      <c r="W29" s="3466"/>
      <c r="X29" s="3466"/>
      <c r="Y29" s="3467"/>
    </row>
    <row r="30" spans="1:34" ht="13.95" customHeight="1" thickBot="1">
      <c r="A30" s="1339" t="s">
        <v>60</v>
      </c>
      <c r="B30" s="1327"/>
      <c r="C30" s="1327"/>
      <c r="D30" s="1327"/>
      <c r="E30" s="1327"/>
      <c r="F30" s="1327"/>
      <c r="G30" s="1327"/>
      <c r="H30" s="1332" t="str">
        <f>AC31</f>
        <v/>
      </c>
      <c r="I30" s="1332" t="e">
        <f>H30-I20</f>
        <v>#VALUE!</v>
      </c>
      <c r="J30" s="1327"/>
      <c r="K30" s="1344"/>
      <c r="R30" s="1335"/>
      <c r="S30" s="3461" t="s">
        <v>1275</v>
      </c>
      <c r="T30" s="3462"/>
      <c r="U30" s="3462"/>
      <c r="V30" s="3462"/>
      <c r="W30" s="3462"/>
      <c r="X30" s="3462"/>
      <c r="Y30" s="3463"/>
    </row>
    <row r="31" spans="1:34" ht="13.95" customHeight="1" thickBot="1">
      <c r="A31" s="1337"/>
      <c r="B31" s="1327"/>
      <c r="C31" s="1327"/>
      <c r="D31" s="1329"/>
      <c r="E31" s="1330">
        <f>A29-A34</f>
        <v>0</v>
      </c>
      <c r="F31" s="1330">
        <f>(PI()/4*D31^2*E31)/27</f>
        <v>0</v>
      </c>
      <c r="G31" s="1327"/>
      <c r="H31" s="1327"/>
      <c r="I31" s="1327"/>
      <c r="J31" s="1327"/>
      <c r="K31" s="1344"/>
      <c r="R31" s="1335"/>
      <c r="S31" s="3458" t="s">
        <v>1276</v>
      </c>
      <c r="T31" s="3459"/>
      <c r="U31" s="3459"/>
      <c r="V31" s="3459"/>
      <c r="W31" s="3459"/>
      <c r="X31" s="3459"/>
      <c r="Y31" s="3460"/>
      <c r="Z31" s="2663" t="s">
        <v>1261</v>
      </c>
      <c r="AA31" s="2663"/>
      <c r="AB31" s="2663"/>
      <c r="AC31" s="1327" t="str">
        <f>'Concr. Pg 1'!BL94</f>
        <v/>
      </c>
    </row>
    <row r="32" spans="1:34" ht="13.95" customHeight="1" thickBot="1">
      <c r="A32" s="1337"/>
      <c r="B32" s="1327"/>
      <c r="C32" s="1327"/>
      <c r="D32" s="1327"/>
      <c r="E32" s="1327"/>
      <c r="F32" s="1327"/>
      <c r="G32" s="1327"/>
      <c r="H32" s="1327" t="s">
        <v>1255</v>
      </c>
      <c r="I32" s="1332" t="e">
        <f>H30/I20</f>
        <v>#VALUE!</v>
      </c>
      <c r="J32" s="1327"/>
      <c r="K32" s="1344"/>
      <c r="R32" s="1335"/>
      <c r="S32" s="3458" t="s">
        <v>1283</v>
      </c>
      <c r="T32" s="3459"/>
      <c r="U32" s="3459"/>
      <c r="V32" s="3459"/>
      <c r="W32" s="3459"/>
      <c r="X32" s="3459"/>
      <c r="Y32" s="3460"/>
      <c r="AA32" s="1619" t="s">
        <v>1284</v>
      </c>
      <c r="AB32" s="1619"/>
    </row>
    <row r="33" spans="1:29" ht="13.95" customHeight="1">
      <c r="A33" s="1339" t="s">
        <v>59</v>
      </c>
      <c r="B33" s="1327"/>
      <c r="C33" s="1327"/>
      <c r="D33" s="1327"/>
      <c r="E33" s="1327"/>
      <c r="F33" s="1327"/>
      <c r="G33" s="1327"/>
      <c r="H33" s="1327"/>
      <c r="I33" s="1327"/>
      <c r="J33" s="1327"/>
      <c r="K33" s="1344"/>
      <c r="R33" s="1335"/>
      <c r="S33" s="3464" t="s">
        <v>1281</v>
      </c>
      <c r="T33" s="3459"/>
      <c r="U33" s="3459"/>
      <c r="V33" s="3459"/>
      <c r="W33" s="3459"/>
      <c r="X33" s="3459"/>
      <c r="Y33" s="3460"/>
    </row>
    <row r="34" spans="1:29" ht="15" customHeight="1">
      <c r="A34" s="1338"/>
      <c r="B34" s="1327"/>
      <c r="C34" s="1327"/>
      <c r="D34" s="1327"/>
      <c r="E34" s="1327"/>
      <c r="F34" s="1327"/>
      <c r="G34" s="1327"/>
      <c r="H34" s="1327"/>
      <c r="I34" s="1327"/>
      <c r="J34" s="1327"/>
      <c r="K34" s="1344"/>
      <c r="R34" s="1335"/>
      <c r="S34" s="3464" t="s">
        <v>1282</v>
      </c>
      <c r="T34" s="3459"/>
      <c r="U34" s="3459"/>
      <c r="V34" s="3459"/>
      <c r="W34" s="3459"/>
      <c r="X34" s="3459"/>
      <c r="Y34" s="3460"/>
    </row>
    <row r="35" spans="1:29" ht="15" customHeight="1">
      <c r="A35" s="1338"/>
      <c r="B35" s="1327"/>
      <c r="C35" s="1327"/>
      <c r="D35" s="1327"/>
      <c r="E35" s="1327"/>
      <c r="F35" s="1327"/>
      <c r="G35" s="1327"/>
      <c r="H35" s="1327"/>
      <c r="I35" s="1327"/>
      <c r="J35" s="1327"/>
      <c r="K35" s="1344"/>
      <c r="R35" s="1335"/>
      <c r="S35" s="3458" t="s">
        <v>1293</v>
      </c>
      <c r="T35" s="3459"/>
      <c r="U35" s="3459"/>
      <c r="V35" s="3459"/>
      <c r="W35" s="3459"/>
      <c r="X35" s="3459"/>
      <c r="Y35" s="3460"/>
    </row>
    <row r="36" spans="1:29" ht="13.95" customHeight="1">
      <c r="A36" s="1339" t="s">
        <v>60</v>
      </c>
      <c r="B36" s="1327"/>
      <c r="C36" s="1327"/>
      <c r="D36" s="1327"/>
      <c r="E36" s="1327"/>
      <c r="F36" s="1327"/>
      <c r="G36" s="1327"/>
      <c r="H36" s="3532"/>
      <c r="I36" s="1619"/>
      <c r="J36" s="1619"/>
      <c r="K36" s="3533"/>
      <c r="R36" s="1335"/>
      <c r="S36" s="3458" t="s">
        <v>1277</v>
      </c>
      <c r="T36" s="3459"/>
      <c r="U36" s="3459"/>
      <c r="V36" s="3459"/>
      <c r="W36" s="3459"/>
      <c r="X36" s="3459"/>
      <c r="Y36" s="3460"/>
    </row>
    <row r="37" spans="1:29" ht="13.95" customHeight="1">
      <c r="A37" s="1337"/>
      <c r="B37" s="1327"/>
      <c r="C37" s="1327"/>
      <c r="D37" s="1329"/>
      <c r="E37" s="1330">
        <f>A35-A40</f>
        <v>0</v>
      </c>
      <c r="F37" s="1330">
        <f>(PI()/4*D37^2*E37)/27</f>
        <v>0</v>
      </c>
      <c r="G37" s="1327"/>
      <c r="H37" s="3532"/>
      <c r="I37" s="1619"/>
      <c r="J37" s="1619"/>
      <c r="K37" s="3533"/>
      <c r="R37" s="1335"/>
      <c r="S37" s="3458" t="s">
        <v>1280</v>
      </c>
      <c r="T37" s="3459"/>
      <c r="U37" s="3459"/>
      <c r="V37" s="3459"/>
      <c r="W37" s="3459"/>
      <c r="X37" s="3459"/>
      <c r="Y37" s="3460"/>
    </row>
    <row r="38" spans="1:29" ht="13.95" customHeight="1">
      <c r="A38" s="1337"/>
      <c r="B38" s="1327"/>
      <c r="C38" s="1327"/>
      <c r="D38" s="1327"/>
      <c r="E38" s="1327"/>
      <c r="F38" s="1327"/>
      <c r="G38" s="1327"/>
      <c r="H38" s="1361"/>
      <c r="I38" s="3477"/>
      <c r="J38" s="3477"/>
      <c r="K38" s="3478"/>
      <c r="R38" s="1335"/>
      <c r="S38" s="3510" t="s">
        <v>1295</v>
      </c>
      <c r="T38" s="3511"/>
      <c r="U38" s="3511"/>
      <c r="V38" s="3511"/>
      <c r="W38" s="3511"/>
      <c r="X38" s="3511"/>
      <c r="Y38" s="3512"/>
    </row>
    <row r="39" spans="1:29" ht="13.95" customHeight="1">
      <c r="A39" s="1339" t="s">
        <v>59</v>
      </c>
      <c r="B39" s="1327"/>
      <c r="C39" s="1327"/>
      <c r="D39" s="1327"/>
      <c r="E39" s="1327"/>
      <c r="F39" s="1327"/>
      <c r="G39" s="1327"/>
      <c r="H39" s="3523"/>
      <c r="I39" s="3524"/>
      <c r="J39" s="3524"/>
      <c r="K39" s="3525"/>
      <c r="R39" s="1335"/>
      <c r="S39" s="3510"/>
      <c r="T39" s="3511"/>
      <c r="U39" s="3511"/>
      <c r="V39" s="3511"/>
      <c r="W39" s="3511"/>
      <c r="X39" s="3511"/>
      <c r="Y39" s="3512"/>
    </row>
    <row r="40" spans="1:29" ht="15" customHeight="1">
      <c r="A40" s="1338"/>
      <c r="B40" s="1327"/>
      <c r="C40" s="1327"/>
      <c r="D40" s="1327"/>
      <c r="E40" s="1327"/>
      <c r="F40" s="1327"/>
      <c r="G40" s="1327"/>
      <c r="H40" s="3523"/>
      <c r="I40" s="3524"/>
      <c r="J40" s="3524"/>
      <c r="K40" s="3525"/>
      <c r="R40" s="1335"/>
      <c r="S40" s="3510"/>
      <c r="T40" s="3511"/>
      <c r="U40" s="3511"/>
      <c r="V40" s="3511"/>
      <c r="W40" s="3511"/>
      <c r="X40" s="3511"/>
      <c r="Y40" s="3512"/>
    </row>
    <row r="41" spans="1:29" ht="15" customHeight="1" thickBot="1">
      <c r="A41" s="1338"/>
      <c r="B41" s="1327"/>
      <c r="C41" s="1327"/>
      <c r="D41" s="3468" t="s">
        <v>1259</v>
      </c>
      <c r="E41" s="3469">
        <f>SUM(E13:E37)</f>
        <v>0</v>
      </c>
      <c r="F41" s="1327"/>
      <c r="G41" s="1327"/>
      <c r="H41" s="1327"/>
      <c r="I41" s="3524"/>
      <c r="J41" s="3524"/>
      <c r="K41" s="3525"/>
      <c r="R41" s="1335"/>
      <c r="S41" s="3513"/>
      <c r="T41" s="3514"/>
      <c r="U41" s="3514"/>
      <c r="V41" s="3514"/>
      <c r="W41" s="3514"/>
      <c r="X41" s="3514"/>
      <c r="Y41" s="3515"/>
      <c r="AB41" s="1327"/>
      <c r="AC41" s="1327"/>
    </row>
    <row r="42" spans="1:29" ht="13.95" customHeight="1">
      <c r="A42" s="1339" t="s">
        <v>60</v>
      </c>
      <c r="B42" s="1327"/>
      <c r="C42" s="1327"/>
      <c r="D42" s="3468"/>
      <c r="E42" s="3470"/>
      <c r="F42" s="1327"/>
      <c r="G42" s="1327"/>
      <c r="H42" s="1327"/>
      <c r="I42" s="1327"/>
      <c r="J42" s="1327"/>
      <c r="K42" s="1344"/>
      <c r="R42" s="1335"/>
    </row>
    <row r="43" spans="1:29" ht="13.95" customHeight="1">
      <c r="A43" s="1337"/>
      <c r="B43" s="1327"/>
      <c r="C43" s="1327"/>
      <c r="D43" s="1327"/>
      <c r="E43" s="1327"/>
      <c r="F43" s="1327"/>
      <c r="G43" s="1327"/>
      <c r="H43" s="1327"/>
      <c r="I43" s="3526"/>
      <c r="J43" s="3526"/>
      <c r="K43" s="3527"/>
      <c r="O43" s="1326" t="s">
        <v>1256</v>
      </c>
      <c r="P43" s="1327">
        <f>P45*E45</f>
        <v>0</v>
      </c>
      <c r="Q43" s="802" t="s">
        <v>1191</v>
      </c>
      <c r="R43" s="1345"/>
      <c r="S43" s="802"/>
      <c r="T43" s="802"/>
      <c r="U43" s="802"/>
    </row>
    <row r="44" spans="1:29" ht="13.95" customHeight="1">
      <c r="A44" s="1337"/>
      <c r="B44" s="1327"/>
      <c r="C44" s="1327"/>
      <c r="D44" s="1327"/>
      <c r="E44" s="1327"/>
      <c r="F44" s="1327"/>
      <c r="G44" s="1327"/>
      <c r="H44" s="1327"/>
      <c r="I44" s="1327"/>
      <c r="J44" s="1327"/>
      <c r="K44" s="1344"/>
      <c r="R44" s="1335"/>
    </row>
    <row r="45" spans="1:29" ht="13.95" customHeight="1">
      <c r="A45" s="1337"/>
      <c r="B45" s="1327"/>
      <c r="C45" s="1327"/>
      <c r="D45" s="1329"/>
      <c r="E45" s="1330">
        <f>E47-E41</f>
        <v>0</v>
      </c>
      <c r="F45" s="1330">
        <f>(PI()/4*D45^2*E45)/27</f>
        <v>0</v>
      </c>
      <c r="G45" s="1327"/>
      <c r="H45" s="1327"/>
      <c r="I45" s="1327"/>
      <c r="J45" s="1327"/>
      <c r="K45" s="1344"/>
      <c r="O45" s="1326" t="s">
        <v>1257</v>
      </c>
      <c r="P45" s="1327">
        <f>PI()*D45^2/4</f>
        <v>0</v>
      </c>
      <c r="Q45" s="802" t="s">
        <v>1240</v>
      </c>
      <c r="R45" s="1345"/>
      <c r="S45" s="802"/>
      <c r="T45" s="802"/>
      <c r="U45" s="802"/>
    </row>
    <row r="46" spans="1:29" ht="13.95" customHeight="1">
      <c r="A46" s="1337"/>
      <c r="B46" s="1327"/>
      <c r="C46" s="1327"/>
      <c r="D46" s="1327"/>
      <c r="E46" s="1327"/>
      <c r="F46" s="1327"/>
      <c r="G46" s="1327"/>
      <c r="H46" s="1327"/>
      <c r="I46" s="18"/>
      <c r="J46" s="1327"/>
      <c r="K46" s="1344"/>
      <c r="R46" s="1335"/>
    </row>
    <row r="47" spans="1:29" ht="13.95" customHeight="1">
      <c r="A47" s="1337"/>
      <c r="B47" s="1327"/>
      <c r="C47" s="1327"/>
      <c r="D47" s="3468" t="s">
        <v>1260</v>
      </c>
      <c r="E47" s="3469">
        <f>A11-A49</f>
        <v>0</v>
      </c>
      <c r="F47" s="1327"/>
      <c r="G47" s="1327"/>
      <c r="H47" s="1327"/>
      <c r="I47" s="1327"/>
      <c r="J47" s="1327"/>
      <c r="K47" s="1344"/>
      <c r="R47" s="1335"/>
    </row>
    <row r="48" spans="1:29" ht="13.95" customHeight="1">
      <c r="A48" s="1339" t="s">
        <v>59</v>
      </c>
      <c r="B48" s="1327"/>
      <c r="C48" s="1327"/>
      <c r="D48" s="3468"/>
      <c r="E48" s="3470"/>
      <c r="F48" s="1327"/>
      <c r="G48" s="1327"/>
      <c r="H48" s="1327"/>
      <c r="I48" s="1327"/>
      <c r="J48" s="1327"/>
      <c r="K48" s="1344"/>
      <c r="R48" s="1335"/>
    </row>
    <row r="49" spans="1:29" ht="15" customHeight="1">
      <c r="A49" s="1338"/>
      <c r="B49" s="1327"/>
      <c r="C49" s="1327"/>
      <c r="D49" s="1327"/>
      <c r="E49" s="1327"/>
      <c r="F49" s="1327"/>
      <c r="G49" s="1327"/>
      <c r="H49" s="1327"/>
      <c r="I49" s="1327"/>
      <c r="J49" s="1327"/>
      <c r="K49" s="1344"/>
      <c r="R49" s="1335"/>
      <c r="AB49" s="1327"/>
      <c r="AC49" s="1327"/>
    </row>
    <row r="50" spans="1:29" ht="15" customHeight="1">
      <c r="A50" s="1358"/>
      <c r="B50" s="1327"/>
      <c r="C50" s="1327"/>
      <c r="D50" s="1327"/>
      <c r="E50" s="1327"/>
      <c r="F50" s="1327"/>
      <c r="G50" s="1327"/>
      <c r="H50" s="1327"/>
      <c r="I50" s="1327"/>
      <c r="J50" s="1327"/>
      <c r="K50" s="1344"/>
      <c r="R50" s="1335"/>
      <c r="AB50" s="1327"/>
      <c r="AC50" s="1327"/>
    </row>
    <row r="51" spans="1:29">
      <c r="A51" s="1337"/>
      <c r="J51" s="1319"/>
      <c r="K51" s="1344"/>
      <c r="R51" s="1335"/>
    </row>
    <row r="52" spans="1:29">
      <c r="A52" s="1359"/>
      <c r="B52" s="3454" t="s">
        <v>1278</v>
      </c>
      <c r="C52" s="3454"/>
      <c r="D52" s="3454"/>
      <c r="E52" s="3454"/>
      <c r="F52" s="3454"/>
      <c r="G52" s="3454"/>
      <c r="H52" s="3454"/>
      <c r="I52" s="3454"/>
      <c r="J52" s="3454"/>
      <c r="K52" s="1360"/>
      <c r="R52" s="1335"/>
    </row>
    <row r="53" spans="1:29" ht="15" thickBot="1">
      <c r="A53" s="3455"/>
      <c r="B53" s="3456"/>
      <c r="C53" s="3456"/>
      <c r="D53" s="3456"/>
      <c r="E53" s="3456"/>
      <c r="F53" s="3456"/>
      <c r="G53" s="3456"/>
      <c r="H53" s="3456"/>
      <c r="I53" s="3456"/>
      <c r="J53" s="3456"/>
      <c r="K53" s="3457"/>
      <c r="L53" s="1343"/>
      <c r="M53" s="1343"/>
      <c r="N53" s="1343"/>
      <c r="O53" s="1343"/>
      <c r="P53" s="1343"/>
      <c r="Q53" s="1343"/>
      <c r="R53" s="1335"/>
      <c r="T53" s="1326">
        <v>-50</v>
      </c>
    </row>
  </sheetData>
  <sheetProtection algorithmName="SHA-512" hashValue="nWdrI5rZwToaz+LG2pzvGaoqB8NS8eKUN9GLQ7NPVu/eaetDLBq2LIEWF/K4X85sh95wHren7zTNS/xTNRHmiA==" saltValue="7pUwvWDVQjUCtjVPc/2Udg==" spinCount="100000" sheet="1" selectLockedCells="1"/>
  <mergeCells count="61">
    <mergeCell ref="S38:Y41"/>
    <mergeCell ref="D47:D48"/>
    <mergeCell ref="E47:E48"/>
    <mergeCell ref="A5:B5"/>
    <mergeCell ref="A8:K8"/>
    <mergeCell ref="C5:G5"/>
    <mergeCell ref="J5:K5"/>
    <mergeCell ref="H5:I5"/>
    <mergeCell ref="H39:H40"/>
    <mergeCell ref="I39:K41"/>
    <mergeCell ref="I43:K43"/>
    <mergeCell ref="A9:A10"/>
    <mergeCell ref="H25:H29"/>
    <mergeCell ref="I25:I29"/>
    <mergeCell ref="H36:H37"/>
    <mergeCell ref="I36:K37"/>
    <mergeCell ref="C1:I1"/>
    <mergeCell ref="C2:I2"/>
    <mergeCell ref="J2:K2"/>
    <mergeCell ref="Z31:AB31"/>
    <mergeCell ref="H7:I7"/>
    <mergeCell ref="E7:G7"/>
    <mergeCell ref="I9:I10"/>
    <mergeCell ref="J9:J10"/>
    <mergeCell ref="J12:K14"/>
    <mergeCell ref="G20:H21"/>
    <mergeCell ref="I20:I21"/>
    <mergeCell ref="J20:K21"/>
    <mergeCell ref="D9:D10"/>
    <mergeCell ref="E9:E10"/>
    <mergeCell ref="F9:F10"/>
    <mergeCell ref="H9:H10"/>
    <mergeCell ref="I38:K38"/>
    <mergeCell ref="A4:K4"/>
    <mergeCell ref="A6:B6"/>
    <mergeCell ref="C6:D6"/>
    <mergeCell ref="J6:K6"/>
    <mergeCell ref="H6:I6"/>
    <mergeCell ref="F6:G6"/>
    <mergeCell ref="K7:L7"/>
    <mergeCell ref="Z11:Z12"/>
    <mergeCell ref="Z13:Z14"/>
    <mergeCell ref="Z15:Z16"/>
    <mergeCell ref="Z17:Z18"/>
    <mergeCell ref="Z19:Z20"/>
    <mergeCell ref="AA32:AB32"/>
    <mergeCell ref="Z21:Z22"/>
    <mergeCell ref="B52:J52"/>
    <mergeCell ref="A53:K53"/>
    <mergeCell ref="S31:Y31"/>
    <mergeCell ref="S30:Y30"/>
    <mergeCell ref="S32:Y32"/>
    <mergeCell ref="S33:Y33"/>
    <mergeCell ref="S36:Y36"/>
    <mergeCell ref="S34:Y34"/>
    <mergeCell ref="S35:Y35"/>
    <mergeCell ref="S37:Y37"/>
    <mergeCell ref="S29:Y29"/>
    <mergeCell ref="D41:D42"/>
    <mergeCell ref="E41:E42"/>
    <mergeCell ref="H22:K24"/>
  </mergeCells>
  <dataValidations count="1">
    <dataValidation type="decimal" errorStyle="warning" allowBlank="1" showInputMessage="1" showErrorMessage="1" errorTitle="Verify Steel Volume " error="Verify the correct volume of Est Steel (CY) from the rien &amp; spacer sheet is entered. _x000a_Note: Some longer structual bridge shafts may have over 1 CY of steel volume. Values over 1 CY are not typical with miscellanous shafts." promptTitle="Enter Steel Volume (CY)" prompt="Enter the volume of Est Steel (CY) from the rien &amp; spacer sheet of the log." sqref="J11" xr:uid="{6B1E0727-EC0E-442A-9352-F29673F2AC1E}">
      <formula1>0.01</formula1>
      <formula2>1</formula2>
    </dataValidation>
  </dataValidations>
  <pageMargins left="1" right="0.25" top="0.5" bottom="0.25" header="0.3" footer="0.3"/>
  <pageSetup scale="95" orientation="portrait" r:id="rId1"/>
  <headerFooter scaleWithDoc="0"/>
  <drawing r:id="rId2"/>
  <legacyDrawing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
  <sheetViews>
    <sheetView workbookViewId="0">
      <selection sqref="A1:BH10"/>
    </sheetView>
  </sheetViews>
  <sheetFormatPr defaultRowHeight="14.4"/>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01E0FE-E013-4CC6-B639-4103AA7537EC}">
  <sheetPr>
    <tabColor rgb="FF9AD35B"/>
  </sheetPr>
  <dimension ref="A1"/>
  <sheetViews>
    <sheetView workbookViewId="0"/>
  </sheetViews>
  <sheetFormatPr defaultRowHeight="14.4"/>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3"/>
  <dimension ref="A1"/>
  <sheetViews>
    <sheetView topLeftCell="A16" workbookViewId="0">
      <selection activeCell="A16" sqref="A16"/>
    </sheetView>
  </sheetViews>
  <sheetFormatPr defaultRowHeight="14.4"/>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0000FF"/>
    <pageSetUpPr fitToPage="1"/>
  </sheetPr>
  <dimension ref="A1:BA80"/>
  <sheetViews>
    <sheetView zoomScale="40" zoomScaleNormal="40" workbookViewId="0">
      <selection activeCell="C9" sqref="C9"/>
    </sheetView>
  </sheetViews>
  <sheetFormatPr defaultColWidth="9.109375" defaultRowHeight="21"/>
  <cols>
    <col min="1" max="1" width="8.109375" style="802" customWidth="1"/>
    <col min="2" max="3" width="22.44140625" style="786" customWidth="1"/>
    <col min="4" max="4" width="21.33203125" style="786" customWidth="1"/>
    <col min="5" max="6" width="15.6640625" style="786" customWidth="1"/>
    <col min="7" max="7" width="6.6640625" style="786" customWidth="1"/>
    <col min="8" max="9" width="21.33203125" style="786" customWidth="1"/>
    <col min="10" max="10" width="11.33203125" style="786" customWidth="1"/>
    <col min="11" max="11" width="46" style="786" customWidth="1"/>
    <col min="12" max="12" width="13.88671875" style="786" customWidth="1"/>
    <col min="13" max="13" width="1.6640625" style="786" customWidth="1"/>
    <col min="14" max="14" width="22.6640625" style="786" customWidth="1"/>
    <col min="15" max="15" width="7" style="786" customWidth="1"/>
    <col min="16" max="16" width="15.33203125" style="786" customWidth="1"/>
    <col min="17" max="17" width="8.88671875" style="786" customWidth="1"/>
    <col min="18" max="18" width="8.44140625" style="786" customWidth="1"/>
    <col min="19" max="19" width="8.33203125" style="786" customWidth="1"/>
    <col min="20" max="20" width="7" style="786" customWidth="1"/>
    <col min="21" max="21" width="2.44140625" style="786" customWidth="1"/>
    <col min="22" max="22" width="5.88671875" style="786" customWidth="1"/>
    <col min="23" max="23" width="6.6640625" style="786" customWidth="1"/>
    <col min="24" max="24" width="10.6640625" style="786" customWidth="1"/>
    <col min="25" max="25" width="5.33203125" style="786" customWidth="1"/>
    <col min="26" max="26" width="6.33203125" style="786" customWidth="1"/>
    <col min="27" max="27" width="3.109375" style="786" customWidth="1"/>
    <col min="28" max="28" width="21.33203125" style="786" customWidth="1"/>
    <col min="52" max="52" width="21.88671875" customWidth="1"/>
  </cols>
  <sheetData>
    <row r="1" spans="1:36" ht="21.9" customHeight="1">
      <c r="A1" s="764"/>
      <c r="B1" s="597"/>
      <c r="C1" s="597"/>
      <c r="D1" s="597"/>
      <c r="E1" s="597"/>
      <c r="F1" s="597"/>
      <c r="G1" s="597"/>
      <c r="H1" s="597"/>
      <c r="I1" s="598"/>
      <c r="J1" s="597"/>
      <c r="K1" s="597"/>
      <c r="L1" s="597"/>
      <c r="M1" s="597"/>
      <c r="N1" s="597"/>
      <c r="O1" s="597"/>
      <c r="P1" s="597"/>
      <c r="Q1" s="597"/>
      <c r="R1" s="597"/>
      <c r="S1" s="597"/>
      <c r="T1" s="597"/>
      <c r="U1" s="597"/>
      <c r="V1" s="597"/>
      <c r="W1" s="597"/>
      <c r="X1" s="1588" t="str">
        <f>'DS Log Pg 1'!U1</f>
        <v>700-010-84</v>
      </c>
      <c r="Y1" s="1588"/>
      <c r="Z1" s="1588"/>
      <c r="AA1" s="598"/>
      <c r="AB1" s="595"/>
    </row>
    <row r="2" spans="1:36" ht="21.9" customHeight="1">
      <c r="A2" s="1591" t="s">
        <v>724</v>
      </c>
      <c r="B2" s="1591"/>
      <c r="C2" s="1591"/>
      <c r="D2" s="1591"/>
      <c r="E2" s="1591"/>
      <c r="F2" s="1591"/>
      <c r="G2" s="1591"/>
      <c r="H2" s="1591"/>
      <c r="I2" s="1591"/>
      <c r="J2" s="1591"/>
      <c r="K2" s="1591"/>
      <c r="L2" s="1591"/>
      <c r="M2" s="1591"/>
      <c r="N2" s="1591"/>
      <c r="O2" s="1591"/>
      <c r="P2" s="1591"/>
      <c r="Q2" s="1591"/>
      <c r="R2" s="1591"/>
      <c r="S2" s="1591"/>
      <c r="T2" s="1591"/>
      <c r="U2" s="767"/>
      <c r="V2" s="767"/>
      <c r="W2" s="1589" t="s">
        <v>8</v>
      </c>
      <c r="X2" s="1590"/>
      <c r="Y2" s="1590"/>
      <c r="Z2" s="1590"/>
      <c r="AA2" s="595"/>
      <c r="AB2" s="595"/>
    </row>
    <row r="3" spans="1:36" ht="21.9" customHeight="1">
      <c r="A3" s="764"/>
      <c r="B3" s="751"/>
      <c r="C3" s="1591" t="s">
        <v>725</v>
      </c>
      <c r="D3" s="1591"/>
      <c r="E3" s="1591"/>
      <c r="F3" s="1591"/>
      <c r="G3" s="1591"/>
      <c r="H3" s="1591"/>
      <c r="I3" s="1591"/>
      <c r="J3" s="1591"/>
      <c r="K3" s="1591"/>
      <c r="L3" s="1591"/>
      <c r="M3" s="1591"/>
      <c r="N3" s="1591"/>
      <c r="O3" s="1591"/>
      <c r="P3" s="1591"/>
      <c r="Q3" s="1591"/>
      <c r="R3" s="1591"/>
      <c r="S3" s="1591"/>
      <c r="T3" s="1591"/>
      <c r="U3" s="1591"/>
      <c r="V3" s="1591"/>
      <c r="W3" s="1591"/>
      <c r="X3" s="889"/>
      <c r="Y3" s="1666">
        <f>'DS Log Pg 1'!U3</f>
        <v>45222</v>
      </c>
      <c r="Z3" s="1667"/>
      <c r="AA3" s="595"/>
      <c r="AB3" s="595"/>
      <c r="AD3" s="1665"/>
      <c r="AE3" s="1589"/>
      <c r="AF3" s="1589"/>
    </row>
    <row r="4" spans="1:36" ht="42" customHeight="1">
      <c r="A4" s="764"/>
      <c r="B4" s="1592" t="s">
        <v>726</v>
      </c>
      <c r="C4" s="1593"/>
      <c r="D4" s="1593"/>
      <c r="E4" s="1593"/>
      <c r="F4" s="1593"/>
      <c r="G4" s="1593"/>
      <c r="H4" s="1593"/>
      <c r="I4" s="1593"/>
      <c r="J4" s="1593"/>
      <c r="K4" s="1593"/>
      <c r="L4" s="1593"/>
      <c r="M4" s="1593"/>
      <c r="N4" s="1593"/>
      <c r="O4" s="1593"/>
      <c r="P4" s="1593"/>
      <c r="Q4" s="1593"/>
      <c r="R4" s="1593"/>
      <c r="S4" s="1593"/>
      <c r="T4" s="1593"/>
      <c r="U4" s="1593"/>
      <c r="V4" s="1593"/>
      <c r="W4" s="1593"/>
      <c r="X4" s="1593"/>
      <c r="Y4" s="1593"/>
      <c r="Z4" s="1593"/>
      <c r="AA4" s="597"/>
      <c r="AB4" s="597"/>
      <c r="AJ4" s="115"/>
    </row>
    <row r="5" spans="1:36" ht="36" customHeight="1" thickBot="1">
      <c r="A5" s="764"/>
      <c r="B5" s="768"/>
      <c r="C5" s="597"/>
      <c r="D5" s="597"/>
      <c r="E5" s="597"/>
      <c r="F5" s="597"/>
      <c r="G5" s="597"/>
      <c r="H5" s="691" t="s">
        <v>944</v>
      </c>
      <c r="I5" s="1566">
        <f>'DS Log Pg 1'!S7</f>
        <v>0</v>
      </c>
      <c r="J5" s="1566"/>
      <c r="K5" s="691" t="s">
        <v>69</v>
      </c>
      <c r="L5" s="1621">
        <f>'DS Log Pg 1'!S8</f>
        <v>0</v>
      </c>
      <c r="M5" s="1621"/>
      <c r="N5" s="1621"/>
      <c r="O5" s="597"/>
      <c r="P5" s="597"/>
      <c r="Q5" s="1594" t="s">
        <v>10</v>
      </c>
      <c r="R5" s="1594"/>
      <c r="S5" s="1594"/>
      <c r="T5" s="1595">
        <f>'DS Log Pg 1'!S6 + 1</f>
        <v>2</v>
      </c>
      <c r="U5" s="1595"/>
      <c r="V5" s="1595"/>
      <c r="W5" s="773" t="s">
        <v>981</v>
      </c>
      <c r="X5" s="1602"/>
      <c r="Y5" s="1602"/>
      <c r="Z5" s="597"/>
      <c r="AA5" s="597"/>
      <c r="AB5" s="597"/>
    </row>
    <row r="6" spans="1:36" ht="24" customHeight="1" thickBot="1">
      <c r="A6" s="769"/>
      <c r="B6" s="769"/>
      <c r="C6" s="686"/>
      <c r="D6" s="686"/>
      <c r="E6" s="686"/>
      <c r="F6" s="686" t="str">
        <f>IF(ISBLANK('DS Log Pg 1'!$V$6),"","Fadi Hardan")</f>
        <v/>
      </c>
      <c r="G6" s="686"/>
      <c r="H6" s="686"/>
      <c r="I6" s="686"/>
      <c r="J6" s="686"/>
      <c r="K6" s="686"/>
      <c r="L6" s="686"/>
      <c r="M6" s="686"/>
      <c r="N6" s="686"/>
      <c r="O6" s="686"/>
      <c r="P6" s="686"/>
      <c r="Q6" s="686"/>
      <c r="R6" s="686"/>
      <c r="S6" s="686"/>
      <c r="T6" s="686"/>
      <c r="U6" s="686"/>
      <c r="V6" s="686"/>
      <c r="W6" s="686"/>
      <c r="X6" s="769"/>
      <c r="Y6" s="769"/>
      <c r="Z6" s="769"/>
      <c r="AA6" s="686"/>
      <c r="AB6" s="686"/>
    </row>
    <row r="7" spans="1:36" ht="48.9" customHeight="1" thickTop="1" thickBot="1">
      <c r="A7" s="769"/>
      <c r="B7" s="1599" t="s">
        <v>727</v>
      </c>
      <c r="C7" s="1601" t="s">
        <v>705</v>
      </c>
      <c r="D7" s="1533"/>
      <c r="E7" s="1530" t="s">
        <v>81</v>
      </c>
      <c r="F7" s="1530" t="s">
        <v>728</v>
      </c>
      <c r="G7" s="1557" t="s">
        <v>976</v>
      </c>
      <c r="H7" s="1532" t="s">
        <v>729</v>
      </c>
      <c r="I7" s="1533"/>
      <c r="J7" s="1533"/>
      <c r="K7" s="1533"/>
      <c r="L7" s="1534"/>
      <c r="M7" s="1268"/>
      <c r="N7" s="1538" t="s">
        <v>730</v>
      </c>
      <c r="O7" s="1538"/>
      <c r="P7" s="1538"/>
      <c r="Q7" s="1538"/>
      <c r="R7" s="1538"/>
      <c r="S7" s="1538"/>
      <c r="T7" s="1538"/>
      <c r="U7" s="1538"/>
      <c r="V7" s="1538"/>
      <c r="W7" s="1538"/>
      <c r="X7" s="1538"/>
      <c r="Y7" s="1538"/>
      <c r="Z7" s="1539"/>
      <c r="AA7" s="686"/>
      <c r="AB7" s="686"/>
    </row>
    <row r="8" spans="1:36" ht="48.9" customHeight="1" thickBot="1">
      <c r="A8" s="769"/>
      <c r="B8" s="1600"/>
      <c r="C8" s="1264" t="s">
        <v>731</v>
      </c>
      <c r="D8" s="1264" t="s">
        <v>732</v>
      </c>
      <c r="E8" s="1531"/>
      <c r="F8" s="1531"/>
      <c r="G8" s="1558"/>
      <c r="H8" s="1535"/>
      <c r="I8" s="1536"/>
      <c r="J8" s="1536"/>
      <c r="K8" s="1536"/>
      <c r="L8" s="1537"/>
      <c r="M8" s="772"/>
      <c r="N8" s="1540"/>
      <c r="O8" s="1540"/>
      <c r="P8" s="1540"/>
      <c r="Q8" s="686"/>
      <c r="R8" s="1618" t="s">
        <v>885</v>
      </c>
      <c r="S8" s="1619"/>
      <c r="T8" s="773"/>
      <c r="U8" s="773"/>
      <c r="V8" s="773"/>
      <c r="W8" s="773"/>
      <c r="X8" s="774" t="s">
        <v>886</v>
      </c>
      <c r="Y8" s="773"/>
      <c r="Z8" s="1269"/>
      <c r="AA8" s="686"/>
      <c r="AB8" s="686"/>
    </row>
    <row r="9" spans="1:36" ht="42" customHeight="1" thickBot="1">
      <c r="A9" s="769"/>
      <c r="B9" s="1270"/>
      <c r="C9" s="753"/>
      <c r="D9" s="753"/>
      <c r="E9" s="1266" t="str">
        <f t="shared" ref="E9:E59" si="0">IF(ISBLANK(B9),"",F9-B9)</f>
        <v/>
      </c>
      <c r="F9" s="754"/>
      <c r="G9" s="897"/>
      <c r="H9" s="1596" t="str">
        <f>IF(G9=1,$Q$71,IF(G9=2,$Q$72,IF(G9=3,$Q$73,IF(G9=4,$Q$74,IF(G9=5,$Q$75,IF(G9=6,$Q$76,IF(G9=7,$Q$77,IF(G9=8,$Q$78,IF(G9=9,$Q$79,IF(G9=10,$Q$80,""))))))))))</f>
        <v/>
      </c>
      <c r="I9" s="1597"/>
      <c r="J9" s="1597"/>
      <c r="K9" s="1597"/>
      <c r="L9" s="1598"/>
      <c r="M9" s="862"/>
      <c r="N9" s="1566" t="s">
        <v>733</v>
      </c>
      <c r="O9" s="1566"/>
      <c r="P9" s="1540"/>
      <c r="Q9" s="686"/>
      <c r="R9" s="1555"/>
      <c r="S9" s="1556"/>
      <c r="T9" s="775"/>
      <c r="U9" s="766"/>
      <c r="V9" s="766"/>
      <c r="W9" s="766"/>
      <c r="X9" s="1555"/>
      <c r="Y9" s="1555"/>
      <c r="Z9" s="1269"/>
      <c r="AA9" s="686"/>
      <c r="AB9" s="686"/>
    </row>
    <row r="10" spans="1:36" ht="42" customHeight="1" thickBot="1">
      <c r="A10" s="769"/>
      <c r="B10" s="1270"/>
      <c r="C10" s="753"/>
      <c r="D10" s="753"/>
      <c r="E10" s="1266" t="str">
        <f t="shared" si="0"/>
        <v/>
      </c>
      <c r="F10" s="754" t="str">
        <f t="shared" ref="F10:F59" si="1">IF(ISBLANK(B10),"",F9)</f>
        <v/>
      </c>
      <c r="G10" s="897"/>
      <c r="H10" s="1559" t="str">
        <f t="shared" ref="H10:H59" si="2">IF(G10=1,$Q$71,IF(G10=2,$Q$72,IF(G10=3,$Q$73,IF(G10=4,$Q$74,IF(G10=5,$Q$75,IF(G10=6,$Q$76,IF(G10=7,$Q$77,IF(G10=8,$Q$78,IF(G10=9,$Q$79,IF(G10=10,$Q$80,""))))))))))</f>
        <v/>
      </c>
      <c r="I10" s="1560"/>
      <c r="J10" s="1560"/>
      <c r="K10" s="1560"/>
      <c r="L10" s="1561"/>
      <c r="M10" s="862"/>
      <c r="N10" s="1566" t="s">
        <v>734</v>
      </c>
      <c r="O10" s="1566"/>
      <c r="P10" s="1540"/>
      <c r="Q10" s="686"/>
      <c r="R10" s="1555"/>
      <c r="S10" s="1556"/>
      <c r="T10" s="775"/>
      <c r="U10" s="766"/>
      <c r="V10" s="766"/>
      <c r="W10" s="766"/>
      <c r="X10" s="1555"/>
      <c r="Y10" s="1555"/>
      <c r="Z10" s="1269"/>
      <c r="AA10" s="686"/>
      <c r="AB10" s="686"/>
    </row>
    <row r="11" spans="1:36" ht="42" customHeight="1" thickBot="1">
      <c r="A11" s="769"/>
      <c r="B11" s="1270"/>
      <c r="C11" s="753"/>
      <c r="D11" s="753"/>
      <c r="E11" s="1266" t="str">
        <f t="shared" si="0"/>
        <v/>
      </c>
      <c r="F11" s="754" t="str">
        <f t="shared" si="1"/>
        <v/>
      </c>
      <c r="G11" s="897"/>
      <c r="H11" s="1559" t="str">
        <f t="shared" si="2"/>
        <v/>
      </c>
      <c r="I11" s="1560"/>
      <c r="J11" s="1560"/>
      <c r="K11" s="1560"/>
      <c r="L11" s="1561"/>
      <c r="M11" s="862"/>
      <c r="N11" s="1566" t="s">
        <v>735</v>
      </c>
      <c r="O11" s="1566"/>
      <c r="P11" s="1540"/>
      <c r="Q11" s="686"/>
      <c r="R11" s="1555"/>
      <c r="S11" s="1556"/>
      <c r="T11" s="775"/>
      <c r="U11" s="766"/>
      <c r="V11" s="766"/>
      <c r="W11" s="766"/>
      <c r="X11" s="1555"/>
      <c r="Y11" s="1555"/>
      <c r="Z11" s="1269"/>
      <c r="AA11" s="686"/>
      <c r="AB11" s="686"/>
    </row>
    <row r="12" spans="1:36" ht="42" customHeight="1" thickBot="1">
      <c r="A12" s="769"/>
      <c r="B12" s="1270"/>
      <c r="C12" s="753"/>
      <c r="D12" s="753"/>
      <c r="E12" s="1266" t="str">
        <f t="shared" si="0"/>
        <v/>
      </c>
      <c r="F12" s="754" t="str">
        <f t="shared" si="1"/>
        <v/>
      </c>
      <c r="G12" s="897"/>
      <c r="H12" s="1559" t="str">
        <f t="shared" si="2"/>
        <v/>
      </c>
      <c r="I12" s="1560"/>
      <c r="J12" s="1560"/>
      <c r="K12" s="1560"/>
      <c r="L12" s="1561"/>
      <c r="M12" s="862"/>
      <c r="N12" s="1566" t="s">
        <v>505</v>
      </c>
      <c r="O12" s="1566"/>
      <c r="P12" s="1540"/>
      <c r="Q12" s="686"/>
      <c r="R12" s="1555"/>
      <c r="S12" s="1556"/>
      <c r="T12" s="775"/>
      <c r="U12" s="766"/>
      <c r="V12" s="766"/>
      <c r="W12" s="766"/>
      <c r="X12" s="1555"/>
      <c r="Y12" s="1555"/>
      <c r="Z12" s="1269"/>
      <c r="AA12" s="686"/>
      <c r="AB12" s="686"/>
      <c r="AC12" s="898"/>
      <c r="AD12" s="899" t="s">
        <v>977</v>
      </c>
      <c r="AE12" s="900"/>
      <c r="AF12" s="900"/>
      <c r="AG12" s="900"/>
      <c r="AH12" s="900"/>
      <c r="AI12" s="901"/>
      <c r="AJ12" s="875"/>
    </row>
    <row r="13" spans="1:36" ht="42" customHeight="1" thickBot="1">
      <c r="A13" s="769"/>
      <c r="B13" s="1270"/>
      <c r="C13" s="753"/>
      <c r="D13" s="753"/>
      <c r="E13" s="1266" t="str">
        <f t="shared" si="0"/>
        <v/>
      </c>
      <c r="F13" s="754" t="str">
        <f t="shared" si="1"/>
        <v/>
      </c>
      <c r="G13" s="897"/>
      <c r="H13" s="1559" t="str">
        <f t="shared" si="2"/>
        <v/>
      </c>
      <c r="I13" s="1560"/>
      <c r="J13" s="1560"/>
      <c r="K13" s="1560"/>
      <c r="L13" s="1561"/>
      <c r="M13" s="776"/>
      <c r="N13" s="1566" t="s">
        <v>736</v>
      </c>
      <c r="O13" s="1566"/>
      <c r="P13" s="1540"/>
      <c r="Q13" s="686"/>
      <c r="R13" s="1555"/>
      <c r="S13" s="1556"/>
      <c r="T13" s="775"/>
      <c r="U13" s="766"/>
      <c r="V13" s="766"/>
      <c r="W13" s="766"/>
      <c r="X13" s="1555"/>
      <c r="Y13" s="1555"/>
      <c r="Z13" s="1269"/>
      <c r="AA13" s="686"/>
      <c r="AB13" s="686"/>
      <c r="AC13" s="918">
        <f>O71</f>
        <v>1</v>
      </c>
      <c r="AD13" s="919" t="str">
        <f t="shared" ref="AD13" si="3">Q71</f>
        <v/>
      </c>
      <c r="AE13" s="920"/>
      <c r="AF13" s="921"/>
      <c r="AG13" s="921"/>
      <c r="AH13" s="921"/>
      <c r="AI13" s="922"/>
      <c r="AJ13" s="923"/>
    </row>
    <row r="14" spans="1:36" ht="42" customHeight="1" thickBot="1">
      <c r="A14" s="769"/>
      <c r="B14" s="1270"/>
      <c r="C14" s="753"/>
      <c r="D14" s="753"/>
      <c r="E14" s="1266" t="str">
        <f t="shared" si="0"/>
        <v/>
      </c>
      <c r="F14" s="754" t="str">
        <f t="shared" si="1"/>
        <v/>
      </c>
      <c r="G14" s="897"/>
      <c r="H14" s="1559" t="str">
        <f t="shared" si="2"/>
        <v/>
      </c>
      <c r="I14" s="1560"/>
      <c r="J14" s="1560"/>
      <c r="K14" s="1560"/>
      <c r="L14" s="1561"/>
      <c r="M14" s="777"/>
      <c r="N14" s="1620" t="s">
        <v>1150</v>
      </c>
      <c r="O14" s="1620"/>
      <c r="P14" s="1620"/>
      <c r="Q14" s="1620"/>
      <c r="R14" s="1555"/>
      <c r="S14" s="1556"/>
      <c r="T14" s="686"/>
      <c r="U14" s="686"/>
      <c r="V14" s="686"/>
      <c r="W14" s="686"/>
      <c r="X14" s="1555"/>
      <c r="Y14" s="1556"/>
      <c r="Z14" s="1269"/>
      <c r="AA14" s="686"/>
      <c r="AB14" s="686"/>
      <c r="AC14" s="918">
        <f t="shared" ref="AC14:AC22" si="4">O72</f>
        <v>2</v>
      </c>
      <c r="AD14" s="919" t="str">
        <f t="shared" ref="AD14:AD20" si="5">Q72</f>
        <v/>
      </c>
      <c r="AE14" s="920"/>
      <c r="AF14" s="921"/>
      <c r="AG14" s="921"/>
      <c r="AH14" s="921"/>
      <c r="AI14" s="922"/>
      <c r="AJ14" s="923"/>
    </row>
    <row r="15" spans="1:36" ht="42" customHeight="1" thickTop="1" thickBot="1">
      <c r="A15" s="769"/>
      <c r="B15" s="1270"/>
      <c r="C15" s="753"/>
      <c r="D15" s="753"/>
      <c r="E15" s="1266" t="str">
        <f t="shared" si="0"/>
        <v/>
      </c>
      <c r="F15" s="754" t="str">
        <f t="shared" si="1"/>
        <v/>
      </c>
      <c r="G15" s="897"/>
      <c r="H15" s="1559" t="str">
        <f t="shared" si="2"/>
        <v/>
      </c>
      <c r="I15" s="1560"/>
      <c r="J15" s="1560"/>
      <c r="K15" s="1560"/>
      <c r="L15" s="1561"/>
      <c r="M15" s="862"/>
      <c r="N15" s="1572" t="s">
        <v>737</v>
      </c>
      <c r="O15" s="1572"/>
      <c r="P15" s="1572"/>
      <c r="Q15" s="1572"/>
      <c r="R15" s="1572"/>
      <c r="S15" s="1572"/>
      <c r="T15" s="1572"/>
      <c r="U15" s="1572"/>
      <c r="V15" s="1572"/>
      <c r="W15" s="1572"/>
      <c r="X15" s="1572"/>
      <c r="Y15" s="1572"/>
      <c r="Z15" s="1573"/>
      <c r="AA15" s="686"/>
      <c r="AB15" s="686"/>
      <c r="AC15" s="918">
        <f t="shared" si="4"/>
        <v>3</v>
      </c>
      <c r="AD15" s="919" t="str">
        <f t="shared" si="5"/>
        <v/>
      </c>
      <c r="AE15" s="920"/>
      <c r="AF15" s="921"/>
      <c r="AG15" s="921"/>
      <c r="AH15" s="921"/>
      <c r="AI15" s="922"/>
      <c r="AJ15" s="923"/>
    </row>
    <row r="16" spans="1:36" ht="42" customHeight="1" thickBot="1">
      <c r="A16" s="769"/>
      <c r="B16" s="1270"/>
      <c r="C16" s="753"/>
      <c r="D16" s="753"/>
      <c r="E16" s="1266" t="str">
        <f t="shared" si="0"/>
        <v/>
      </c>
      <c r="F16" s="754" t="str">
        <f t="shared" si="1"/>
        <v/>
      </c>
      <c r="G16" s="897"/>
      <c r="H16" s="1559" t="str">
        <f t="shared" si="2"/>
        <v/>
      </c>
      <c r="I16" s="1560"/>
      <c r="J16" s="1560"/>
      <c r="K16" s="1560"/>
      <c r="L16" s="1561"/>
      <c r="M16" s="862"/>
      <c r="N16" s="1607" t="s">
        <v>738</v>
      </c>
      <c r="O16" s="1607"/>
      <c r="P16" s="1607"/>
      <c r="Q16" s="1607"/>
      <c r="R16" s="1607"/>
      <c r="S16" s="1607"/>
      <c r="T16" s="1607"/>
      <c r="U16" s="1607"/>
      <c r="V16" s="1607"/>
      <c r="W16" s="1607"/>
      <c r="X16" s="1607"/>
      <c r="Y16" s="1607"/>
      <c r="Z16" s="1608"/>
      <c r="AA16" s="686"/>
      <c r="AB16" s="686"/>
      <c r="AC16" s="918">
        <f t="shared" si="4"/>
        <v>4</v>
      </c>
      <c r="AD16" s="919" t="str">
        <f t="shared" si="5"/>
        <v/>
      </c>
      <c r="AE16" s="920"/>
      <c r="AF16" s="921"/>
      <c r="AG16" s="921"/>
      <c r="AH16" s="921"/>
      <c r="AI16" s="922"/>
      <c r="AJ16" s="923"/>
    </row>
    <row r="17" spans="1:53" ht="42" customHeight="1" thickBot="1">
      <c r="A17" s="769"/>
      <c r="B17" s="1270"/>
      <c r="C17" s="753"/>
      <c r="D17" s="753"/>
      <c r="E17" s="1266" t="str">
        <f t="shared" si="0"/>
        <v/>
      </c>
      <c r="F17" s="754" t="str">
        <f t="shared" si="1"/>
        <v/>
      </c>
      <c r="G17" s="897"/>
      <c r="H17" s="1559" t="str">
        <f t="shared" si="2"/>
        <v/>
      </c>
      <c r="I17" s="1560"/>
      <c r="J17" s="1560"/>
      <c r="K17" s="1560"/>
      <c r="L17" s="1561"/>
      <c r="M17" s="862"/>
      <c r="N17" s="1616" t="s">
        <v>739</v>
      </c>
      <c r="O17" s="1617"/>
      <c r="P17" s="778"/>
      <c r="Q17" s="858"/>
      <c r="R17" s="858"/>
      <c r="S17" s="858"/>
      <c r="T17" s="858"/>
      <c r="U17" s="858"/>
      <c r="V17" s="858"/>
      <c r="W17" s="858"/>
      <c r="X17" s="858"/>
      <c r="Y17" s="858"/>
      <c r="Z17" s="1271"/>
      <c r="AA17" s="686"/>
      <c r="AB17" s="686"/>
      <c r="AC17" s="918">
        <f t="shared" si="4"/>
        <v>5</v>
      </c>
      <c r="AD17" s="919" t="str">
        <f t="shared" si="5"/>
        <v/>
      </c>
      <c r="AE17" s="920"/>
      <c r="AF17" s="921"/>
      <c r="AG17" s="921"/>
      <c r="AH17" s="921"/>
      <c r="AI17" s="922"/>
      <c r="AJ17" s="923"/>
    </row>
    <row r="18" spans="1:53" ht="42" customHeight="1" thickBot="1">
      <c r="A18" s="769"/>
      <c r="B18" s="1270"/>
      <c r="C18" s="753"/>
      <c r="D18" s="753"/>
      <c r="E18" s="1266" t="str">
        <f t="shared" si="0"/>
        <v/>
      </c>
      <c r="F18" s="754" t="str">
        <f t="shared" si="1"/>
        <v/>
      </c>
      <c r="G18" s="897"/>
      <c r="H18" s="1559" t="str">
        <f t="shared" si="2"/>
        <v/>
      </c>
      <c r="I18" s="1560"/>
      <c r="J18" s="1560"/>
      <c r="K18" s="1560"/>
      <c r="L18" s="1561"/>
      <c r="M18" s="780"/>
      <c r="N18" s="1614" t="s">
        <v>740</v>
      </c>
      <c r="O18" s="1615"/>
      <c r="P18" s="863"/>
      <c r="Q18" s="1609" t="s">
        <v>119</v>
      </c>
      <c r="R18" s="1609"/>
      <c r="S18" s="1610"/>
      <c r="T18" s="1610"/>
      <c r="U18" s="857"/>
      <c r="V18" s="1611" t="s">
        <v>741</v>
      </c>
      <c r="W18" s="1612"/>
      <c r="X18" s="1612"/>
      <c r="Y18" s="1610"/>
      <c r="Z18" s="1613"/>
      <c r="AA18" s="686"/>
      <c r="AB18" s="686"/>
      <c r="AC18" s="918">
        <f t="shared" si="4"/>
        <v>6</v>
      </c>
      <c r="AD18" s="919">
        <f t="shared" si="5"/>
        <v>0</v>
      </c>
      <c r="AE18" s="920"/>
      <c r="AF18" s="921"/>
      <c r="AG18" s="921"/>
      <c r="AH18" s="921"/>
      <c r="AI18" s="922"/>
      <c r="AJ18" s="923"/>
    </row>
    <row r="19" spans="1:53" ht="42" customHeight="1" thickBot="1">
      <c r="A19" s="769"/>
      <c r="B19" s="1270"/>
      <c r="C19" s="753"/>
      <c r="D19" s="753"/>
      <c r="E19" s="1266" t="str">
        <f t="shared" si="0"/>
        <v/>
      </c>
      <c r="F19" s="754" t="str">
        <f t="shared" si="1"/>
        <v/>
      </c>
      <c r="G19" s="897"/>
      <c r="H19" s="1559" t="str">
        <f t="shared" si="2"/>
        <v/>
      </c>
      <c r="I19" s="1560"/>
      <c r="J19" s="1560"/>
      <c r="K19" s="1560"/>
      <c r="L19" s="1561"/>
      <c r="M19" s="777"/>
      <c r="N19" s="781"/>
      <c r="O19" s="781"/>
      <c r="P19" s="686"/>
      <c r="Q19" s="686"/>
      <c r="R19" s="686"/>
      <c r="S19" s="689"/>
      <c r="T19" s="689"/>
      <c r="U19" s="689"/>
      <c r="V19" s="689"/>
      <c r="W19" s="689"/>
      <c r="X19" s="766"/>
      <c r="Y19" s="766"/>
      <c r="Z19" s="1269"/>
      <c r="AA19" s="686"/>
      <c r="AB19" s="686"/>
      <c r="AC19" s="918">
        <f t="shared" si="4"/>
        <v>7</v>
      </c>
      <c r="AD19" s="919" t="str">
        <f t="shared" si="5"/>
        <v/>
      </c>
      <c r="AE19" s="920"/>
      <c r="AF19" s="921"/>
      <c r="AG19" s="921"/>
      <c r="AH19" s="921"/>
      <c r="AI19" s="922"/>
      <c r="AJ19" s="923"/>
    </row>
    <row r="20" spans="1:53" ht="42" customHeight="1" thickTop="1" thickBot="1">
      <c r="A20" s="769"/>
      <c r="B20" s="1270"/>
      <c r="C20" s="753"/>
      <c r="D20" s="753"/>
      <c r="E20" s="1266" t="str">
        <f t="shared" si="0"/>
        <v/>
      </c>
      <c r="F20" s="754" t="str">
        <f t="shared" si="1"/>
        <v/>
      </c>
      <c r="G20" s="897"/>
      <c r="H20" s="1559" t="str">
        <f t="shared" si="2"/>
        <v/>
      </c>
      <c r="I20" s="1560"/>
      <c r="J20" s="1560"/>
      <c r="K20" s="1560"/>
      <c r="L20" s="1561"/>
      <c r="M20" s="862"/>
      <c r="N20" s="1574"/>
      <c r="O20" s="1574"/>
      <c r="P20" s="1574"/>
      <c r="Q20" s="1574"/>
      <c r="R20" s="1574"/>
      <c r="S20" s="1574"/>
      <c r="T20" s="1574"/>
      <c r="U20" s="1574"/>
      <c r="V20" s="1574"/>
      <c r="W20" s="1574"/>
      <c r="X20" s="1574"/>
      <c r="Y20" s="1574"/>
      <c r="Z20" s="1575"/>
      <c r="AA20" s="686"/>
      <c r="AB20" s="686"/>
      <c r="AC20" s="918">
        <f t="shared" si="4"/>
        <v>8</v>
      </c>
      <c r="AD20" s="919" t="str">
        <f t="shared" si="5"/>
        <v/>
      </c>
      <c r="AE20" s="920"/>
      <c r="AF20" s="921"/>
      <c r="AG20" s="921"/>
      <c r="AH20" s="921"/>
      <c r="AI20" s="922"/>
      <c r="AJ20" s="923"/>
    </row>
    <row r="21" spans="1:53" ht="42" customHeight="1" thickBot="1">
      <c r="A21" s="769"/>
      <c r="B21" s="1270"/>
      <c r="C21" s="753"/>
      <c r="D21" s="753"/>
      <c r="E21" s="1266" t="str">
        <f t="shared" si="0"/>
        <v/>
      </c>
      <c r="F21" s="754" t="str">
        <f t="shared" si="1"/>
        <v/>
      </c>
      <c r="G21" s="897"/>
      <c r="H21" s="1559" t="str">
        <f t="shared" si="2"/>
        <v/>
      </c>
      <c r="I21" s="1560"/>
      <c r="J21" s="1560"/>
      <c r="K21" s="1560"/>
      <c r="L21" s="1561"/>
      <c r="M21" s="862"/>
      <c r="N21" s="1603" t="s">
        <v>742</v>
      </c>
      <c r="O21" s="1603"/>
      <c r="P21" s="1603"/>
      <c r="Q21" s="1603"/>
      <c r="R21" s="1603"/>
      <c r="S21" s="1603"/>
      <c r="T21" s="1603"/>
      <c r="U21" s="1603"/>
      <c r="V21" s="1603"/>
      <c r="W21" s="1603"/>
      <c r="X21" s="1603"/>
      <c r="Y21" s="1603"/>
      <c r="Z21" s="1604"/>
      <c r="AA21" s="686"/>
      <c r="AB21" s="686"/>
      <c r="AC21" s="918">
        <f t="shared" si="4"/>
        <v>9</v>
      </c>
      <c r="AD21" s="919" t="str">
        <f t="shared" ref="AD21" si="6">Q79</f>
        <v/>
      </c>
      <c r="AE21" s="920"/>
      <c r="AF21" s="921"/>
      <c r="AG21" s="921"/>
      <c r="AH21" s="921"/>
      <c r="AI21" s="922"/>
      <c r="AJ21" s="923"/>
    </row>
    <row r="22" spans="1:53" ht="42" customHeight="1" thickBot="1">
      <c r="A22" s="769"/>
      <c r="B22" s="1270"/>
      <c r="C22" s="753"/>
      <c r="D22" s="753"/>
      <c r="E22" s="1266" t="str">
        <f t="shared" si="0"/>
        <v/>
      </c>
      <c r="F22" s="754" t="str">
        <f t="shared" si="1"/>
        <v/>
      </c>
      <c r="G22" s="897"/>
      <c r="H22" s="1559" t="str">
        <f t="shared" si="2"/>
        <v/>
      </c>
      <c r="I22" s="1560"/>
      <c r="J22" s="1560"/>
      <c r="K22" s="1560"/>
      <c r="L22" s="1561"/>
      <c r="M22" s="862"/>
      <c r="N22" s="782"/>
      <c r="O22" s="782"/>
      <c r="P22" s="1605"/>
      <c r="Q22" s="1606"/>
      <c r="R22" s="1606"/>
      <c r="S22" s="1606"/>
      <c r="T22" s="1606"/>
      <c r="U22" s="1606"/>
      <c r="V22" s="1606"/>
      <c r="W22" s="1606"/>
      <c r="X22" s="1606"/>
      <c r="Y22" s="766"/>
      <c r="Z22" s="1269"/>
      <c r="AA22" s="686"/>
      <c r="AB22" s="686"/>
      <c r="AC22" s="929">
        <f t="shared" si="4"/>
        <v>10</v>
      </c>
      <c r="AD22" s="924"/>
      <c r="AE22" s="925"/>
      <c r="AF22" s="926"/>
      <c r="AG22" s="926"/>
      <c r="AH22" s="926"/>
      <c r="AI22" s="927"/>
      <c r="AJ22" s="928"/>
    </row>
    <row r="23" spans="1:53" ht="42" customHeight="1" thickBot="1">
      <c r="A23" s="769"/>
      <c r="B23" s="1270"/>
      <c r="C23" s="753"/>
      <c r="D23" s="753"/>
      <c r="E23" s="1266" t="str">
        <f t="shared" si="0"/>
        <v/>
      </c>
      <c r="F23" s="754" t="str">
        <f t="shared" si="1"/>
        <v/>
      </c>
      <c r="G23" s="897"/>
      <c r="H23" s="1559" t="str">
        <f t="shared" si="2"/>
        <v/>
      </c>
      <c r="I23" s="1560"/>
      <c r="J23" s="1560"/>
      <c r="K23" s="1560"/>
      <c r="L23" s="1561"/>
      <c r="M23" s="777"/>
      <c r="N23" s="1540"/>
      <c r="O23" s="1540"/>
      <c r="P23" s="1540"/>
      <c r="Q23" s="1540"/>
      <c r="R23" s="686"/>
      <c r="S23" s="1540"/>
      <c r="T23" s="1540"/>
      <c r="U23" s="1540"/>
      <c r="V23" s="1540"/>
      <c r="W23" s="1540"/>
      <c r="X23" s="1540"/>
      <c r="Y23" s="686"/>
      <c r="Z23" s="1269"/>
      <c r="AA23" s="686"/>
      <c r="AB23" s="686"/>
    </row>
    <row r="24" spans="1:53" ht="42" customHeight="1" thickTop="1" thickBot="1">
      <c r="A24" s="769"/>
      <c r="B24" s="1270"/>
      <c r="C24" s="753"/>
      <c r="D24" s="753"/>
      <c r="E24" s="1266" t="str">
        <f t="shared" si="0"/>
        <v/>
      </c>
      <c r="F24" s="754" t="str">
        <f t="shared" si="1"/>
        <v/>
      </c>
      <c r="G24" s="897"/>
      <c r="H24" s="1559" t="str">
        <f t="shared" si="2"/>
        <v/>
      </c>
      <c r="I24" s="1560"/>
      <c r="J24" s="1560"/>
      <c r="K24" s="1560"/>
      <c r="L24" s="1561"/>
      <c r="M24" s="862"/>
      <c r="N24" s="1577" t="s">
        <v>743</v>
      </c>
      <c r="O24" s="1577"/>
      <c r="P24" s="1578"/>
      <c r="Q24" s="1578"/>
      <c r="R24" s="1578"/>
      <c r="S24" s="1578"/>
      <c r="T24" s="1578"/>
      <c r="U24" s="1578"/>
      <c r="V24" s="1578"/>
      <c r="W24" s="1578"/>
      <c r="X24" s="1578"/>
      <c r="Y24" s="1578"/>
      <c r="Z24" s="1579"/>
      <c r="AA24" s="686"/>
      <c r="AB24" s="686"/>
    </row>
    <row r="25" spans="1:53" ht="42" customHeight="1" thickBot="1">
      <c r="A25" s="769"/>
      <c r="B25" s="1270"/>
      <c r="C25" s="753"/>
      <c r="D25" s="753"/>
      <c r="E25" s="1266" t="str">
        <f t="shared" si="0"/>
        <v/>
      </c>
      <c r="F25" s="754" t="str">
        <f t="shared" si="1"/>
        <v/>
      </c>
      <c r="G25" s="897"/>
      <c r="H25" s="1559" t="str">
        <f t="shared" si="2"/>
        <v/>
      </c>
      <c r="I25" s="1560"/>
      <c r="J25" s="1560"/>
      <c r="K25" s="1560"/>
      <c r="L25" s="1561"/>
      <c r="M25" s="862"/>
      <c r="N25" s="686"/>
      <c r="O25" s="686"/>
      <c r="P25" s="686"/>
      <c r="Q25" s="1580" t="s">
        <v>744</v>
      </c>
      <c r="R25" s="1580"/>
      <c r="S25" s="1581"/>
      <c r="T25" s="1582"/>
      <c r="U25" s="1582"/>
      <c r="V25" s="1582"/>
      <c r="W25" s="783"/>
      <c r="X25" s="686"/>
      <c r="Y25" s="686"/>
      <c r="Z25" s="1269"/>
      <c r="AA25" s="686"/>
      <c r="AB25" s="686"/>
    </row>
    <row r="26" spans="1:53" ht="42" customHeight="1" thickBot="1">
      <c r="A26" s="769"/>
      <c r="B26" s="1270"/>
      <c r="C26" s="753"/>
      <c r="D26" s="753"/>
      <c r="E26" s="1266" t="str">
        <f t="shared" si="0"/>
        <v/>
      </c>
      <c r="F26" s="754" t="str">
        <f t="shared" si="1"/>
        <v/>
      </c>
      <c r="G26" s="897"/>
      <c r="H26" s="1559" t="str">
        <f t="shared" si="2"/>
        <v/>
      </c>
      <c r="I26" s="1560"/>
      <c r="J26" s="1560"/>
      <c r="K26" s="1560"/>
      <c r="L26" s="1561"/>
      <c r="M26" s="862"/>
      <c r="N26" s="686"/>
      <c r="O26" s="686"/>
      <c r="P26" s="686"/>
      <c r="Q26" s="1580"/>
      <c r="R26" s="1580"/>
      <c r="S26" s="1581"/>
      <c r="T26" s="1582"/>
      <c r="U26" s="1582"/>
      <c r="V26" s="1582"/>
      <c r="W26" s="783"/>
      <c r="X26" s="686"/>
      <c r="Y26" s="686"/>
      <c r="Z26" s="1269"/>
      <c r="AA26" s="686"/>
      <c r="AB26" s="686"/>
    </row>
    <row r="27" spans="1:53" ht="42" customHeight="1" thickBot="1">
      <c r="A27" s="769"/>
      <c r="B27" s="1270"/>
      <c r="C27" s="753"/>
      <c r="D27" s="753"/>
      <c r="E27" s="1266" t="str">
        <f t="shared" si="0"/>
        <v/>
      </c>
      <c r="F27" s="754" t="str">
        <f t="shared" si="1"/>
        <v/>
      </c>
      <c r="G27" s="897"/>
      <c r="H27" s="1559" t="str">
        <f t="shared" si="2"/>
        <v/>
      </c>
      <c r="I27" s="1560"/>
      <c r="J27" s="1560"/>
      <c r="K27" s="1560"/>
      <c r="L27" s="1561"/>
      <c r="M27" s="862"/>
      <c r="N27" s="1562" t="s">
        <v>745</v>
      </c>
      <c r="O27" s="1562"/>
      <c r="P27" s="1563"/>
      <c r="Q27" s="1580"/>
      <c r="R27" s="1580"/>
      <c r="S27" s="1581"/>
      <c r="T27" s="1582"/>
      <c r="U27" s="1582"/>
      <c r="V27" s="1582"/>
      <c r="W27" s="1100"/>
      <c r="X27" s="1101"/>
      <c r="Y27" s="686"/>
      <c r="Z27" s="1269"/>
      <c r="AA27" s="686"/>
      <c r="AB27" s="686"/>
    </row>
    <row r="28" spans="1:53" ht="42" customHeight="1" thickBot="1">
      <c r="A28" s="769"/>
      <c r="B28" s="1270"/>
      <c r="C28" s="753"/>
      <c r="D28" s="753"/>
      <c r="E28" s="1266" t="str">
        <f t="shared" si="0"/>
        <v/>
      </c>
      <c r="F28" s="754" t="str">
        <f t="shared" si="1"/>
        <v/>
      </c>
      <c r="G28" s="897"/>
      <c r="H28" s="1559" t="str">
        <f t="shared" si="2"/>
        <v/>
      </c>
      <c r="I28" s="1560"/>
      <c r="J28" s="1560"/>
      <c r="K28" s="1560"/>
      <c r="L28" s="1561"/>
      <c r="M28" s="862"/>
      <c r="N28" s="854" t="s">
        <v>746</v>
      </c>
      <c r="O28" s="1564"/>
      <c r="P28" s="1565"/>
      <c r="Q28" s="1581"/>
      <c r="R28" s="1581"/>
      <c r="S28" s="1581"/>
      <c r="T28" s="1582"/>
      <c r="U28" s="1582"/>
      <c r="V28" s="1582"/>
      <c r="W28" s="1568"/>
      <c r="X28" s="1569"/>
      <c r="Y28" s="1566" t="s">
        <v>408</v>
      </c>
      <c r="Z28" s="1567"/>
      <c r="AA28" s="686"/>
      <c r="AB28" s="686"/>
      <c r="AW28" s="1662" t="s">
        <v>1219</v>
      </c>
      <c r="AX28" s="1662"/>
      <c r="AY28" s="1322" t="s">
        <v>1216</v>
      </c>
      <c r="AZ28" s="1322" cm="1">
        <f t="array" ref="AZ28:BA28">'DS Log Pg 1'!H23:I23</f>
        <v>0</v>
      </c>
      <c r="BA28" s="1322">
        <v>0</v>
      </c>
    </row>
    <row r="29" spans="1:53" ht="42" customHeight="1" thickBot="1">
      <c r="A29" s="769"/>
      <c r="B29" s="1270"/>
      <c r="C29" s="753"/>
      <c r="D29" s="753"/>
      <c r="E29" s="1266" t="str">
        <f t="shared" si="0"/>
        <v/>
      </c>
      <c r="F29" s="754" t="str">
        <f t="shared" si="1"/>
        <v/>
      </c>
      <c r="G29" s="897"/>
      <c r="H29" s="1559" t="str">
        <f t="shared" si="2"/>
        <v/>
      </c>
      <c r="I29" s="1560"/>
      <c r="J29" s="1560"/>
      <c r="K29" s="1560"/>
      <c r="L29" s="1561"/>
      <c r="M29" s="862"/>
      <c r="N29" s="854" t="s">
        <v>747</v>
      </c>
      <c r="O29" s="1564"/>
      <c r="P29" s="1565"/>
      <c r="Q29" s="686"/>
      <c r="R29" s="686"/>
      <c r="S29" s="686"/>
      <c r="T29" s="686"/>
      <c r="U29" s="686"/>
      <c r="V29" s="686"/>
      <c r="W29" s="686"/>
      <c r="X29" s="686"/>
      <c r="Y29" s="686"/>
      <c r="Z29" s="1269"/>
      <c r="AA29" s="686"/>
      <c r="AB29" s="686"/>
      <c r="AY29" s="1322" t="s">
        <v>1217</v>
      </c>
      <c r="AZ29" s="1322" cm="1">
        <f t="array" ref="AZ29:BA29">'DS Log Pg 1'!C23:D23</f>
        <v>45222</v>
      </c>
      <c r="BA29" s="1322">
        <v>0</v>
      </c>
    </row>
    <row r="30" spans="1:53" ht="42" customHeight="1" thickBot="1">
      <c r="A30" s="769"/>
      <c r="B30" s="1270"/>
      <c r="C30" s="753"/>
      <c r="D30" s="753"/>
      <c r="E30" s="1266" t="str">
        <f t="shared" si="0"/>
        <v/>
      </c>
      <c r="F30" s="754" t="str">
        <f t="shared" si="1"/>
        <v/>
      </c>
      <c r="G30" s="897"/>
      <c r="H30" s="1559" t="str">
        <f t="shared" si="2"/>
        <v/>
      </c>
      <c r="I30" s="1560"/>
      <c r="J30" s="1560"/>
      <c r="K30" s="1560"/>
      <c r="L30" s="1561"/>
      <c r="M30" s="862"/>
      <c r="N30" s="854" t="s">
        <v>748</v>
      </c>
      <c r="O30" s="1564"/>
      <c r="P30" s="1565"/>
      <c r="Q30" s="686"/>
      <c r="R30" s="686"/>
      <c r="S30" s="686"/>
      <c r="T30" s="686"/>
      <c r="U30" s="686"/>
      <c r="V30" s="686"/>
      <c r="W30" s="686"/>
      <c r="X30" s="686"/>
      <c r="Y30" s="686"/>
      <c r="Z30" s="1269"/>
      <c r="AA30" s="686"/>
      <c r="AB30" s="686"/>
    </row>
    <row r="31" spans="1:53" ht="42" customHeight="1" thickBot="1">
      <c r="A31" s="769"/>
      <c r="B31" s="1270"/>
      <c r="C31" s="753"/>
      <c r="D31" s="753"/>
      <c r="E31" s="1266" t="str">
        <f t="shared" si="0"/>
        <v/>
      </c>
      <c r="F31" s="754" t="str">
        <f t="shared" si="1"/>
        <v/>
      </c>
      <c r="G31" s="897"/>
      <c r="H31" s="1559" t="str">
        <f t="shared" si="2"/>
        <v/>
      </c>
      <c r="I31" s="1560"/>
      <c r="J31" s="1560"/>
      <c r="K31" s="1560"/>
      <c r="L31" s="1561"/>
      <c r="M31" s="862"/>
      <c r="N31" s="854"/>
      <c r="O31" s="854"/>
      <c r="P31" s="854"/>
      <c r="Q31" s="686"/>
      <c r="R31" s="686"/>
      <c r="S31" s="686"/>
      <c r="T31" s="686"/>
      <c r="U31" s="686"/>
      <c r="V31" s="686"/>
      <c r="W31" s="686"/>
      <c r="X31" s="686"/>
      <c r="Y31" s="686"/>
      <c r="Z31" s="1269"/>
      <c r="AA31" s="686"/>
      <c r="AB31" s="686"/>
    </row>
    <row r="32" spans="1:53" ht="42" customHeight="1" thickBot="1">
      <c r="A32" s="769"/>
      <c r="B32" s="1270"/>
      <c r="C32" s="753"/>
      <c r="D32" s="753"/>
      <c r="E32" s="1266" t="str">
        <f t="shared" si="0"/>
        <v/>
      </c>
      <c r="F32" s="754" t="str">
        <f t="shared" si="1"/>
        <v/>
      </c>
      <c r="G32" s="897"/>
      <c r="H32" s="1559" t="str">
        <f t="shared" si="2"/>
        <v/>
      </c>
      <c r="I32" s="1560"/>
      <c r="J32" s="1560"/>
      <c r="K32" s="1560"/>
      <c r="L32" s="1561"/>
      <c r="M32" s="862"/>
      <c r="N32" s="1566" t="s">
        <v>749</v>
      </c>
      <c r="O32" s="1576"/>
      <c r="P32" s="1605"/>
      <c r="Q32" s="1606"/>
      <c r="R32" s="1606"/>
      <c r="S32" s="1606"/>
      <c r="T32" s="1606"/>
      <c r="U32" s="1606"/>
      <c r="V32" s="1606"/>
      <c r="W32" s="1606"/>
      <c r="X32" s="1606"/>
      <c r="Y32" s="785"/>
      <c r="Z32" s="1269"/>
      <c r="AA32" s="686"/>
      <c r="AB32" s="686"/>
    </row>
    <row r="33" spans="1:28" ht="42" customHeight="1" thickBot="1">
      <c r="A33" s="769"/>
      <c r="B33" s="1270"/>
      <c r="C33" s="753"/>
      <c r="D33" s="753"/>
      <c r="E33" s="1266" t="str">
        <f t="shared" si="0"/>
        <v/>
      </c>
      <c r="F33" s="754" t="str">
        <f t="shared" si="1"/>
        <v/>
      </c>
      <c r="G33" s="897"/>
      <c r="H33" s="1559" t="str">
        <f t="shared" si="2"/>
        <v/>
      </c>
      <c r="I33" s="1560"/>
      <c r="J33" s="1560"/>
      <c r="K33" s="1560"/>
      <c r="L33" s="1561"/>
      <c r="M33" s="862"/>
      <c r="N33" s="1566" t="s">
        <v>750</v>
      </c>
      <c r="O33" s="1576"/>
      <c r="P33" s="1605"/>
      <c r="Q33" s="1606"/>
      <c r="R33" s="1606"/>
      <c r="S33" s="1606"/>
      <c r="T33" s="1606"/>
      <c r="U33" s="1606"/>
      <c r="V33" s="1606"/>
      <c r="W33" s="1606"/>
      <c r="X33" s="1606"/>
      <c r="Y33" s="785"/>
      <c r="Z33" s="1269"/>
      <c r="AA33" s="686"/>
      <c r="AB33" s="686"/>
    </row>
    <row r="34" spans="1:28" ht="42" customHeight="1" thickBot="1">
      <c r="A34" s="769"/>
      <c r="B34" s="1270"/>
      <c r="C34" s="753"/>
      <c r="D34" s="753"/>
      <c r="E34" s="1266" t="str">
        <f t="shared" si="0"/>
        <v/>
      </c>
      <c r="F34" s="754" t="str">
        <f t="shared" si="1"/>
        <v/>
      </c>
      <c r="G34" s="897"/>
      <c r="H34" s="1559" t="str">
        <f t="shared" si="2"/>
        <v/>
      </c>
      <c r="I34" s="1560"/>
      <c r="J34" s="1560"/>
      <c r="K34" s="1560"/>
      <c r="L34" s="1561"/>
      <c r="M34" s="862"/>
      <c r="N34" s="1622"/>
      <c r="O34" s="1622"/>
      <c r="P34" s="1540"/>
      <c r="Q34" s="1540"/>
      <c r="R34" s="1540"/>
      <c r="S34" s="1540"/>
      <c r="T34" s="1540"/>
      <c r="U34" s="1540"/>
      <c r="V34" s="1540"/>
      <c r="W34" s="1540"/>
      <c r="X34" s="1540"/>
      <c r="Y34" s="1540"/>
      <c r="Z34" s="1623"/>
      <c r="AA34" s="686"/>
      <c r="AB34" s="686"/>
    </row>
    <row r="35" spans="1:28" ht="42" customHeight="1" thickBot="1">
      <c r="A35" s="769"/>
      <c r="B35" s="1270"/>
      <c r="C35" s="753"/>
      <c r="D35" s="753"/>
      <c r="E35" s="1266" t="str">
        <f t="shared" si="0"/>
        <v/>
      </c>
      <c r="F35" s="754" t="str">
        <f t="shared" si="1"/>
        <v/>
      </c>
      <c r="G35" s="897"/>
      <c r="H35" s="1559" t="str">
        <f t="shared" si="2"/>
        <v/>
      </c>
      <c r="I35" s="1560"/>
      <c r="J35" s="1560"/>
      <c r="K35" s="1560"/>
      <c r="L35" s="1561"/>
      <c r="M35" s="862"/>
      <c r="N35" s="974"/>
      <c r="O35" s="854"/>
      <c r="P35" s="854"/>
      <c r="Q35" s="686"/>
      <c r="R35" s="686"/>
      <c r="S35" s="686"/>
      <c r="T35" s="686"/>
      <c r="U35" s="686"/>
      <c r="V35" s="686"/>
      <c r="W35" s="686"/>
      <c r="X35" s="686"/>
      <c r="Y35" s="686"/>
      <c r="Z35" s="1269"/>
      <c r="AA35" s="686"/>
      <c r="AB35" s="686"/>
    </row>
    <row r="36" spans="1:28" ht="42" customHeight="1" thickBot="1">
      <c r="A36" s="769"/>
      <c r="B36" s="1270"/>
      <c r="C36" s="753"/>
      <c r="D36" s="753"/>
      <c r="E36" s="1266" t="str">
        <f t="shared" si="0"/>
        <v/>
      </c>
      <c r="F36" s="754" t="str">
        <f t="shared" si="1"/>
        <v/>
      </c>
      <c r="G36" s="897"/>
      <c r="H36" s="1559" t="str">
        <f t="shared" si="2"/>
        <v/>
      </c>
      <c r="I36" s="1560"/>
      <c r="J36" s="1560"/>
      <c r="K36" s="1560"/>
      <c r="L36" s="1561"/>
      <c r="M36" s="862"/>
      <c r="N36" s="686"/>
      <c r="O36" s="686"/>
      <c r="P36" s="686"/>
      <c r="Q36" s="686"/>
      <c r="R36" s="686"/>
      <c r="S36" s="686"/>
      <c r="T36" s="686"/>
      <c r="U36" s="686"/>
      <c r="V36" s="686"/>
      <c r="W36" s="686"/>
      <c r="X36" s="686"/>
      <c r="Y36" s="686"/>
      <c r="Z36" s="1269"/>
      <c r="AA36" s="686"/>
      <c r="AB36" s="686"/>
    </row>
    <row r="37" spans="1:28" ht="42" customHeight="1" thickBot="1">
      <c r="A37" s="769"/>
      <c r="B37" s="1270"/>
      <c r="C37" s="753"/>
      <c r="D37" s="753"/>
      <c r="E37" s="1266" t="str">
        <f t="shared" si="0"/>
        <v/>
      </c>
      <c r="F37" s="754" t="str">
        <f t="shared" si="1"/>
        <v/>
      </c>
      <c r="G37" s="897"/>
      <c r="H37" s="1559" t="str">
        <f t="shared" si="2"/>
        <v/>
      </c>
      <c r="I37" s="1560"/>
      <c r="J37" s="1560"/>
      <c r="K37" s="1560"/>
      <c r="L37" s="1561"/>
      <c r="M37" s="862"/>
      <c r="O37" s="781" t="s">
        <v>751</v>
      </c>
      <c r="P37" s="860"/>
      <c r="Q37" s="854" t="s">
        <v>408</v>
      </c>
      <c r="R37" s="854"/>
      <c r="S37" s="787" t="s">
        <v>751</v>
      </c>
      <c r="T37" s="598"/>
      <c r="U37" s="598"/>
      <c r="V37" s="598"/>
      <c r="W37" s="788" t="s">
        <v>752</v>
      </c>
      <c r="X37" s="1624"/>
      <c r="Y37" s="1625"/>
      <c r="Z37" s="1272" t="s">
        <v>408</v>
      </c>
      <c r="AA37" s="686"/>
      <c r="AB37" s="686"/>
    </row>
    <row r="38" spans="1:28" ht="42" customHeight="1" thickBot="1">
      <c r="A38" s="769"/>
      <c r="B38" s="1270"/>
      <c r="C38" s="753"/>
      <c r="D38" s="753"/>
      <c r="E38" s="1266" t="str">
        <f t="shared" si="0"/>
        <v/>
      </c>
      <c r="F38" s="754" t="str">
        <f t="shared" si="1"/>
        <v/>
      </c>
      <c r="G38" s="897"/>
      <c r="H38" s="1559" t="str">
        <f t="shared" si="2"/>
        <v/>
      </c>
      <c r="I38" s="1560"/>
      <c r="J38" s="1560"/>
      <c r="K38" s="1560"/>
      <c r="L38" s="1561"/>
      <c r="M38" s="862"/>
      <c r="N38" s="686"/>
      <c r="O38" s="686"/>
      <c r="P38" s="861"/>
      <c r="Q38" s="854" t="s">
        <v>950</v>
      </c>
      <c r="R38" s="854"/>
      <c r="S38" s="686"/>
      <c r="T38" s="686"/>
      <c r="U38" s="686"/>
      <c r="V38" s="686"/>
      <c r="W38" s="686"/>
      <c r="X38" s="1626"/>
      <c r="Y38" s="1627"/>
      <c r="Z38" s="1273" t="s">
        <v>950</v>
      </c>
      <c r="AA38" s="686"/>
      <c r="AB38" s="686"/>
    </row>
    <row r="39" spans="1:28" ht="42" customHeight="1" thickBot="1">
      <c r="A39" s="769"/>
      <c r="B39" s="1270"/>
      <c r="C39" s="753"/>
      <c r="D39" s="753"/>
      <c r="E39" s="1266" t="str">
        <f t="shared" si="0"/>
        <v/>
      </c>
      <c r="F39" s="754" t="str">
        <f t="shared" si="1"/>
        <v/>
      </c>
      <c r="G39" s="897"/>
      <c r="H39" s="1559" t="str">
        <f t="shared" si="2"/>
        <v/>
      </c>
      <c r="I39" s="1560"/>
      <c r="J39" s="1560"/>
      <c r="K39" s="1560"/>
      <c r="L39" s="1561"/>
      <c r="M39" s="862"/>
      <c r="N39" s="686"/>
      <c r="O39" s="686"/>
      <c r="P39" s="789" t="s">
        <v>753</v>
      </c>
      <c r="Q39" s="854"/>
      <c r="R39" s="854"/>
      <c r="S39" s="686"/>
      <c r="T39" s="686"/>
      <c r="U39" s="686"/>
      <c r="V39" s="686"/>
      <c r="W39" s="686"/>
      <c r="X39" s="773"/>
      <c r="Y39" s="773"/>
      <c r="Z39" s="1272"/>
      <c r="AA39" s="686"/>
      <c r="AB39" s="686"/>
    </row>
    <row r="40" spans="1:28" ht="42" customHeight="1" thickBot="1">
      <c r="A40" s="769"/>
      <c r="B40" s="1270"/>
      <c r="C40" s="753"/>
      <c r="D40" s="753"/>
      <c r="E40" s="1266" t="str">
        <f t="shared" si="0"/>
        <v/>
      </c>
      <c r="F40" s="754" t="str">
        <f t="shared" si="1"/>
        <v/>
      </c>
      <c r="G40" s="897"/>
      <c r="H40" s="1559" t="str">
        <f t="shared" si="2"/>
        <v/>
      </c>
      <c r="I40" s="1560"/>
      <c r="J40" s="1560"/>
      <c r="K40" s="1560"/>
      <c r="L40" s="1561"/>
      <c r="M40" s="862"/>
      <c r="N40" s="686"/>
      <c r="O40" s="686"/>
      <c r="P40" s="686"/>
      <c r="Q40" s="686"/>
      <c r="R40" s="686"/>
      <c r="S40" s="790" t="s">
        <v>752</v>
      </c>
      <c r="T40" s="686"/>
      <c r="U40" s="686"/>
      <c r="V40" s="791" t="s">
        <v>754</v>
      </c>
      <c r="W40" s="788" t="s">
        <v>754</v>
      </c>
      <c r="X40" s="1624"/>
      <c r="Y40" s="1625"/>
      <c r="Z40" s="1272" t="s">
        <v>408</v>
      </c>
      <c r="AA40" s="686"/>
      <c r="AB40" s="686"/>
    </row>
    <row r="41" spans="1:28" ht="42" customHeight="1" thickBot="1">
      <c r="A41" s="769"/>
      <c r="B41" s="1270"/>
      <c r="C41" s="753"/>
      <c r="D41" s="753"/>
      <c r="E41" s="1266" t="str">
        <f t="shared" si="0"/>
        <v/>
      </c>
      <c r="F41" s="754" t="str">
        <f t="shared" si="1"/>
        <v/>
      </c>
      <c r="G41" s="897"/>
      <c r="H41" s="1559" t="str">
        <f t="shared" si="2"/>
        <v/>
      </c>
      <c r="I41" s="1560"/>
      <c r="J41" s="1560"/>
      <c r="K41" s="1560"/>
      <c r="L41" s="1561"/>
      <c r="M41" s="862"/>
      <c r="N41" s="686"/>
      <c r="O41" s="686"/>
      <c r="P41" s="686"/>
      <c r="Q41" s="686"/>
      <c r="R41" s="686"/>
      <c r="S41" s="686"/>
      <c r="T41" s="686"/>
      <c r="U41" s="686"/>
      <c r="V41" s="686"/>
      <c r="W41" s="686"/>
      <c r="X41" s="1626"/>
      <c r="Y41" s="1627"/>
      <c r="Z41" s="1272" t="s">
        <v>950</v>
      </c>
      <c r="AA41" s="686"/>
      <c r="AB41" s="686"/>
    </row>
    <row r="42" spans="1:28" ht="42" customHeight="1" thickBot="1">
      <c r="A42" s="769"/>
      <c r="B42" s="1270"/>
      <c r="C42" s="753"/>
      <c r="D42" s="753"/>
      <c r="E42" s="1266" t="str">
        <f t="shared" si="0"/>
        <v/>
      </c>
      <c r="F42" s="754" t="str">
        <f t="shared" si="1"/>
        <v/>
      </c>
      <c r="G42" s="897"/>
      <c r="H42" s="1559" t="str">
        <f t="shared" si="2"/>
        <v/>
      </c>
      <c r="I42" s="1560"/>
      <c r="J42" s="1560"/>
      <c r="K42" s="1560"/>
      <c r="L42" s="1561"/>
      <c r="M42" s="862"/>
      <c r="O42" s="792" t="s">
        <v>753</v>
      </c>
      <c r="P42" s="860"/>
      <c r="Q42" s="854" t="s">
        <v>408</v>
      </c>
      <c r="R42" s="854"/>
      <c r="S42" s="789" t="s">
        <v>755</v>
      </c>
      <c r="T42" s="598"/>
      <c r="U42" s="598"/>
      <c r="V42" s="598"/>
      <c r="W42" s="788" t="s">
        <v>755</v>
      </c>
      <c r="X42" s="1624"/>
      <c r="Y42" s="1625"/>
      <c r="Z42" s="1272" t="s">
        <v>408</v>
      </c>
      <c r="AA42" s="686"/>
      <c r="AB42" s="686"/>
    </row>
    <row r="43" spans="1:28" ht="42" customHeight="1" thickBot="1">
      <c r="A43" s="769"/>
      <c r="B43" s="1270"/>
      <c r="C43" s="753"/>
      <c r="D43" s="753"/>
      <c r="E43" s="1266" t="str">
        <f t="shared" si="0"/>
        <v/>
      </c>
      <c r="F43" s="754" t="str">
        <f t="shared" si="1"/>
        <v/>
      </c>
      <c r="G43" s="897"/>
      <c r="H43" s="1559" t="str">
        <f t="shared" si="2"/>
        <v/>
      </c>
      <c r="I43" s="1560"/>
      <c r="J43" s="1560"/>
      <c r="K43" s="1560"/>
      <c r="L43" s="1561"/>
      <c r="M43" s="862"/>
      <c r="N43" s="686"/>
      <c r="O43" s="686"/>
      <c r="P43" s="861"/>
      <c r="Q43" s="854" t="s">
        <v>950</v>
      </c>
      <c r="R43" s="854"/>
      <c r="S43" s="686"/>
      <c r="T43" s="686"/>
      <c r="U43" s="686"/>
      <c r="V43" s="686"/>
      <c r="W43" s="686"/>
      <c r="X43" s="1626"/>
      <c r="Y43" s="1627"/>
      <c r="Z43" s="1272" t="s">
        <v>950</v>
      </c>
      <c r="AA43" s="686"/>
      <c r="AB43" s="686"/>
    </row>
    <row r="44" spans="1:28" ht="42" customHeight="1" thickBot="1">
      <c r="A44" s="769"/>
      <c r="B44" s="1270"/>
      <c r="C44" s="753"/>
      <c r="D44" s="753"/>
      <c r="E44" s="1266" t="str">
        <f t="shared" si="0"/>
        <v/>
      </c>
      <c r="F44" s="754" t="str">
        <f t="shared" si="1"/>
        <v/>
      </c>
      <c r="G44" s="897"/>
      <c r="H44" s="1559" t="str">
        <f t="shared" si="2"/>
        <v/>
      </c>
      <c r="I44" s="1560"/>
      <c r="J44" s="1560"/>
      <c r="K44" s="1560"/>
      <c r="L44" s="1561"/>
      <c r="M44" s="862"/>
      <c r="N44" s="686"/>
      <c r="O44" s="686"/>
      <c r="P44" s="773"/>
      <c r="Q44" s="854"/>
      <c r="R44" s="854"/>
      <c r="S44" s="686"/>
      <c r="T44" s="686"/>
      <c r="U44" s="686"/>
      <c r="V44" s="686"/>
      <c r="W44" s="686"/>
      <c r="X44" s="773"/>
      <c r="Y44" s="773"/>
      <c r="Z44" s="1272"/>
      <c r="AA44" s="686"/>
      <c r="AB44" s="686"/>
    </row>
    <row r="45" spans="1:28" ht="42" customHeight="1" thickBot="1">
      <c r="A45" s="769"/>
      <c r="B45" s="1270"/>
      <c r="C45" s="753"/>
      <c r="D45" s="753"/>
      <c r="E45" s="1266" t="str">
        <f t="shared" si="0"/>
        <v/>
      </c>
      <c r="F45" s="754" t="str">
        <f t="shared" si="1"/>
        <v/>
      </c>
      <c r="G45" s="897"/>
      <c r="H45" s="1559" t="str">
        <f t="shared" si="2"/>
        <v/>
      </c>
      <c r="I45" s="1560"/>
      <c r="J45" s="1560"/>
      <c r="K45" s="1560"/>
      <c r="L45" s="1561"/>
      <c r="M45" s="862"/>
      <c r="N45" s="1628" t="s">
        <v>951</v>
      </c>
      <c r="O45" s="1628"/>
      <c r="P45" s="1628"/>
      <c r="Q45" s="1628"/>
      <c r="R45" s="1628"/>
      <c r="S45" s="1628"/>
      <c r="T45" s="1628"/>
      <c r="U45" s="1628"/>
      <c r="V45" s="1628"/>
      <c r="W45" s="1628"/>
      <c r="X45" s="1628"/>
      <c r="Y45" s="686"/>
      <c r="Z45" s="1269"/>
      <c r="AA45" s="686"/>
      <c r="AB45" s="686"/>
    </row>
    <row r="46" spans="1:28" ht="42" customHeight="1" thickTop="1" thickBot="1">
      <c r="A46" s="769"/>
      <c r="B46" s="1270"/>
      <c r="C46" s="753"/>
      <c r="D46" s="753"/>
      <c r="E46" s="1266" t="str">
        <f t="shared" si="0"/>
        <v/>
      </c>
      <c r="F46" s="754" t="str">
        <f t="shared" si="1"/>
        <v/>
      </c>
      <c r="G46" s="897"/>
      <c r="H46" s="1559" t="str">
        <f t="shared" si="2"/>
        <v/>
      </c>
      <c r="I46" s="1560"/>
      <c r="J46" s="1560"/>
      <c r="K46" s="1560"/>
      <c r="L46" s="1561"/>
      <c r="M46" s="793"/>
      <c r="N46" s="1634" t="s">
        <v>756</v>
      </c>
      <c r="O46" s="1635"/>
      <c r="P46" s="1638" t="str">
        <f>IF(ISBLANK($X$37),"",$W$28-SUM($P$37+$P$42+$X$37+$X$40+$X$42)/5)</f>
        <v/>
      </c>
      <c r="Q46" s="1639"/>
      <c r="R46" s="1639"/>
      <c r="S46" s="1639"/>
      <c r="T46" s="1639"/>
      <c r="U46" s="1639"/>
      <c r="V46" s="1639"/>
      <c r="W46" s="1639"/>
      <c r="X46" s="1640"/>
      <c r="Y46" s="595"/>
      <c r="Z46" s="1269"/>
      <c r="AA46" s="686"/>
      <c r="AB46" s="686"/>
    </row>
    <row r="47" spans="1:28" ht="42" customHeight="1" thickBot="1">
      <c r="A47" s="769"/>
      <c r="B47" s="1270"/>
      <c r="C47" s="753"/>
      <c r="D47" s="753"/>
      <c r="E47" s="1266" t="str">
        <f t="shared" si="0"/>
        <v/>
      </c>
      <c r="F47" s="754" t="str">
        <f t="shared" si="1"/>
        <v/>
      </c>
      <c r="G47" s="897"/>
      <c r="H47" s="1559" t="str">
        <f t="shared" si="2"/>
        <v/>
      </c>
      <c r="I47" s="1560"/>
      <c r="J47" s="1560"/>
      <c r="K47" s="1560"/>
      <c r="L47" s="1561"/>
      <c r="M47" s="794"/>
      <c r="N47" s="1636"/>
      <c r="O47" s="1637"/>
      <c r="P47" s="1641"/>
      <c r="Q47" s="1641"/>
      <c r="R47" s="1641"/>
      <c r="S47" s="1641"/>
      <c r="T47" s="1641"/>
      <c r="U47" s="1641"/>
      <c r="V47" s="1641"/>
      <c r="W47" s="1641"/>
      <c r="X47" s="1642"/>
      <c r="Y47" s="595"/>
      <c r="Z47" s="1269"/>
      <c r="AA47" s="686"/>
      <c r="AB47" s="686"/>
    </row>
    <row r="48" spans="1:28" ht="42" customHeight="1" thickBot="1">
      <c r="A48" s="769"/>
      <c r="B48" s="1270"/>
      <c r="C48" s="753"/>
      <c r="D48" s="753"/>
      <c r="E48" s="1266" t="str">
        <f t="shared" si="0"/>
        <v/>
      </c>
      <c r="F48" s="754" t="str">
        <f t="shared" si="1"/>
        <v/>
      </c>
      <c r="G48" s="897"/>
      <c r="H48" s="1559" t="str">
        <f t="shared" si="2"/>
        <v/>
      </c>
      <c r="I48" s="1560"/>
      <c r="J48" s="1560"/>
      <c r="K48" s="1560"/>
      <c r="L48" s="1561"/>
      <c r="M48" s="795"/>
      <c r="N48" s="1643" t="s">
        <v>757</v>
      </c>
      <c r="O48" s="1644"/>
      <c r="P48" s="1647" t="str">
        <f>IF(ISBLANK($X$37),"",($P$37+$P$42+$X$37+$X$40+$X$42)/5)</f>
        <v/>
      </c>
      <c r="Q48" s="1648"/>
      <c r="R48" s="1648"/>
      <c r="S48" s="1648"/>
      <c r="T48" s="1648"/>
      <c r="U48" s="1648"/>
      <c r="V48" s="1648"/>
      <c r="W48" s="1648"/>
      <c r="X48" s="1649"/>
      <c r="Y48" s="595"/>
      <c r="Z48" s="1269"/>
      <c r="AA48" s="686"/>
      <c r="AB48" s="686"/>
    </row>
    <row r="49" spans="1:28" ht="42" customHeight="1" thickBot="1">
      <c r="A49" s="769"/>
      <c r="B49" s="1270"/>
      <c r="C49" s="753"/>
      <c r="D49" s="753"/>
      <c r="E49" s="1266" t="str">
        <f t="shared" si="0"/>
        <v/>
      </c>
      <c r="F49" s="754" t="str">
        <f t="shared" si="1"/>
        <v/>
      </c>
      <c r="G49" s="897"/>
      <c r="H49" s="1559" t="str">
        <f t="shared" si="2"/>
        <v/>
      </c>
      <c r="I49" s="1560"/>
      <c r="J49" s="1560"/>
      <c r="K49" s="1560"/>
      <c r="L49" s="1561"/>
      <c r="M49" s="777"/>
      <c r="N49" s="1645"/>
      <c r="O49" s="1646"/>
      <c r="P49" s="1650"/>
      <c r="Q49" s="1651"/>
      <c r="R49" s="1651"/>
      <c r="S49" s="1651"/>
      <c r="T49" s="1651"/>
      <c r="U49" s="1651"/>
      <c r="V49" s="1651"/>
      <c r="W49" s="1651"/>
      <c r="X49" s="1652"/>
      <c r="Y49" s="595"/>
      <c r="Z49" s="1269"/>
      <c r="AA49" s="686"/>
      <c r="AB49" s="686"/>
    </row>
    <row r="50" spans="1:28" ht="42" customHeight="1" thickTop="1" thickBot="1">
      <c r="A50" s="769"/>
      <c r="B50" s="1270"/>
      <c r="C50" s="753"/>
      <c r="D50" s="753"/>
      <c r="E50" s="1266" t="str">
        <f t="shared" si="0"/>
        <v/>
      </c>
      <c r="F50" s="754" t="str">
        <f t="shared" si="1"/>
        <v/>
      </c>
      <c r="G50" s="897"/>
      <c r="H50" s="1559" t="str">
        <f t="shared" si="2"/>
        <v/>
      </c>
      <c r="I50" s="1560"/>
      <c r="J50" s="1560"/>
      <c r="K50" s="1560"/>
      <c r="L50" s="1561"/>
      <c r="M50" s="796"/>
      <c r="N50" s="1681" t="s">
        <v>758</v>
      </c>
      <c r="O50" s="1681"/>
      <c r="P50" s="1681"/>
      <c r="Q50" s="1681"/>
      <c r="R50" s="1681"/>
      <c r="S50" s="1681"/>
      <c r="T50" s="1681"/>
      <c r="U50" s="1681"/>
      <c r="V50" s="1681"/>
      <c r="W50" s="1681"/>
      <c r="X50" s="1681"/>
      <c r="Y50" s="1681"/>
      <c r="Z50" s="1682"/>
      <c r="AA50" s="686"/>
      <c r="AB50" s="686"/>
    </row>
    <row r="51" spans="1:28" ht="42" customHeight="1" thickBot="1">
      <c r="A51" s="769"/>
      <c r="B51" s="1270"/>
      <c r="C51" s="753"/>
      <c r="D51" s="753"/>
      <c r="E51" s="1266" t="str">
        <f t="shared" si="0"/>
        <v/>
      </c>
      <c r="F51" s="754" t="str">
        <f t="shared" si="1"/>
        <v/>
      </c>
      <c r="G51" s="897"/>
      <c r="H51" s="1559" t="str">
        <f t="shared" si="2"/>
        <v/>
      </c>
      <c r="I51" s="1560"/>
      <c r="J51" s="1560"/>
      <c r="K51" s="1560"/>
      <c r="L51" s="1561"/>
      <c r="M51" s="795"/>
      <c r="N51" s="1566"/>
      <c r="O51" s="1566"/>
      <c r="P51" s="1566"/>
      <c r="Q51" s="1566"/>
      <c r="R51" s="1566"/>
      <c r="S51" s="1566"/>
      <c r="T51" s="1566"/>
      <c r="U51" s="1566"/>
      <c r="V51" s="1566"/>
      <c r="W51" s="1566"/>
      <c r="X51" s="1566"/>
      <c r="Y51" s="1566"/>
      <c r="Z51" s="1683"/>
      <c r="AA51" s="686"/>
      <c r="AB51" s="686"/>
    </row>
    <row r="52" spans="1:28" ht="42" customHeight="1" thickBot="1">
      <c r="A52" s="769"/>
      <c r="B52" s="1270"/>
      <c r="C52" s="753"/>
      <c r="D52" s="753"/>
      <c r="E52" s="1266" t="str">
        <f t="shared" si="0"/>
        <v/>
      </c>
      <c r="F52" s="754" t="str">
        <f t="shared" si="1"/>
        <v/>
      </c>
      <c r="G52" s="897"/>
      <c r="H52" s="1559" t="str">
        <f t="shared" si="2"/>
        <v/>
      </c>
      <c r="I52" s="1560"/>
      <c r="J52" s="1560"/>
      <c r="K52" s="1560"/>
      <c r="L52" s="1561"/>
      <c r="M52" s="1629" t="s">
        <v>679</v>
      </c>
      <c r="N52" s="1630"/>
      <c r="O52" s="1630"/>
      <c r="P52" s="1630"/>
      <c r="Q52" s="1631"/>
      <c r="R52" s="1632"/>
      <c r="S52" s="1632"/>
      <c r="T52" s="1632"/>
      <c r="U52" s="1632"/>
      <c r="V52" s="1632"/>
      <c r="W52" s="1632"/>
      <c r="X52" s="1632"/>
      <c r="Y52" s="1632"/>
      <c r="Z52" s="1633"/>
      <c r="AA52" s="686"/>
      <c r="AB52" s="686"/>
    </row>
    <row r="53" spans="1:28" ht="42" customHeight="1" thickBot="1">
      <c r="A53" s="769"/>
      <c r="B53" s="1270"/>
      <c r="C53" s="753"/>
      <c r="D53" s="753"/>
      <c r="E53" s="1266" t="str">
        <f t="shared" si="0"/>
        <v/>
      </c>
      <c r="F53" s="754" t="str">
        <f t="shared" si="1"/>
        <v/>
      </c>
      <c r="G53" s="897"/>
      <c r="H53" s="1559" t="str">
        <f t="shared" si="2"/>
        <v/>
      </c>
      <c r="I53" s="1560"/>
      <c r="J53" s="1560"/>
      <c r="K53" s="1560"/>
      <c r="L53" s="1561"/>
      <c r="M53" s="1653"/>
      <c r="N53" s="1654"/>
      <c r="O53" s="1654"/>
      <c r="P53" s="1654"/>
      <c r="Q53" s="1654"/>
      <c r="R53" s="1654"/>
      <c r="S53" s="1654"/>
      <c r="T53" s="1654"/>
      <c r="U53" s="1654"/>
      <c r="V53" s="1654"/>
      <c r="W53" s="1654"/>
      <c r="X53" s="1654"/>
      <c r="Y53" s="1654"/>
      <c r="Z53" s="1655"/>
      <c r="AA53" s="686"/>
      <c r="AB53" s="686"/>
    </row>
    <row r="54" spans="1:28" ht="42" customHeight="1" thickBot="1">
      <c r="A54" s="769"/>
      <c r="B54" s="1270"/>
      <c r="C54" s="753"/>
      <c r="D54" s="753"/>
      <c r="E54" s="1266" t="str">
        <f t="shared" si="0"/>
        <v/>
      </c>
      <c r="F54" s="754" t="str">
        <f t="shared" si="1"/>
        <v/>
      </c>
      <c r="G54" s="897"/>
      <c r="H54" s="1559" t="str">
        <f t="shared" si="2"/>
        <v/>
      </c>
      <c r="I54" s="1560"/>
      <c r="J54" s="1560"/>
      <c r="K54" s="1560"/>
      <c r="L54" s="1561"/>
      <c r="M54" s="1656"/>
      <c r="N54" s="1657"/>
      <c r="O54" s="1657"/>
      <c r="P54" s="1657"/>
      <c r="Q54" s="1657"/>
      <c r="R54" s="1657"/>
      <c r="S54" s="1657"/>
      <c r="T54" s="1657"/>
      <c r="U54" s="1657"/>
      <c r="V54" s="1657"/>
      <c r="W54" s="1657"/>
      <c r="X54" s="1657"/>
      <c r="Y54" s="1657"/>
      <c r="Z54" s="1658"/>
      <c r="AA54" s="686"/>
      <c r="AB54" s="686"/>
    </row>
    <row r="55" spans="1:28" ht="42" customHeight="1" thickBot="1">
      <c r="A55" s="769"/>
      <c r="B55" s="1270"/>
      <c r="C55" s="753"/>
      <c r="D55" s="753"/>
      <c r="E55" s="1266" t="str">
        <f t="shared" si="0"/>
        <v/>
      </c>
      <c r="F55" s="754" t="str">
        <f t="shared" si="1"/>
        <v/>
      </c>
      <c r="G55" s="897"/>
      <c r="H55" s="1559" t="str">
        <f t="shared" si="2"/>
        <v/>
      </c>
      <c r="I55" s="1560"/>
      <c r="J55" s="1560"/>
      <c r="K55" s="1560"/>
      <c r="L55" s="1561"/>
      <c r="M55" s="1656"/>
      <c r="N55" s="1657"/>
      <c r="O55" s="1657"/>
      <c r="P55" s="1657"/>
      <c r="Q55" s="1657"/>
      <c r="R55" s="1657"/>
      <c r="S55" s="1657"/>
      <c r="T55" s="1657"/>
      <c r="U55" s="1657"/>
      <c r="V55" s="1657"/>
      <c r="W55" s="1657"/>
      <c r="X55" s="1657"/>
      <c r="Y55" s="1657"/>
      <c r="Z55" s="1658"/>
      <c r="AA55" s="686"/>
      <c r="AB55" s="686"/>
    </row>
    <row r="56" spans="1:28" ht="42" customHeight="1" thickBot="1">
      <c r="A56" s="769"/>
      <c r="B56" s="1270"/>
      <c r="C56" s="753"/>
      <c r="D56" s="753"/>
      <c r="E56" s="1266" t="str">
        <f t="shared" si="0"/>
        <v/>
      </c>
      <c r="F56" s="754" t="str">
        <f t="shared" si="1"/>
        <v/>
      </c>
      <c r="G56" s="897"/>
      <c r="H56" s="1559" t="str">
        <f t="shared" si="2"/>
        <v/>
      </c>
      <c r="I56" s="1560"/>
      <c r="J56" s="1560"/>
      <c r="K56" s="1560"/>
      <c r="L56" s="1561"/>
      <c r="M56" s="1656"/>
      <c r="N56" s="1657"/>
      <c r="O56" s="1657"/>
      <c r="P56" s="1657"/>
      <c r="Q56" s="1657"/>
      <c r="R56" s="1657"/>
      <c r="S56" s="1657"/>
      <c r="T56" s="1657"/>
      <c r="U56" s="1657"/>
      <c r="V56" s="1657"/>
      <c r="W56" s="1657"/>
      <c r="X56" s="1657"/>
      <c r="Y56" s="1657"/>
      <c r="Z56" s="1658"/>
      <c r="AA56" s="1265"/>
      <c r="AB56" s="686"/>
    </row>
    <row r="57" spans="1:28" ht="42" customHeight="1" thickBot="1">
      <c r="A57" s="769"/>
      <c r="B57" s="1270"/>
      <c r="C57" s="753"/>
      <c r="D57" s="753"/>
      <c r="E57" s="1266" t="str">
        <f t="shared" si="0"/>
        <v/>
      </c>
      <c r="F57" s="754" t="str">
        <f t="shared" si="1"/>
        <v/>
      </c>
      <c r="G57" s="897"/>
      <c r="H57" s="1559" t="str">
        <f t="shared" si="2"/>
        <v/>
      </c>
      <c r="I57" s="1560"/>
      <c r="J57" s="1560"/>
      <c r="K57" s="1560"/>
      <c r="L57" s="1561"/>
      <c r="M57" s="1656"/>
      <c r="N57" s="1657"/>
      <c r="O57" s="1657"/>
      <c r="P57" s="1657"/>
      <c r="Q57" s="1657"/>
      <c r="R57" s="1657"/>
      <c r="S57" s="1657"/>
      <c r="T57" s="1657"/>
      <c r="U57" s="1657"/>
      <c r="V57" s="1657"/>
      <c r="W57" s="1657"/>
      <c r="X57" s="1657"/>
      <c r="Y57" s="1657"/>
      <c r="Z57" s="1658"/>
      <c r="AA57" s="686"/>
      <c r="AB57" s="686"/>
    </row>
    <row r="58" spans="1:28" ht="42" customHeight="1" thickBot="1">
      <c r="A58" s="769"/>
      <c r="B58" s="1270"/>
      <c r="C58" s="753"/>
      <c r="D58" s="753"/>
      <c r="E58" s="1266" t="str">
        <f t="shared" si="0"/>
        <v/>
      </c>
      <c r="F58" s="754" t="str">
        <f t="shared" si="1"/>
        <v/>
      </c>
      <c r="G58" s="897"/>
      <c r="H58" s="1559" t="str">
        <f t="shared" si="2"/>
        <v/>
      </c>
      <c r="I58" s="1560"/>
      <c r="J58" s="1560"/>
      <c r="K58" s="1560"/>
      <c r="L58" s="1561"/>
      <c r="M58" s="1656"/>
      <c r="N58" s="1657"/>
      <c r="O58" s="1657"/>
      <c r="P58" s="1657"/>
      <c r="Q58" s="1657"/>
      <c r="R58" s="1657"/>
      <c r="S58" s="1657"/>
      <c r="T58" s="1657"/>
      <c r="U58" s="1657"/>
      <c r="V58" s="1657"/>
      <c r="W58" s="1657"/>
      <c r="X58" s="1657"/>
      <c r="Y58" s="1657"/>
      <c r="Z58" s="1658"/>
      <c r="AA58" s="686"/>
      <c r="AB58" s="686"/>
    </row>
    <row r="59" spans="1:28" ht="42" customHeight="1" thickBot="1">
      <c r="A59" s="769"/>
      <c r="B59" s="1270"/>
      <c r="C59" s="753"/>
      <c r="D59" s="753"/>
      <c r="E59" s="1266" t="str">
        <f t="shared" si="0"/>
        <v/>
      </c>
      <c r="F59" s="754" t="str">
        <f t="shared" si="1"/>
        <v/>
      </c>
      <c r="G59" s="897"/>
      <c r="H59" s="1559" t="str">
        <f t="shared" si="2"/>
        <v/>
      </c>
      <c r="I59" s="1560"/>
      <c r="J59" s="1560"/>
      <c r="K59" s="1560"/>
      <c r="L59" s="1561"/>
      <c r="M59" s="1659"/>
      <c r="N59" s="1660"/>
      <c r="O59" s="1660"/>
      <c r="P59" s="1660"/>
      <c r="Q59" s="1660"/>
      <c r="R59" s="1660"/>
      <c r="S59" s="1660"/>
      <c r="T59" s="1660"/>
      <c r="U59" s="1660"/>
      <c r="V59" s="1660"/>
      <c r="W59" s="1660"/>
      <c r="X59" s="1660"/>
      <c r="Y59" s="1660"/>
      <c r="Z59" s="1661"/>
      <c r="AA59" s="686"/>
      <c r="AB59" s="686"/>
    </row>
    <row r="60" spans="1:28" ht="39.9" customHeight="1" thickTop="1" thickBot="1">
      <c r="A60" s="769"/>
      <c r="B60" s="1675" t="s">
        <v>759</v>
      </c>
      <c r="C60" s="1574"/>
      <c r="D60" s="864"/>
      <c r="E60" s="1267" t="s">
        <v>677</v>
      </c>
      <c r="F60" s="757"/>
      <c r="G60" s="757"/>
      <c r="H60" s="757" t="s">
        <v>760</v>
      </c>
      <c r="I60" s="1676"/>
      <c r="J60" s="1677"/>
      <c r="K60" s="1677"/>
      <c r="L60" s="1677"/>
      <c r="M60" s="1677"/>
      <c r="N60" s="1677"/>
      <c r="O60" s="803"/>
      <c r="P60" s="866"/>
      <c r="Q60" s="1668" t="s">
        <v>761</v>
      </c>
      <c r="R60" s="1668"/>
      <c r="S60" s="765"/>
      <c r="T60" s="765"/>
      <c r="U60" s="765"/>
      <c r="V60" s="1670"/>
      <c r="W60" s="1671"/>
      <c r="X60" s="1668" t="s">
        <v>762</v>
      </c>
      <c r="Y60" s="1669"/>
      <c r="Z60" s="1269"/>
      <c r="AA60" s="686"/>
      <c r="AB60" s="686"/>
    </row>
    <row r="61" spans="1:28" ht="36.75" customHeight="1" thickTop="1" thickBot="1">
      <c r="A61" s="769"/>
      <c r="B61" s="1274"/>
      <c r="C61" s="686"/>
      <c r="D61" s="865"/>
      <c r="E61" s="757" t="s">
        <v>678</v>
      </c>
      <c r="F61" s="757"/>
      <c r="G61" s="757"/>
      <c r="H61" s="757" t="s">
        <v>763</v>
      </c>
      <c r="I61" s="1678"/>
      <c r="J61" s="1678"/>
      <c r="K61" s="1678"/>
      <c r="L61" s="1678"/>
      <c r="M61" s="1678"/>
      <c r="N61" s="1678"/>
      <c r="O61" s="757"/>
      <c r="P61" s="855" t="s">
        <v>705</v>
      </c>
      <c r="Q61" s="1672"/>
      <c r="R61" s="1673"/>
      <c r="S61" s="1679" t="s">
        <v>683</v>
      </c>
      <c r="T61" s="1680"/>
      <c r="U61" s="855"/>
      <c r="V61" s="1672"/>
      <c r="W61" s="1673"/>
      <c r="X61" s="1674"/>
      <c r="Y61" s="798"/>
      <c r="Z61" s="1269"/>
      <c r="AA61" s="686"/>
      <c r="AB61" s="686"/>
    </row>
    <row r="62" spans="1:28" ht="29.25" customHeight="1" thickTop="1" thickBot="1">
      <c r="A62" s="769"/>
      <c r="B62" s="1275"/>
      <c r="C62" s="1276"/>
      <c r="D62" s="1277"/>
      <c r="E62" s="1276"/>
      <c r="F62" s="1276"/>
      <c r="G62" s="1276"/>
      <c r="H62" s="1276"/>
      <c r="I62" s="1276"/>
      <c r="J62" s="1276"/>
      <c r="K62" s="1276"/>
      <c r="L62" s="1276"/>
      <c r="M62" s="1276"/>
      <c r="N62" s="1276"/>
      <c r="O62" s="1276"/>
      <c r="P62" s="1276"/>
      <c r="Q62" s="1276"/>
      <c r="R62" s="1276"/>
      <c r="S62" s="1276"/>
      <c r="T62" s="1276"/>
      <c r="U62" s="1276"/>
      <c r="V62" s="1276"/>
      <c r="W62" s="1276"/>
      <c r="X62" s="1276"/>
      <c r="Y62" s="1276"/>
      <c r="Z62" s="1278"/>
      <c r="AA62" s="686"/>
      <c r="AB62" s="686"/>
    </row>
    <row r="63" spans="1:28" ht="21.6" thickTop="1">
      <c r="A63" s="769"/>
      <c r="B63" s="686"/>
      <c r="C63" s="686"/>
      <c r="D63" s="686"/>
      <c r="E63" s="686"/>
      <c r="F63" s="686"/>
      <c r="G63" s="686"/>
      <c r="H63" s="686"/>
      <c r="I63" s="686"/>
      <c r="J63" s="686"/>
      <c r="K63" s="686"/>
      <c r="L63" s="686"/>
      <c r="M63" s="686"/>
      <c r="N63" s="686"/>
      <c r="O63" s="686"/>
      <c r="P63" s="686"/>
      <c r="Q63" s="686"/>
      <c r="R63" s="686"/>
      <c r="S63" s="686"/>
      <c r="T63" s="686"/>
      <c r="U63" s="686"/>
      <c r="V63" s="686"/>
      <c r="W63" s="686"/>
      <c r="X63" s="686"/>
      <c r="Y63" s="686"/>
      <c r="Z63" s="686"/>
      <c r="AA63" s="686"/>
      <c r="AB63" s="686"/>
    </row>
    <row r="67" spans="12:37" ht="23.25" customHeight="1" thickBot="1"/>
    <row r="68" spans="12:37" ht="18" customHeight="1">
      <c r="O68" s="1541"/>
      <c r="P68" s="1542"/>
      <c r="Q68" s="1542"/>
      <c r="R68" s="1542"/>
      <c r="S68" s="1542"/>
      <c r="T68" s="1542"/>
      <c r="U68" s="1542"/>
      <c r="V68" s="1542"/>
      <c r="W68" s="1542"/>
      <c r="X68" s="1542"/>
      <c r="Y68" s="1542"/>
      <c r="Z68" s="1542"/>
      <c r="AA68" s="1542"/>
      <c r="AB68" s="1543"/>
      <c r="AC68" s="894"/>
      <c r="AD68" s="894"/>
      <c r="AE68" s="894"/>
      <c r="AF68" s="894"/>
      <c r="AG68" s="894"/>
      <c r="AH68" s="894"/>
      <c r="AI68" s="894"/>
      <c r="AJ68" s="894"/>
      <c r="AK68" s="894"/>
    </row>
    <row r="69" spans="12:37" ht="21.75" customHeight="1">
      <c r="O69" s="1544" t="s">
        <v>959</v>
      </c>
      <c r="P69" s="1545"/>
      <c r="Q69" s="1545"/>
      <c r="R69" s="1545"/>
      <c r="S69" s="1545"/>
      <c r="T69" s="1545"/>
      <c r="U69" s="1545"/>
      <c r="V69" s="1545"/>
      <c r="W69" s="1545"/>
      <c r="X69" s="1545"/>
      <c r="Y69" s="1545"/>
      <c r="Z69" s="1545"/>
      <c r="AA69" s="1545"/>
      <c r="AB69" s="1546"/>
      <c r="AC69" s="894"/>
      <c r="AD69" s="894"/>
      <c r="AE69" s="894"/>
      <c r="AF69" s="894"/>
      <c r="AG69" s="894"/>
      <c r="AH69" s="894"/>
      <c r="AI69" s="894"/>
      <c r="AJ69" s="894"/>
      <c r="AK69" s="894"/>
    </row>
    <row r="70" spans="12:37" ht="22.2" thickBot="1">
      <c r="O70" s="1547"/>
      <c r="P70" s="1548"/>
      <c r="Q70" s="1548"/>
      <c r="R70" s="1548"/>
      <c r="S70" s="1548"/>
      <c r="T70" s="1548"/>
      <c r="U70" s="1548"/>
      <c r="V70" s="1548"/>
      <c r="W70" s="1548"/>
      <c r="X70" s="1548"/>
      <c r="Y70" s="1548"/>
      <c r="Z70" s="1548"/>
      <c r="AA70" s="1548"/>
      <c r="AB70" s="1549"/>
      <c r="AC70" s="894"/>
      <c r="AD70" s="894"/>
      <c r="AE70" s="894"/>
      <c r="AF70" s="894"/>
      <c r="AG70" s="894"/>
      <c r="AH70" s="894"/>
      <c r="AI70" s="894"/>
      <c r="AJ70" s="894"/>
      <c r="AK70" s="894"/>
    </row>
    <row r="71" spans="12:37" ht="29.4" thickBot="1">
      <c r="L71" s="1663"/>
      <c r="M71" s="1663"/>
      <c r="N71" s="1664"/>
      <c r="O71" s="1550">
        <v>1</v>
      </c>
      <c r="P71" s="1551"/>
      <c r="Q71" s="1552" t="str">
        <f>IF('DS Log Pg 1'!Q72="","",'DS Log Pg 1'!Q72)</f>
        <v/>
      </c>
      <c r="R71" s="1553"/>
      <c r="S71" s="1553"/>
      <c r="T71" s="1553"/>
      <c r="U71" s="1553"/>
      <c r="V71" s="1553"/>
      <c r="W71" s="1553"/>
      <c r="X71" s="1553"/>
      <c r="Y71" s="1553"/>
      <c r="Z71" s="1553"/>
      <c r="AA71" s="1553"/>
      <c r="AB71" s="1554"/>
      <c r="AC71" s="893"/>
      <c r="AD71" s="893"/>
      <c r="AE71" s="895"/>
      <c r="AF71" s="895"/>
      <c r="AG71" s="895"/>
      <c r="AH71" s="895"/>
      <c r="AI71" s="895"/>
      <c r="AJ71" s="895"/>
      <c r="AK71" s="895"/>
    </row>
    <row r="72" spans="12:37" ht="27" customHeight="1" thickBot="1">
      <c r="O72" s="1570">
        <v>2</v>
      </c>
      <c r="P72" s="1571"/>
      <c r="Q72" s="1552" t="str">
        <f>IF('DS Log Pg 1'!Q73="","",'DS Log Pg 1'!Q73)</f>
        <v/>
      </c>
      <c r="R72" s="1553"/>
      <c r="S72" s="1553"/>
      <c r="T72" s="1553"/>
      <c r="U72" s="1553"/>
      <c r="V72" s="1553"/>
      <c r="W72" s="1553"/>
      <c r="X72" s="1553"/>
      <c r="Y72" s="1553"/>
      <c r="Z72" s="1553"/>
      <c r="AA72" s="1553"/>
      <c r="AB72" s="1554"/>
      <c r="AC72" s="893"/>
      <c r="AD72" s="893"/>
      <c r="AE72" s="895"/>
      <c r="AF72" s="895"/>
      <c r="AG72" s="895"/>
      <c r="AH72" s="895"/>
      <c r="AI72" s="895"/>
      <c r="AJ72" s="895"/>
      <c r="AK72" s="895"/>
    </row>
    <row r="73" spans="12:37" ht="29.4" thickBot="1">
      <c r="O73" s="1570">
        <v>3</v>
      </c>
      <c r="P73" s="1571"/>
      <c r="Q73" s="1552" t="str">
        <f>IF('DS Log Pg 1'!Q74="","",'DS Log Pg 1'!Q74)</f>
        <v/>
      </c>
      <c r="R73" s="1553"/>
      <c r="S73" s="1553"/>
      <c r="T73" s="1553"/>
      <c r="U73" s="1553"/>
      <c r="V73" s="1553"/>
      <c r="W73" s="1553"/>
      <c r="X73" s="1553"/>
      <c r="Y73" s="1553"/>
      <c r="Z73" s="1553"/>
      <c r="AA73" s="1553"/>
      <c r="AB73" s="1554"/>
      <c r="AC73" s="893"/>
      <c r="AD73" s="893"/>
      <c r="AE73" s="895"/>
      <c r="AF73" s="895"/>
      <c r="AG73" s="895"/>
      <c r="AH73" s="895"/>
      <c r="AI73" s="895"/>
      <c r="AJ73" s="895"/>
      <c r="AK73" s="895"/>
    </row>
    <row r="74" spans="12:37" ht="29.4" thickBot="1">
      <c r="O74" s="1570">
        <v>4</v>
      </c>
      <c r="P74" s="1571"/>
      <c r="Q74" s="1552" t="str">
        <f>IF('DS Log Pg 1'!Q75="","",'DS Log Pg 1'!Q75)</f>
        <v/>
      </c>
      <c r="R74" s="1553"/>
      <c r="S74" s="1553"/>
      <c r="T74" s="1553"/>
      <c r="U74" s="1553"/>
      <c r="V74" s="1553"/>
      <c r="W74" s="1553"/>
      <c r="X74" s="1553"/>
      <c r="Y74" s="1553"/>
      <c r="Z74" s="1553"/>
      <c r="AA74" s="1553"/>
      <c r="AB74" s="1554"/>
      <c r="AC74" s="893"/>
      <c r="AD74" s="893"/>
      <c r="AE74" s="895"/>
      <c r="AF74" s="895"/>
      <c r="AG74" s="895"/>
      <c r="AH74" s="895"/>
      <c r="AI74" s="895"/>
      <c r="AJ74" s="895"/>
      <c r="AK74" s="895"/>
    </row>
    <row r="75" spans="12:37" ht="29.4" thickBot="1">
      <c r="O75" s="1570">
        <v>5</v>
      </c>
      <c r="P75" s="1571"/>
      <c r="Q75" s="1552" t="str">
        <f>IF('DS Log Pg 1'!Q76="","",'DS Log Pg 1'!Q76)</f>
        <v/>
      </c>
      <c r="R75" s="1553"/>
      <c r="S75" s="1553"/>
      <c r="T75" s="1553"/>
      <c r="U75" s="1553"/>
      <c r="V75" s="1553"/>
      <c r="W75" s="1553"/>
      <c r="X75" s="1553"/>
      <c r="Y75" s="1553"/>
      <c r="Z75" s="1553"/>
      <c r="AA75" s="1553"/>
      <c r="AB75" s="1554"/>
      <c r="AC75" s="893"/>
      <c r="AD75" s="893"/>
      <c r="AE75" s="895"/>
      <c r="AF75" s="895"/>
      <c r="AG75" s="895"/>
      <c r="AH75" s="895"/>
      <c r="AI75" s="895"/>
      <c r="AJ75" s="895"/>
      <c r="AK75" s="895"/>
    </row>
    <row r="76" spans="12:37" ht="29.4" thickBot="1">
      <c r="O76" s="1570">
        <v>6</v>
      </c>
      <c r="P76" s="1571"/>
      <c r="Q76" s="1552"/>
      <c r="R76" s="1553"/>
      <c r="S76" s="1553"/>
      <c r="T76" s="1553"/>
      <c r="U76" s="1553"/>
      <c r="V76" s="1553"/>
      <c r="W76" s="1553"/>
      <c r="X76" s="1553"/>
      <c r="Y76" s="1553"/>
      <c r="Z76" s="1553"/>
      <c r="AA76" s="1553"/>
      <c r="AB76" s="1554"/>
      <c r="AC76" s="893"/>
      <c r="AD76" s="893"/>
      <c r="AE76" s="895"/>
      <c r="AF76" s="895"/>
      <c r="AG76" s="895"/>
      <c r="AH76" s="895"/>
      <c r="AI76" s="895"/>
      <c r="AJ76" s="895"/>
      <c r="AK76" s="895"/>
    </row>
    <row r="77" spans="12:37" ht="29.4" thickBot="1">
      <c r="O77" s="1570">
        <v>7</v>
      </c>
      <c r="P77" s="1571"/>
      <c r="Q77" s="1552" t="str">
        <f>IF('DS Log Pg 1'!Q78="","",'DS Log Pg 1'!Q78)</f>
        <v/>
      </c>
      <c r="R77" s="1553"/>
      <c r="S77" s="1553"/>
      <c r="T77" s="1553"/>
      <c r="U77" s="1553"/>
      <c r="V77" s="1553"/>
      <c r="W77" s="1553"/>
      <c r="X77" s="1553"/>
      <c r="Y77" s="1553"/>
      <c r="Z77" s="1553"/>
      <c r="AA77" s="1553"/>
      <c r="AB77" s="1554"/>
      <c r="AC77" s="893"/>
      <c r="AD77" s="893"/>
      <c r="AE77" s="895"/>
      <c r="AF77" s="895"/>
      <c r="AG77" s="895"/>
      <c r="AH77" s="895"/>
      <c r="AI77" s="895"/>
      <c r="AJ77" s="895"/>
      <c r="AK77" s="895"/>
    </row>
    <row r="78" spans="12:37" ht="29.4" thickBot="1">
      <c r="O78" s="1570">
        <v>8</v>
      </c>
      <c r="P78" s="1571"/>
      <c r="Q78" s="1552" t="str">
        <f>IF('DS Log Pg 1'!Q79="","",'DS Log Pg 1'!Q79)</f>
        <v/>
      </c>
      <c r="R78" s="1553"/>
      <c r="S78" s="1553"/>
      <c r="T78" s="1553"/>
      <c r="U78" s="1553"/>
      <c r="V78" s="1553"/>
      <c r="W78" s="1553"/>
      <c r="X78" s="1553"/>
      <c r="Y78" s="1553"/>
      <c r="Z78" s="1553"/>
      <c r="AA78" s="1553"/>
      <c r="AB78" s="1554"/>
      <c r="AC78" s="893"/>
      <c r="AD78" s="893"/>
      <c r="AE78" s="895"/>
      <c r="AF78" s="895"/>
      <c r="AG78" s="895"/>
      <c r="AH78" s="895"/>
      <c r="AI78" s="895"/>
      <c r="AJ78" s="895"/>
      <c r="AK78" s="895"/>
    </row>
    <row r="79" spans="12:37" ht="29.4" thickBot="1">
      <c r="O79" s="1570">
        <v>9</v>
      </c>
      <c r="P79" s="1571"/>
      <c r="Q79" s="1585" t="str">
        <f>IF('DS Log Pg 1'!Q80="","",'DS Log Pg 1'!Q80)</f>
        <v/>
      </c>
      <c r="R79" s="1586"/>
      <c r="S79" s="1586"/>
      <c r="T79" s="1586"/>
      <c r="U79" s="1586"/>
      <c r="V79" s="1586"/>
      <c r="W79" s="1586"/>
      <c r="X79" s="1586"/>
      <c r="Y79" s="1586"/>
      <c r="Z79" s="1586"/>
      <c r="AA79" s="1586"/>
      <c r="AB79" s="1587"/>
      <c r="AC79" s="893"/>
      <c r="AD79" s="893"/>
      <c r="AE79" s="895"/>
      <c r="AF79" s="895"/>
      <c r="AG79" s="895"/>
      <c r="AH79" s="895"/>
      <c r="AI79" s="895"/>
      <c r="AJ79" s="895"/>
      <c r="AK79" s="895"/>
    </row>
    <row r="80" spans="12:37" ht="29.4" thickBot="1">
      <c r="O80" s="1583">
        <v>10</v>
      </c>
      <c r="P80" s="1584"/>
      <c r="Q80" s="1585"/>
      <c r="R80" s="1586"/>
      <c r="S80" s="1586"/>
      <c r="T80" s="1586"/>
      <c r="U80" s="1586"/>
      <c r="V80" s="1586"/>
      <c r="W80" s="1586"/>
      <c r="X80" s="1586"/>
      <c r="Y80" s="1586"/>
      <c r="Z80" s="1586"/>
      <c r="AA80" s="1586"/>
      <c r="AB80" s="1587"/>
      <c r="AC80" s="893"/>
      <c r="AD80" s="893"/>
      <c r="AE80" s="895"/>
      <c r="AF80" s="895"/>
      <c r="AG80" s="895"/>
      <c r="AH80" s="895"/>
      <c r="AI80" s="895"/>
      <c r="AJ80" s="895"/>
      <c r="AK80" s="895"/>
    </row>
  </sheetData>
  <sheetProtection algorithmName="SHA-512" hashValue="bhRGlsBQfdYWFb1sL6gSokpl9IikjjwbiD+KqybH/aSiM6LWgNa7+VIWhl1sqf4gWZ3J65Y/xSnqVnhBWFgdLQ==" saltValue="uKxA8WGO9yq+t5FtCTOXPg==" spinCount="100000" sheet="1" selectLockedCells="1"/>
  <mergeCells count="164">
    <mergeCell ref="AW28:AX28"/>
    <mergeCell ref="I5:J5"/>
    <mergeCell ref="L71:N71"/>
    <mergeCell ref="AD3:AF3"/>
    <mergeCell ref="Y3:Z3"/>
    <mergeCell ref="X60:Y60"/>
    <mergeCell ref="V60:W60"/>
    <mergeCell ref="V61:X61"/>
    <mergeCell ref="B60:C60"/>
    <mergeCell ref="I60:N60"/>
    <mergeCell ref="Q60:R60"/>
    <mergeCell ref="I61:N61"/>
    <mergeCell ref="Q61:R61"/>
    <mergeCell ref="S61:T61"/>
    <mergeCell ref="H56:L56"/>
    <mergeCell ref="H57:L57"/>
    <mergeCell ref="H58:L58"/>
    <mergeCell ref="H53:L53"/>
    <mergeCell ref="H54:L54"/>
    <mergeCell ref="H55:L55"/>
    <mergeCell ref="H50:L50"/>
    <mergeCell ref="N50:Z51"/>
    <mergeCell ref="H51:L51"/>
    <mergeCell ref="H52:L52"/>
    <mergeCell ref="M52:P52"/>
    <mergeCell ref="Q52:Z52"/>
    <mergeCell ref="H59:L59"/>
    <mergeCell ref="H46:L46"/>
    <mergeCell ref="N46:O47"/>
    <mergeCell ref="P46:X47"/>
    <mergeCell ref="H47:L47"/>
    <mergeCell ref="H48:L48"/>
    <mergeCell ref="N48:O49"/>
    <mergeCell ref="P48:X49"/>
    <mergeCell ref="H49:L49"/>
    <mergeCell ref="M53:Z59"/>
    <mergeCell ref="H41:L41"/>
    <mergeCell ref="H42:L42"/>
    <mergeCell ref="H43:L43"/>
    <mergeCell ref="H44:L44"/>
    <mergeCell ref="H45:L45"/>
    <mergeCell ref="X41:Y41"/>
    <mergeCell ref="X42:Y42"/>
    <mergeCell ref="X43:Y43"/>
    <mergeCell ref="N45:X45"/>
    <mergeCell ref="P32:X32"/>
    <mergeCell ref="H33:L33"/>
    <mergeCell ref="N33:O33"/>
    <mergeCell ref="P33:X33"/>
    <mergeCell ref="H34:L34"/>
    <mergeCell ref="N34:Z34"/>
    <mergeCell ref="X37:Y37"/>
    <mergeCell ref="X40:Y40"/>
    <mergeCell ref="X38:Y38"/>
    <mergeCell ref="X5:Y5"/>
    <mergeCell ref="H21:L21"/>
    <mergeCell ref="N21:Z21"/>
    <mergeCell ref="H22:L22"/>
    <mergeCell ref="P22:X22"/>
    <mergeCell ref="H16:L16"/>
    <mergeCell ref="N16:Z16"/>
    <mergeCell ref="H17:L17"/>
    <mergeCell ref="H18:L18"/>
    <mergeCell ref="Q18:R18"/>
    <mergeCell ref="S18:T18"/>
    <mergeCell ref="V18:X18"/>
    <mergeCell ref="Y18:Z18"/>
    <mergeCell ref="N18:O18"/>
    <mergeCell ref="N17:O17"/>
    <mergeCell ref="R8:S8"/>
    <mergeCell ref="H13:L13"/>
    <mergeCell ref="N13:P13"/>
    <mergeCell ref="X13:Y13"/>
    <mergeCell ref="R13:S13"/>
    <mergeCell ref="N14:Q14"/>
    <mergeCell ref="R14:S14"/>
    <mergeCell ref="X14:Y14"/>
    <mergeCell ref="L5:N5"/>
    <mergeCell ref="X1:Z1"/>
    <mergeCell ref="W2:Z2"/>
    <mergeCell ref="C3:W3"/>
    <mergeCell ref="B4:Z4"/>
    <mergeCell ref="Q5:S5"/>
    <mergeCell ref="T5:V5"/>
    <mergeCell ref="H12:L12"/>
    <mergeCell ref="N12:P12"/>
    <mergeCell ref="H9:L9"/>
    <mergeCell ref="N9:P9"/>
    <mergeCell ref="H10:L10"/>
    <mergeCell ref="N10:P10"/>
    <mergeCell ref="H11:L11"/>
    <mergeCell ref="N11:P11"/>
    <mergeCell ref="X9:Y9"/>
    <mergeCell ref="X10:Y10"/>
    <mergeCell ref="X11:Y11"/>
    <mergeCell ref="X12:Y12"/>
    <mergeCell ref="R9:S9"/>
    <mergeCell ref="R10:S10"/>
    <mergeCell ref="R11:S11"/>
    <mergeCell ref="A2:T2"/>
    <mergeCell ref="B7:B8"/>
    <mergeCell ref="C7:D7"/>
    <mergeCell ref="O74:P74"/>
    <mergeCell ref="Q74:AB74"/>
    <mergeCell ref="O80:P80"/>
    <mergeCell ref="Q80:AB80"/>
    <mergeCell ref="O75:P75"/>
    <mergeCell ref="Q75:AB75"/>
    <mergeCell ref="O76:P76"/>
    <mergeCell ref="Q76:AB76"/>
    <mergeCell ref="O77:P77"/>
    <mergeCell ref="Q77:AB77"/>
    <mergeCell ref="O78:P78"/>
    <mergeCell ref="Q78:AB78"/>
    <mergeCell ref="O79:P79"/>
    <mergeCell ref="Q79:AB79"/>
    <mergeCell ref="O72:P72"/>
    <mergeCell ref="Q72:AB72"/>
    <mergeCell ref="O73:P73"/>
    <mergeCell ref="Q73:AB73"/>
    <mergeCell ref="H14:L14"/>
    <mergeCell ref="H15:L15"/>
    <mergeCell ref="N15:Z15"/>
    <mergeCell ref="H19:L19"/>
    <mergeCell ref="H20:L20"/>
    <mergeCell ref="N20:Z20"/>
    <mergeCell ref="H28:L28"/>
    <mergeCell ref="H29:L29"/>
    <mergeCell ref="H30:L30"/>
    <mergeCell ref="H31:L31"/>
    <mergeCell ref="H32:L32"/>
    <mergeCell ref="N32:O32"/>
    <mergeCell ref="O29:P29"/>
    <mergeCell ref="O30:P30"/>
    <mergeCell ref="H23:L23"/>
    <mergeCell ref="N23:Q23"/>
    <mergeCell ref="H24:L24"/>
    <mergeCell ref="N24:Z24"/>
    <mergeCell ref="H25:L25"/>
    <mergeCell ref="Q25:V28"/>
    <mergeCell ref="E7:E8"/>
    <mergeCell ref="F7:F8"/>
    <mergeCell ref="H7:L8"/>
    <mergeCell ref="N7:Z7"/>
    <mergeCell ref="N8:P8"/>
    <mergeCell ref="O68:AB68"/>
    <mergeCell ref="O69:AB70"/>
    <mergeCell ref="O71:P71"/>
    <mergeCell ref="Q71:AB71"/>
    <mergeCell ref="R12:S12"/>
    <mergeCell ref="G7:G8"/>
    <mergeCell ref="H26:L26"/>
    <mergeCell ref="H27:L27"/>
    <mergeCell ref="N27:P27"/>
    <mergeCell ref="O28:P28"/>
    <mergeCell ref="S23:X23"/>
    <mergeCell ref="Y28:Z28"/>
    <mergeCell ref="W28:X28"/>
    <mergeCell ref="H35:L35"/>
    <mergeCell ref="H36:L36"/>
    <mergeCell ref="H37:L37"/>
    <mergeCell ref="H38:L38"/>
    <mergeCell ref="H39:L39"/>
    <mergeCell ref="H40:L40"/>
  </mergeCells>
  <conditionalFormatting sqref="I5:J5">
    <cfRule type="expression" dxfId="142" priority="3">
      <formula>$I$5=0</formula>
    </cfRule>
  </conditionalFormatting>
  <conditionalFormatting sqref="L5">
    <cfRule type="expression" dxfId="141" priority="2">
      <formula>$I$5=0</formula>
    </cfRule>
  </conditionalFormatting>
  <conditionalFormatting sqref="W28:X28">
    <cfRule type="expression" dxfId="140" priority="1">
      <formula>AND((AZ28)&lt;&gt;(W28),(AZ29)&lt;&gt;(W28))</formula>
    </cfRule>
  </conditionalFormatting>
  <dataValidations count="1">
    <dataValidation type="list" allowBlank="1" showInputMessage="1" showErrorMessage="1" sqref="G9:G59" xr:uid="{00000000-0002-0000-0200-000000000000}">
      <formula1>$O$71:$O$81</formula1>
    </dataValidation>
  </dataValidations>
  <printOptions horizontalCentered="1"/>
  <pageMargins left="0.25" right="0.25" top="0.5" bottom="0.5" header="0" footer="0"/>
  <pageSetup scale="29" orientation="portrait" r:id="rId1"/>
  <drawing r:id="rId2"/>
  <legacyDrawing r:id="rId3"/>
  <extLst>
    <ext xmlns:x14="http://schemas.microsoft.com/office/spreadsheetml/2009/9/main" uri="{CCE6A557-97BC-4b89-ADB6-D9C93CAAB3DF}">
      <x14:dataValidations xmlns:xm="http://schemas.microsoft.com/office/excel/2006/main" count="1">
        <x14:dataValidation type="list" showInputMessage="1" xr:uid="{00000000-0002-0000-0200-000001000000}">
          <x14:formula1>
            <xm:f>List!$F$37:$F$43</xm:f>
          </x14:formula1>
          <xm:sqref>X5:Y5</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tabColor rgb="FF0000FF"/>
    <pageSetUpPr fitToPage="1"/>
  </sheetPr>
  <dimension ref="A1:BA80"/>
  <sheetViews>
    <sheetView zoomScale="40" zoomScaleNormal="40" workbookViewId="0">
      <selection activeCell="B9" sqref="B9"/>
    </sheetView>
  </sheetViews>
  <sheetFormatPr defaultColWidth="9.109375" defaultRowHeight="21"/>
  <cols>
    <col min="1" max="1" width="8.109375" style="802" customWidth="1"/>
    <col min="2" max="3" width="22.44140625" style="786" customWidth="1"/>
    <col min="4" max="4" width="21.33203125" style="786" customWidth="1"/>
    <col min="5" max="6" width="15.6640625" style="786" customWidth="1"/>
    <col min="7" max="7" width="6.6640625" style="786" customWidth="1"/>
    <col min="8" max="9" width="21.33203125" style="786" customWidth="1"/>
    <col min="10" max="10" width="11.33203125" style="786" customWidth="1"/>
    <col min="11" max="11" width="46" style="786" customWidth="1"/>
    <col min="12" max="12" width="13.88671875" style="786" customWidth="1"/>
    <col min="13" max="13" width="1.6640625" style="786" customWidth="1"/>
    <col min="14" max="14" width="22.6640625" style="786" customWidth="1"/>
    <col min="15" max="15" width="7" style="786" customWidth="1"/>
    <col min="16" max="16" width="15.33203125" style="786" customWidth="1"/>
    <col min="17" max="17" width="8.88671875" style="786" customWidth="1"/>
    <col min="18" max="18" width="8.44140625" style="786" customWidth="1"/>
    <col min="19" max="19" width="8.33203125" style="786" customWidth="1"/>
    <col min="20" max="20" width="7" style="786" customWidth="1"/>
    <col min="21" max="21" width="2.44140625" style="786" customWidth="1"/>
    <col min="22" max="22" width="5.88671875" style="786" customWidth="1"/>
    <col min="23" max="23" width="6.6640625" style="786" customWidth="1"/>
    <col min="24" max="24" width="10.6640625" style="786" customWidth="1"/>
    <col min="25" max="25" width="5.33203125" style="786" customWidth="1"/>
    <col min="26" max="26" width="6.33203125" style="786" customWidth="1"/>
    <col min="27" max="27" width="3.109375" style="786" customWidth="1"/>
    <col min="28" max="28" width="21.33203125" style="786" customWidth="1"/>
  </cols>
  <sheetData>
    <row r="1" spans="1:36" ht="21.9" customHeight="1">
      <c r="A1" s="764"/>
      <c r="B1" s="597"/>
      <c r="C1" s="597"/>
      <c r="D1" s="597"/>
      <c r="E1" s="597"/>
      <c r="F1" s="597"/>
      <c r="G1" s="597"/>
      <c r="H1" s="597"/>
      <c r="I1" s="598"/>
      <c r="J1" s="597"/>
      <c r="K1" s="597"/>
      <c r="L1" s="597"/>
      <c r="M1" s="597"/>
      <c r="N1" s="597"/>
      <c r="O1" s="597"/>
      <c r="P1" s="597"/>
      <c r="Q1" s="597"/>
      <c r="R1" s="597"/>
      <c r="S1" s="597"/>
      <c r="T1" s="597"/>
      <c r="U1" s="597"/>
      <c r="V1" s="597"/>
      <c r="W1" s="597"/>
      <c r="X1" s="1588" t="str">
        <f>'DS Log Pg 1'!U1</f>
        <v>700-010-84</v>
      </c>
      <c r="Y1" s="1588"/>
      <c r="Z1" s="1588"/>
      <c r="AA1" s="598"/>
      <c r="AB1" s="595"/>
    </row>
    <row r="2" spans="1:36" ht="21.9" customHeight="1">
      <c r="A2" s="1591" t="s">
        <v>724</v>
      </c>
      <c r="B2" s="1591"/>
      <c r="C2" s="1591"/>
      <c r="D2" s="1591"/>
      <c r="E2" s="1591"/>
      <c r="F2" s="1591"/>
      <c r="G2" s="1591"/>
      <c r="H2" s="1591"/>
      <c r="I2" s="1591"/>
      <c r="J2" s="1591"/>
      <c r="K2" s="1591"/>
      <c r="L2" s="1591"/>
      <c r="M2" s="1591"/>
      <c r="N2" s="1591"/>
      <c r="O2" s="1591"/>
      <c r="P2" s="1591"/>
      <c r="Q2" s="1591"/>
      <c r="R2" s="1591"/>
      <c r="S2" s="1591"/>
      <c r="T2" s="1591"/>
      <c r="U2" s="1591"/>
      <c r="V2" s="1591"/>
      <c r="W2" s="1589" t="s">
        <v>8</v>
      </c>
      <c r="X2" s="1590"/>
      <c r="Y2" s="1590"/>
      <c r="Z2" s="1590"/>
      <c r="AA2" s="595"/>
      <c r="AB2" s="595"/>
    </row>
    <row r="3" spans="1:36" ht="21.9" customHeight="1">
      <c r="A3" s="764"/>
      <c r="B3" s="751"/>
      <c r="C3" s="1591" t="s">
        <v>725</v>
      </c>
      <c r="D3" s="1591"/>
      <c r="E3" s="1591"/>
      <c r="F3" s="1591"/>
      <c r="G3" s="1591"/>
      <c r="H3" s="1591"/>
      <c r="I3" s="1591"/>
      <c r="J3" s="1591"/>
      <c r="K3" s="1591"/>
      <c r="L3" s="1591"/>
      <c r="M3" s="1591"/>
      <c r="N3" s="1591"/>
      <c r="O3" s="1591"/>
      <c r="P3" s="1591"/>
      <c r="Q3" s="1591"/>
      <c r="R3" s="1591"/>
      <c r="S3" s="1591"/>
      <c r="T3" s="1591"/>
      <c r="U3" s="1591"/>
      <c r="V3" s="1591"/>
      <c r="W3" s="1591"/>
      <c r="X3" s="889"/>
      <c r="Y3" s="1685">
        <f>'DS Log Pg 2'!Y3:Z3</f>
        <v>45222</v>
      </c>
      <c r="Z3" s="1685"/>
      <c r="AA3" s="595"/>
      <c r="AB3" s="595"/>
    </row>
    <row r="4" spans="1:36" ht="42" customHeight="1">
      <c r="A4" s="764"/>
      <c r="B4" s="1592" t="s">
        <v>726</v>
      </c>
      <c r="C4" s="1593"/>
      <c r="D4" s="1593"/>
      <c r="E4" s="1593"/>
      <c r="F4" s="1593"/>
      <c r="G4" s="1593"/>
      <c r="H4" s="1593"/>
      <c r="I4" s="1593"/>
      <c r="J4" s="1593"/>
      <c r="K4" s="1593"/>
      <c r="L4" s="1593"/>
      <c r="M4" s="1593"/>
      <c r="N4" s="1593"/>
      <c r="O4" s="1593"/>
      <c r="P4" s="1593"/>
      <c r="Q4" s="1593"/>
      <c r="R4" s="1593"/>
      <c r="S4" s="1593"/>
      <c r="T4" s="1593"/>
      <c r="U4" s="1593"/>
      <c r="V4" s="1593"/>
      <c r="W4" s="1593"/>
      <c r="X4" s="1593"/>
      <c r="Y4" s="1593"/>
      <c r="Z4" s="1593"/>
      <c r="AA4" s="597"/>
      <c r="AB4" s="597"/>
    </row>
    <row r="5" spans="1:36" ht="36" customHeight="1" thickBot="1">
      <c r="A5" s="764"/>
      <c r="B5" s="768"/>
      <c r="C5" s="597"/>
      <c r="D5" s="597"/>
      <c r="E5" s="597"/>
      <c r="F5" s="597"/>
      <c r="G5" s="597"/>
      <c r="H5" s="691" t="s">
        <v>944</v>
      </c>
      <c r="I5" s="1566">
        <f>'DS Log Pg 1'!S7</f>
        <v>0</v>
      </c>
      <c r="J5" s="1566"/>
      <c r="K5" s="691" t="s">
        <v>69</v>
      </c>
      <c r="L5" s="1621">
        <f>'DS Log Pg 1'!S8</f>
        <v>0</v>
      </c>
      <c r="M5" s="1621"/>
      <c r="N5" s="1621"/>
      <c r="O5" s="597"/>
      <c r="P5" s="597"/>
      <c r="Q5" s="1594" t="s">
        <v>10</v>
      </c>
      <c r="R5" s="1594"/>
      <c r="S5" s="1594"/>
      <c r="T5" s="1595">
        <v>3</v>
      </c>
      <c r="U5" s="1595"/>
      <c r="V5" s="1595"/>
      <c r="W5" s="773" t="s">
        <v>981</v>
      </c>
      <c r="X5" s="1686"/>
      <c r="Y5" s="1686"/>
      <c r="Z5" s="597"/>
      <c r="AA5" s="597"/>
      <c r="AB5" s="597"/>
    </row>
    <row r="6" spans="1:36" ht="24" customHeight="1" thickBot="1">
      <c r="A6" s="769"/>
      <c r="B6" s="769"/>
      <c r="C6" s="686"/>
      <c r="D6" s="686"/>
      <c r="E6" s="686"/>
      <c r="F6" s="686" t="str">
        <f>IF(ISBLANK('DS Log Pg 1'!$V$6),"","Fadi Hardan")</f>
        <v/>
      </c>
      <c r="G6" s="686"/>
      <c r="H6" s="686"/>
      <c r="I6" s="686"/>
      <c r="J6" s="686"/>
      <c r="K6" s="686"/>
      <c r="L6" s="686"/>
      <c r="M6" s="686"/>
      <c r="N6" s="686"/>
      <c r="O6" s="686"/>
      <c r="P6" s="686"/>
      <c r="Q6" s="686"/>
      <c r="R6" s="686"/>
      <c r="S6" s="686"/>
      <c r="T6" s="686"/>
      <c r="U6" s="686"/>
      <c r="V6" s="686"/>
      <c r="W6" s="686"/>
      <c r="X6" s="769"/>
      <c r="Y6" s="769"/>
      <c r="Z6" s="769"/>
      <c r="AA6" s="686"/>
      <c r="AB6" s="686"/>
    </row>
    <row r="7" spans="1:36" ht="48.9" customHeight="1" thickTop="1" thickBot="1">
      <c r="A7" s="769"/>
      <c r="B7" s="1599" t="s">
        <v>727</v>
      </c>
      <c r="C7" s="1688" t="s">
        <v>705</v>
      </c>
      <c r="D7" s="1689"/>
      <c r="E7" s="1530" t="s">
        <v>81</v>
      </c>
      <c r="F7" s="1530" t="s">
        <v>728</v>
      </c>
      <c r="G7" s="1697" t="s">
        <v>976</v>
      </c>
      <c r="H7" s="1691" t="s">
        <v>729</v>
      </c>
      <c r="I7" s="1691"/>
      <c r="J7" s="1691"/>
      <c r="K7" s="1691"/>
      <c r="L7" s="1692"/>
      <c r="M7" s="1268"/>
      <c r="N7" s="1695" t="s">
        <v>730</v>
      </c>
      <c r="O7" s="1695"/>
      <c r="P7" s="1695"/>
      <c r="Q7" s="1695"/>
      <c r="R7" s="1695"/>
      <c r="S7" s="1695"/>
      <c r="T7" s="1695"/>
      <c r="U7" s="1695"/>
      <c r="V7" s="1695"/>
      <c r="W7" s="1695"/>
      <c r="X7" s="1695"/>
      <c r="Y7" s="1695"/>
      <c r="Z7" s="1696"/>
      <c r="AA7" s="686"/>
      <c r="AB7" s="686"/>
    </row>
    <row r="8" spans="1:36" ht="48.9" customHeight="1" thickBot="1">
      <c r="A8" s="769"/>
      <c r="B8" s="1687"/>
      <c r="C8" s="856" t="s">
        <v>731</v>
      </c>
      <c r="D8" s="856" t="s">
        <v>732</v>
      </c>
      <c r="E8" s="1690"/>
      <c r="F8" s="1531"/>
      <c r="G8" s="1698"/>
      <c r="H8" s="1693"/>
      <c r="I8" s="1693"/>
      <c r="J8" s="1693"/>
      <c r="K8" s="1693"/>
      <c r="L8" s="1694"/>
      <c r="M8" s="772"/>
      <c r="N8" s="1540"/>
      <c r="O8" s="1540"/>
      <c r="P8" s="1540"/>
      <c r="Q8" s="686"/>
      <c r="R8" s="1618" t="s">
        <v>885</v>
      </c>
      <c r="S8" s="1619"/>
      <c r="T8" s="773"/>
      <c r="U8" s="773"/>
      <c r="V8" s="773"/>
      <c r="W8" s="773"/>
      <c r="X8" s="774" t="s">
        <v>886</v>
      </c>
      <c r="Y8" s="773"/>
      <c r="Z8" s="1269"/>
      <c r="AA8" s="686"/>
      <c r="AB8" s="686"/>
    </row>
    <row r="9" spans="1:36" ht="42" customHeight="1" thickBot="1">
      <c r="A9" s="769"/>
      <c r="B9" s="1270"/>
      <c r="C9" s="753"/>
      <c r="D9" s="753"/>
      <c r="E9" s="1266"/>
      <c r="F9" s="754"/>
      <c r="G9" s="897"/>
      <c r="H9" s="1559" t="str">
        <f>IF(G9=1,$Q$71,IF(G9=2,$Q$72,IF(G9=3,$Q$73,IF(G9=4,$Q$74,IF(G9=5,$Q$75,IF(G9=6,$Q$76,IF(G9=7,$Q$77,IF(G9=8,$Q$78,IF(G9=9,$Q$79,IF(G9=10,$Q$80,""))))))))))</f>
        <v/>
      </c>
      <c r="I9" s="1560"/>
      <c r="J9" s="1560"/>
      <c r="K9" s="1560"/>
      <c r="L9" s="1561"/>
      <c r="M9" s="862"/>
      <c r="N9" s="1566" t="s">
        <v>733</v>
      </c>
      <c r="O9" s="1566"/>
      <c r="P9" s="1540"/>
      <c r="Q9" s="686"/>
      <c r="R9" s="1555"/>
      <c r="S9" s="1556"/>
      <c r="T9" s="775"/>
      <c r="U9" s="766"/>
      <c r="V9" s="766"/>
      <c r="W9" s="766"/>
      <c r="X9" s="1555"/>
      <c r="Y9" s="1555"/>
      <c r="Z9" s="1269"/>
      <c r="AA9" s="686"/>
      <c r="AB9" s="686"/>
    </row>
    <row r="10" spans="1:36" ht="42" customHeight="1" thickBot="1">
      <c r="A10" s="769"/>
      <c r="B10" s="1270"/>
      <c r="C10" s="753"/>
      <c r="D10" s="753"/>
      <c r="E10" s="1266" t="str">
        <f t="shared" ref="E10:E59" si="0">IF(ISBLANK(B10),"",F10-B10)</f>
        <v/>
      </c>
      <c r="F10" s="754"/>
      <c r="G10" s="897"/>
      <c r="H10" s="1559" t="str">
        <f t="shared" ref="H10:H59" si="1">IF(G10=1,$Q$71,IF(G10=2,$Q$72,IF(G10=3,$Q$73,IF(G10=4,$Q$74,IF(G10=5,$Q$75,IF(G10=6,$Q$76,IF(G10=7,$Q$77,IF(G10=8,$Q$78,IF(G10=9,$Q$79,IF(G10=10,$Q$80,""))))))))))</f>
        <v/>
      </c>
      <c r="I10" s="1560"/>
      <c r="J10" s="1560"/>
      <c r="K10" s="1560"/>
      <c r="L10" s="1561"/>
      <c r="M10" s="862"/>
      <c r="N10" s="1566" t="s">
        <v>734</v>
      </c>
      <c r="O10" s="1566"/>
      <c r="P10" s="1540"/>
      <c r="Q10" s="686"/>
      <c r="R10" s="1555"/>
      <c r="S10" s="1556"/>
      <c r="T10" s="775"/>
      <c r="U10" s="766"/>
      <c r="V10" s="766"/>
      <c r="W10" s="766"/>
      <c r="X10" s="1555"/>
      <c r="Y10" s="1555"/>
      <c r="Z10" s="1269"/>
      <c r="AA10" s="686"/>
      <c r="AB10" s="686"/>
    </row>
    <row r="11" spans="1:36" ht="42" customHeight="1" thickBot="1">
      <c r="A11" s="769"/>
      <c r="B11" s="1270"/>
      <c r="C11" s="753"/>
      <c r="D11" s="753"/>
      <c r="E11" s="1266" t="str">
        <f t="shared" si="0"/>
        <v/>
      </c>
      <c r="F11" s="754"/>
      <c r="G11" s="897"/>
      <c r="H11" s="1559" t="str">
        <f t="shared" si="1"/>
        <v/>
      </c>
      <c r="I11" s="1560"/>
      <c r="J11" s="1560"/>
      <c r="K11" s="1560"/>
      <c r="L11" s="1561"/>
      <c r="M11" s="862"/>
      <c r="N11" s="1566" t="s">
        <v>735</v>
      </c>
      <c r="O11" s="1566"/>
      <c r="P11" s="1540"/>
      <c r="Q11" s="686"/>
      <c r="R11" s="1555"/>
      <c r="S11" s="1556"/>
      <c r="T11" s="775"/>
      <c r="U11" s="766"/>
      <c r="V11" s="766"/>
      <c r="W11" s="766"/>
      <c r="X11" s="1555"/>
      <c r="Y11" s="1555"/>
      <c r="Z11" s="1269"/>
      <c r="AA11" s="686"/>
      <c r="AB11" s="686"/>
    </row>
    <row r="12" spans="1:36" ht="42" customHeight="1" thickBot="1">
      <c r="A12" s="769"/>
      <c r="B12" s="1270"/>
      <c r="C12" s="753"/>
      <c r="D12" s="753"/>
      <c r="E12" s="1266" t="str">
        <f t="shared" si="0"/>
        <v/>
      </c>
      <c r="F12" s="754"/>
      <c r="G12" s="897"/>
      <c r="H12" s="1559" t="str">
        <f t="shared" si="1"/>
        <v/>
      </c>
      <c r="I12" s="1560"/>
      <c r="J12" s="1560"/>
      <c r="K12" s="1560"/>
      <c r="L12" s="1561"/>
      <c r="M12" s="862"/>
      <c r="N12" s="1566" t="s">
        <v>505</v>
      </c>
      <c r="O12" s="1566"/>
      <c r="P12" s="1540"/>
      <c r="Q12" s="686"/>
      <c r="R12" s="1555"/>
      <c r="S12" s="1556"/>
      <c r="T12" s="775"/>
      <c r="U12" s="766"/>
      <c r="V12" s="766"/>
      <c r="W12" s="766"/>
      <c r="X12" s="1555"/>
      <c r="Y12" s="1555"/>
      <c r="Z12" s="1269"/>
      <c r="AA12" s="686"/>
      <c r="AB12" s="686"/>
      <c r="AC12" s="898"/>
      <c r="AD12" s="899" t="s">
        <v>977</v>
      </c>
      <c r="AE12" s="900"/>
      <c r="AF12" s="900"/>
      <c r="AG12" s="900"/>
      <c r="AH12" s="900"/>
      <c r="AI12" s="901"/>
      <c r="AJ12" s="875"/>
    </row>
    <row r="13" spans="1:36" ht="42" customHeight="1" thickBot="1">
      <c r="A13" s="769"/>
      <c r="B13" s="1270"/>
      <c r="C13" s="753"/>
      <c r="D13" s="753"/>
      <c r="E13" s="1266" t="str">
        <f t="shared" si="0"/>
        <v/>
      </c>
      <c r="F13" s="754"/>
      <c r="G13" s="897"/>
      <c r="H13" s="1559" t="str">
        <f t="shared" si="1"/>
        <v/>
      </c>
      <c r="I13" s="1560"/>
      <c r="J13" s="1560"/>
      <c r="K13" s="1560"/>
      <c r="L13" s="1561"/>
      <c r="M13" s="776"/>
      <c r="N13" s="1566" t="s">
        <v>736</v>
      </c>
      <c r="O13" s="1566"/>
      <c r="P13" s="1540"/>
      <c r="Q13" s="686"/>
      <c r="R13" s="1555"/>
      <c r="S13" s="1556"/>
      <c r="T13" s="775"/>
      <c r="U13" s="766"/>
      <c r="V13" s="766"/>
      <c r="W13" s="766"/>
      <c r="X13" s="1555"/>
      <c r="Y13" s="1555"/>
      <c r="Z13" s="1269"/>
      <c r="AA13" s="686"/>
      <c r="AB13" s="686"/>
      <c r="AC13" s="918">
        <f>O71</f>
        <v>1</v>
      </c>
      <c r="AD13" s="919" t="str">
        <f t="shared" ref="AD13:AD22" si="2">Q71</f>
        <v/>
      </c>
      <c r="AE13" s="920"/>
      <c r="AF13" s="921"/>
      <c r="AG13" s="921"/>
      <c r="AH13" s="921"/>
      <c r="AI13" s="922"/>
      <c r="AJ13" s="923"/>
    </row>
    <row r="14" spans="1:36" ht="42" customHeight="1" thickBot="1">
      <c r="A14" s="769"/>
      <c r="B14" s="1270"/>
      <c r="C14" s="753"/>
      <c r="D14" s="753"/>
      <c r="E14" s="1266" t="str">
        <f t="shared" si="0"/>
        <v/>
      </c>
      <c r="F14" s="754"/>
      <c r="G14" s="897"/>
      <c r="H14" s="1559" t="str">
        <f t="shared" si="1"/>
        <v/>
      </c>
      <c r="I14" s="1560"/>
      <c r="J14" s="1560"/>
      <c r="K14" s="1560"/>
      <c r="L14" s="1561"/>
      <c r="M14" s="777"/>
      <c r="N14" s="686"/>
      <c r="O14" s="686"/>
      <c r="P14" s="686"/>
      <c r="Q14" s="686"/>
      <c r="R14" s="686"/>
      <c r="S14" s="686"/>
      <c r="T14" s="686"/>
      <c r="U14" s="686"/>
      <c r="V14" s="686"/>
      <c r="W14" s="686"/>
      <c r="X14" s="686"/>
      <c r="Y14" s="686"/>
      <c r="Z14" s="1269"/>
      <c r="AA14" s="686"/>
      <c r="AB14" s="686"/>
      <c r="AC14" s="918">
        <f t="shared" ref="AC14:AC22" si="3">O72</f>
        <v>2</v>
      </c>
      <c r="AD14" s="919" t="str">
        <f t="shared" si="2"/>
        <v/>
      </c>
      <c r="AE14" s="920"/>
      <c r="AF14" s="921"/>
      <c r="AG14" s="921"/>
      <c r="AH14" s="921"/>
      <c r="AI14" s="922"/>
      <c r="AJ14" s="923"/>
    </row>
    <row r="15" spans="1:36" ht="42" customHeight="1" thickTop="1" thickBot="1">
      <c r="A15" s="769"/>
      <c r="B15" s="1270"/>
      <c r="C15" s="753"/>
      <c r="D15" s="753"/>
      <c r="E15" s="1266" t="str">
        <f t="shared" si="0"/>
        <v/>
      </c>
      <c r="F15" s="754"/>
      <c r="G15" s="897"/>
      <c r="H15" s="1559" t="str">
        <f t="shared" si="1"/>
        <v/>
      </c>
      <c r="I15" s="1560"/>
      <c r="J15" s="1560"/>
      <c r="K15" s="1560"/>
      <c r="L15" s="1561"/>
      <c r="M15" s="862"/>
      <c r="N15" s="1699" t="s">
        <v>737</v>
      </c>
      <c r="O15" s="1699"/>
      <c r="P15" s="1699"/>
      <c r="Q15" s="1699"/>
      <c r="R15" s="1699"/>
      <c r="S15" s="1699"/>
      <c r="T15" s="1699"/>
      <c r="U15" s="1699"/>
      <c r="V15" s="1699"/>
      <c r="W15" s="1699"/>
      <c r="X15" s="1699"/>
      <c r="Y15" s="1699"/>
      <c r="Z15" s="1700"/>
      <c r="AA15" s="686"/>
      <c r="AB15" s="686"/>
      <c r="AC15" s="918">
        <f t="shared" si="3"/>
        <v>3</v>
      </c>
      <c r="AD15" s="919" t="str">
        <f t="shared" si="2"/>
        <v/>
      </c>
      <c r="AE15" s="920"/>
      <c r="AF15" s="921"/>
      <c r="AG15" s="921"/>
      <c r="AH15" s="921"/>
      <c r="AI15" s="922"/>
      <c r="AJ15" s="923"/>
    </row>
    <row r="16" spans="1:36" ht="42" customHeight="1" thickBot="1">
      <c r="A16" s="769"/>
      <c r="B16" s="1270"/>
      <c r="C16" s="753"/>
      <c r="D16" s="753"/>
      <c r="E16" s="1266" t="str">
        <f t="shared" si="0"/>
        <v/>
      </c>
      <c r="F16" s="754"/>
      <c r="G16" s="897"/>
      <c r="H16" s="1559" t="str">
        <f t="shared" si="1"/>
        <v/>
      </c>
      <c r="I16" s="1560"/>
      <c r="J16" s="1560"/>
      <c r="K16" s="1560"/>
      <c r="L16" s="1561"/>
      <c r="M16" s="862"/>
      <c r="N16" s="1607" t="s">
        <v>738</v>
      </c>
      <c r="O16" s="1607"/>
      <c r="P16" s="1607"/>
      <c r="Q16" s="1607"/>
      <c r="R16" s="1607"/>
      <c r="S16" s="1607"/>
      <c r="T16" s="1607"/>
      <c r="U16" s="1607"/>
      <c r="V16" s="1607"/>
      <c r="W16" s="1607"/>
      <c r="X16" s="1607"/>
      <c r="Y16" s="1607"/>
      <c r="Z16" s="1608"/>
      <c r="AA16" s="686"/>
      <c r="AB16" s="686"/>
      <c r="AC16" s="918">
        <f t="shared" si="3"/>
        <v>4</v>
      </c>
      <c r="AD16" s="919" t="str">
        <f t="shared" si="2"/>
        <v/>
      </c>
      <c r="AE16" s="920"/>
      <c r="AF16" s="921"/>
      <c r="AG16" s="921"/>
      <c r="AH16" s="921"/>
      <c r="AI16" s="922"/>
      <c r="AJ16" s="923"/>
    </row>
    <row r="17" spans="1:53" ht="42" customHeight="1" thickBot="1">
      <c r="A17" s="769"/>
      <c r="B17" s="1270"/>
      <c r="C17" s="753"/>
      <c r="D17" s="753"/>
      <c r="E17" s="1266" t="str">
        <f t="shared" si="0"/>
        <v/>
      </c>
      <c r="F17" s="754"/>
      <c r="G17" s="897"/>
      <c r="H17" s="1559" t="str">
        <f t="shared" si="1"/>
        <v/>
      </c>
      <c r="I17" s="1560"/>
      <c r="J17" s="1560"/>
      <c r="K17" s="1560"/>
      <c r="L17" s="1561"/>
      <c r="M17" s="862"/>
      <c r="N17" s="1616" t="s">
        <v>739</v>
      </c>
      <c r="O17" s="1617"/>
      <c r="P17" s="778"/>
      <c r="Q17" s="858"/>
      <c r="R17" s="858"/>
      <c r="S17" s="858"/>
      <c r="T17" s="858"/>
      <c r="U17" s="858"/>
      <c r="V17" s="858"/>
      <c r="W17" s="858"/>
      <c r="X17" s="858"/>
      <c r="Y17" s="858"/>
      <c r="Z17" s="1271"/>
      <c r="AA17" s="686"/>
      <c r="AB17" s="686"/>
      <c r="AC17" s="918">
        <f t="shared" si="3"/>
        <v>5</v>
      </c>
      <c r="AD17" s="919" t="str">
        <f t="shared" si="2"/>
        <v/>
      </c>
      <c r="AE17" s="920"/>
      <c r="AF17" s="921"/>
      <c r="AG17" s="921"/>
      <c r="AH17" s="921"/>
      <c r="AI17" s="922"/>
      <c r="AJ17" s="923"/>
    </row>
    <row r="18" spans="1:53" ht="42" customHeight="1" thickBot="1">
      <c r="A18" s="769"/>
      <c r="B18" s="1270"/>
      <c r="C18" s="753"/>
      <c r="D18" s="753"/>
      <c r="E18" s="1266" t="str">
        <f t="shared" si="0"/>
        <v/>
      </c>
      <c r="F18" s="754"/>
      <c r="G18" s="897"/>
      <c r="H18" s="1559" t="str">
        <f t="shared" si="1"/>
        <v/>
      </c>
      <c r="I18" s="1560"/>
      <c r="J18" s="1560"/>
      <c r="K18" s="1560"/>
      <c r="L18" s="1561"/>
      <c r="M18" s="780"/>
      <c r="N18" s="1614" t="s">
        <v>740</v>
      </c>
      <c r="O18" s="1615"/>
      <c r="P18" s="863"/>
      <c r="Q18" s="1609" t="s">
        <v>119</v>
      </c>
      <c r="R18" s="1609"/>
      <c r="S18" s="1610"/>
      <c r="T18" s="1610"/>
      <c r="U18" s="857"/>
      <c r="V18" s="1611" t="s">
        <v>741</v>
      </c>
      <c r="W18" s="1612"/>
      <c r="X18" s="1612"/>
      <c r="Y18" s="1610"/>
      <c r="Z18" s="1613"/>
      <c r="AA18" s="686"/>
      <c r="AB18" s="686"/>
      <c r="AC18" s="918">
        <f t="shared" si="3"/>
        <v>6</v>
      </c>
      <c r="AD18" s="919" t="str">
        <f t="shared" si="2"/>
        <v/>
      </c>
      <c r="AE18" s="920"/>
      <c r="AF18" s="921"/>
      <c r="AG18" s="921"/>
      <c r="AH18" s="921"/>
      <c r="AI18" s="922"/>
      <c r="AJ18" s="923"/>
    </row>
    <row r="19" spans="1:53" ht="42" customHeight="1" thickBot="1">
      <c r="A19" s="769"/>
      <c r="B19" s="1270"/>
      <c r="C19" s="753"/>
      <c r="D19" s="753"/>
      <c r="E19" s="1266" t="str">
        <f t="shared" si="0"/>
        <v/>
      </c>
      <c r="F19" s="754"/>
      <c r="G19" s="897"/>
      <c r="H19" s="1559" t="str">
        <f t="shared" si="1"/>
        <v/>
      </c>
      <c r="I19" s="1560"/>
      <c r="J19" s="1560"/>
      <c r="K19" s="1560"/>
      <c r="L19" s="1561"/>
      <c r="M19" s="777"/>
      <c r="N19" s="781"/>
      <c r="O19" s="781"/>
      <c r="P19" s="686"/>
      <c r="Q19" s="686"/>
      <c r="R19" s="686"/>
      <c r="S19" s="689"/>
      <c r="T19" s="689"/>
      <c r="U19" s="689"/>
      <c r="V19" s="689"/>
      <c r="W19" s="689"/>
      <c r="X19" s="766"/>
      <c r="Y19" s="766"/>
      <c r="Z19" s="1269"/>
      <c r="AA19" s="686"/>
      <c r="AB19" s="686"/>
      <c r="AC19" s="918">
        <f t="shared" si="3"/>
        <v>7</v>
      </c>
      <c r="AD19" s="919" t="str">
        <f t="shared" si="2"/>
        <v/>
      </c>
      <c r="AE19" s="920"/>
      <c r="AF19" s="921"/>
      <c r="AG19" s="921"/>
      <c r="AH19" s="921"/>
      <c r="AI19" s="922"/>
      <c r="AJ19" s="923"/>
    </row>
    <row r="20" spans="1:53" ht="42" customHeight="1" thickTop="1" thickBot="1">
      <c r="A20" s="769"/>
      <c r="B20" s="1270"/>
      <c r="C20" s="753"/>
      <c r="D20" s="753"/>
      <c r="E20" s="1266" t="str">
        <f t="shared" si="0"/>
        <v/>
      </c>
      <c r="F20" s="754"/>
      <c r="G20" s="897"/>
      <c r="H20" s="1559" t="str">
        <f t="shared" si="1"/>
        <v/>
      </c>
      <c r="I20" s="1560"/>
      <c r="J20" s="1560"/>
      <c r="K20" s="1560"/>
      <c r="L20" s="1561"/>
      <c r="M20" s="862"/>
      <c r="N20" s="1574"/>
      <c r="O20" s="1574"/>
      <c r="P20" s="1574"/>
      <c r="Q20" s="1574"/>
      <c r="R20" s="1574"/>
      <c r="S20" s="1574"/>
      <c r="T20" s="1574"/>
      <c r="U20" s="1574"/>
      <c r="V20" s="1574"/>
      <c r="W20" s="1574"/>
      <c r="X20" s="1574"/>
      <c r="Y20" s="1574"/>
      <c r="Z20" s="1575"/>
      <c r="AA20" s="686"/>
      <c r="AB20" s="686"/>
      <c r="AC20" s="918">
        <f t="shared" si="3"/>
        <v>8</v>
      </c>
      <c r="AD20" s="919" t="str">
        <f t="shared" si="2"/>
        <v/>
      </c>
      <c r="AE20" s="920"/>
      <c r="AF20" s="921"/>
      <c r="AG20" s="921"/>
      <c r="AH20" s="921"/>
      <c r="AI20" s="922"/>
      <c r="AJ20" s="923"/>
    </row>
    <row r="21" spans="1:53" ht="42" customHeight="1" thickBot="1">
      <c r="A21" s="769"/>
      <c r="B21" s="1270"/>
      <c r="C21" s="753"/>
      <c r="D21" s="753"/>
      <c r="E21" s="1266" t="str">
        <f t="shared" si="0"/>
        <v/>
      </c>
      <c r="F21" s="754"/>
      <c r="G21" s="897"/>
      <c r="H21" s="1559" t="str">
        <f t="shared" si="1"/>
        <v/>
      </c>
      <c r="I21" s="1560"/>
      <c r="J21" s="1560"/>
      <c r="K21" s="1560"/>
      <c r="L21" s="1561"/>
      <c r="M21" s="862"/>
      <c r="N21" s="1607" t="s">
        <v>742</v>
      </c>
      <c r="O21" s="1607"/>
      <c r="P21" s="1607"/>
      <c r="Q21" s="1607"/>
      <c r="R21" s="1607"/>
      <c r="S21" s="1607"/>
      <c r="T21" s="1607"/>
      <c r="U21" s="1607"/>
      <c r="V21" s="1607"/>
      <c r="W21" s="1607"/>
      <c r="X21" s="1607"/>
      <c r="Y21" s="1607"/>
      <c r="Z21" s="1608"/>
      <c r="AA21" s="686"/>
      <c r="AB21" s="686"/>
      <c r="AC21" s="918">
        <f t="shared" si="3"/>
        <v>9</v>
      </c>
      <c r="AD21" s="919" t="str">
        <f t="shared" si="2"/>
        <v/>
      </c>
      <c r="AE21" s="920"/>
      <c r="AF21" s="921"/>
      <c r="AG21" s="921"/>
      <c r="AH21" s="921"/>
      <c r="AI21" s="922"/>
      <c r="AJ21" s="923"/>
    </row>
    <row r="22" spans="1:53" ht="42" customHeight="1" thickBot="1">
      <c r="A22" s="769"/>
      <c r="B22" s="1270"/>
      <c r="C22" s="753"/>
      <c r="D22" s="753"/>
      <c r="E22" s="1266" t="str">
        <f t="shared" si="0"/>
        <v/>
      </c>
      <c r="F22" s="754"/>
      <c r="G22" s="897"/>
      <c r="H22" s="1559" t="str">
        <f t="shared" si="1"/>
        <v/>
      </c>
      <c r="I22" s="1560"/>
      <c r="J22" s="1560"/>
      <c r="K22" s="1560"/>
      <c r="L22" s="1561"/>
      <c r="M22" s="862"/>
      <c r="N22" s="782"/>
      <c r="O22" s="782"/>
      <c r="P22" s="1605"/>
      <c r="Q22" s="1606"/>
      <c r="R22" s="1606"/>
      <c r="S22" s="1606"/>
      <c r="T22" s="1606"/>
      <c r="U22" s="1606"/>
      <c r="V22" s="1606"/>
      <c r="W22" s="1606"/>
      <c r="X22" s="1606"/>
      <c r="Y22" s="766"/>
      <c r="Z22" s="1269"/>
      <c r="AA22" s="686"/>
      <c r="AB22" s="686"/>
      <c r="AC22" s="929">
        <f t="shared" si="3"/>
        <v>10</v>
      </c>
      <c r="AD22" s="924" t="str">
        <f t="shared" si="2"/>
        <v/>
      </c>
      <c r="AE22" s="925"/>
      <c r="AF22" s="926"/>
      <c r="AG22" s="926"/>
      <c r="AH22" s="926"/>
      <c r="AI22" s="927"/>
      <c r="AJ22" s="928"/>
    </row>
    <row r="23" spans="1:53" ht="42" customHeight="1" thickBot="1">
      <c r="A23" s="769"/>
      <c r="B23" s="1270"/>
      <c r="C23" s="753"/>
      <c r="D23" s="753"/>
      <c r="E23" s="1266" t="str">
        <f t="shared" si="0"/>
        <v/>
      </c>
      <c r="F23" s="754"/>
      <c r="G23" s="897"/>
      <c r="H23" s="1559" t="str">
        <f t="shared" si="1"/>
        <v/>
      </c>
      <c r="I23" s="1560"/>
      <c r="J23" s="1560"/>
      <c r="K23" s="1560"/>
      <c r="L23" s="1561"/>
      <c r="M23" s="777"/>
      <c r="N23" s="1540"/>
      <c r="O23" s="1540"/>
      <c r="P23" s="1540"/>
      <c r="Q23" s="1540"/>
      <c r="R23" s="686"/>
      <c r="S23" s="1540"/>
      <c r="T23" s="1540"/>
      <c r="U23" s="1540"/>
      <c r="V23" s="1540"/>
      <c r="W23" s="1540"/>
      <c r="X23" s="1540"/>
      <c r="Y23" s="686"/>
      <c r="Z23" s="1269"/>
      <c r="AA23" s="686"/>
      <c r="AB23" s="686"/>
    </row>
    <row r="24" spans="1:53" ht="42" customHeight="1" thickTop="1" thickBot="1">
      <c r="A24" s="769"/>
      <c r="B24" s="1270"/>
      <c r="C24" s="753"/>
      <c r="D24" s="753"/>
      <c r="E24" s="1266" t="str">
        <f t="shared" si="0"/>
        <v/>
      </c>
      <c r="F24" s="754"/>
      <c r="G24" s="897"/>
      <c r="H24" s="1559" t="str">
        <f t="shared" si="1"/>
        <v/>
      </c>
      <c r="I24" s="1560"/>
      <c r="J24" s="1560"/>
      <c r="K24" s="1560"/>
      <c r="L24" s="1561"/>
      <c r="M24" s="862"/>
      <c r="N24" s="1703" t="s">
        <v>743</v>
      </c>
      <c r="O24" s="1703"/>
      <c r="P24" s="1704"/>
      <c r="Q24" s="1704"/>
      <c r="R24" s="1704"/>
      <c r="S24" s="1704"/>
      <c r="T24" s="1704"/>
      <c r="U24" s="1704"/>
      <c r="V24" s="1704"/>
      <c r="W24" s="1704"/>
      <c r="X24" s="1704"/>
      <c r="Y24" s="1704"/>
      <c r="Z24" s="1705"/>
      <c r="AA24" s="686"/>
      <c r="AB24" s="686"/>
    </row>
    <row r="25" spans="1:53" ht="42" customHeight="1" thickBot="1">
      <c r="A25" s="769"/>
      <c r="B25" s="1270"/>
      <c r="C25" s="753"/>
      <c r="D25" s="753"/>
      <c r="E25" s="1266" t="str">
        <f t="shared" si="0"/>
        <v/>
      </c>
      <c r="F25" s="754"/>
      <c r="G25" s="897"/>
      <c r="H25" s="1559" t="str">
        <f t="shared" si="1"/>
        <v/>
      </c>
      <c r="I25" s="1560"/>
      <c r="J25" s="1560"/>
      <c r="K25" s="1560"/>
      <c r="L25" s="1561"/>
      <c r="M25" s="862"/>
      <c r="N25" s="686"/>
      <c r="O25" s="686"/>
      <c r="P25" s="686"/>
      <c r="Q25" s="1580" t="s">
        <v>744</v>
      </c>
      <c r="R25" s="1580"/>
      <c r="S25" s="1581"/>
      <c r="T25" s="1582"/>
      <c r="U25" s="1582"/>
      <c r="V25" s="1582"/>
      <c r="W25" s="783"/>
      <c r="X25" s="686"/>
      <c r="Y25" s="686"/>
      <c r="Z25" s="1269"/>
      <c r="AA25" s="686"/>
      <c r="AB25" s="686"/>
    </row>
    <row r="26" spans="1:53" ht="42" customHeight="1" thickBot="1">
      <c r="A26" s="769"/>
      <c r="B26" s="1270"/>
      <c r="C26" s="753"/>
      <c r="D26" s="753"/>
      <c r="E26" s="1266" t="str">
        <f t="shared" si="0"/>
        <v/>
      </c>
      <c r="F26" s="754"/>
      <c r="G26" s="897"/>
      <c r="H26" s="1559" t="str">
        <f t="shared" si="1"/>
        <v/>
      </c>
      <c r="I26" s="1560"/>
      <c r="J26" s="1560"/>
      <c r="K26" s="1560"/>
      <c r="L26" s="1561"/>
      <c r="M26" s="862"/>
      <c r="N26" s="686"/>
      <c r="O26" s="686"/>
      <c r="P26" s="686"/>
      <c r="Q26" s="1580"/>
      <c r="R26" s="1580"/>
      <c r="S26" s="1581"/>
      <c r="T26" s="1582"/>
      <c r="U26" s="1582"/>
      <c r="V26" s="1582"/>
      <c r="W26" s="783"/>
      <c r="X26" s="686"/>
      <c r="Y26" s="686"/>
      <c r="Z26" s="1269"/>
      <c r="AA26" s="686"/>
      <c r="AB26" s="686"/>
    </row>
    <row r="27" spans="1:53" ht="42" customHeight="1" thickBot="1">
      <c r="A27" s="769"/>
      <c r="B27" s="1270"/>
      <c r="C27" s="753"/>
      <c r="D27" s="753"/>
      <c r="E27" s="1266" t="str">
        <f t="shared" si="0"/>
        <v/>
      </c>
      <c r="F27" s="754"/>
      <c r="G27" s="897"/>
      <c r="H27" s="1559" t="str">
        <f t="shared" si="1"/>
        <v/>
      </c>
      <c r="I27" s="1560"/>
      <c r="J27" s="1560"/>
      <c r="K27" s="1560"/>
      <c r="L27" s="1561"/>
      <c r="M27" s="862"/>
      <c r="N27" s="1562" t="s">
        <v>745</v>
      </c>
      <c r="O27" s="1562"/>
      <c r="P27" s="1563"/>
      <c r="Q27" s="1580"/>
      <c r="R27" s="1580"/>
      <c r="S27" s="1581"/>
      <c r="T27" s="1582"/>
      <c r="U27" s="1582"/>
      <c r="V27" s="1582"/>
      <c r="W27" s="783"/>
      <c r="X27" s="686"/>
      <c r="Y27" s="686"/>
      <c r="Z27" s="1269"/>
      <c r="AA27" s="686"/>
      <c r="AB27" s="686"/>
    </row>
    <row r="28" spans="1:53" ht="42" customHeight="1" thickBot="1">
      <c r="A28" s="769"/>
      <c r="B28" s="1270"/>
      <c r="C28" s="753"/>
      <c r="D28" s="753"/>
      <c r="E28" s="1266" t="str">
        <f t="shared" si="0"/>
        <v/>
      </c>
      <c r="F28" s="754"/>
      <c r="G28" s="897"/>
      <c r="H28" s="1559" t="str">
        <f t="shared" si="1"/>
        <v/>
      </c>
      <c r="I28" s="1560"/>
      <c r="J28" s="1560"/>
      <c r="K28" s="1560"/>
      <c r="L28" s="1561"/>
      <c r="M28" s="862"/>
      <c r="N28" s="854" t="s">
        <v>746</v>
      </c>
      <c r="O28" s="1564"/>
      <c r="P28" s="1565"/>
      <c r="Q28" s="1581"/>
      <c r="R28" s="1581"/>
      <c r="S28" s="1581"/>
      <c r="T28" s="1582"/>
      <c r="U28" s="1582"/>
      <c r="V28" s="1582"/>
      <c r="W28" s="1706"/>
      <c r="X28" s="1707"/>
      <c r="Y28" s="1566" t="s">
        <v>408</v>
      </c>
      <c r="Z28" s="1567"/>
      <c r="AA28" s="686"/>
      <c r="AB28" s="686"/>
      <c r="AW28" s="1662" t="s">
        <v>1219</v>
      </c>
      <c r="AX28" s="1662"/>
      <c r="AY28" s="1322" t="s">
        <v>1216</v>
      </c>
      <c r="AZ28" s="1322" cm="1">
        <f t="array" ref="AZ28:BA28">'DS Log Pg 1'!H23:I23</f>
        <v>0</v>
      </c>
      <c r="BA28" s="1322">
        <v>0</v>
      </c>
    </row>
    <row r="29" spans="1:53" ht="42" customHeight="1" thickBot="1">
      <c r="A29" s="769"/>
      <c r="B29" s="1270"/>
      <c r="C29" s="753"/>
      <c r="D29" s="753"/>
      <c r="E29" s="1266" t="str">
        <f t="shared" si="0"/>
        <v/>
      </c>
      <c r="F29" s="754"/>
      <c r="G29" s="897"/>
      <c r="H29" s="1559" t="str">
        <f t="shared" si="1"/>
        <v/>
      </c>
      <c r="I29" s="1560"/>
      <c r="J29" s="1560"/>
      <c r="K29" s="1560"/>
      <c r="L29" s="1561"/>
      <c r="M29" s="862"/>
      <c r="N29" s="854" t="s">
        <v>747</v>
      </c>
      <c r="O29" s="1701"/>
      <c r="P29" s="1702"/>
      <c r="Q29" s="686"/>
      <c r="R29" s="686"/>
      <c r="S29" s="686"/>
      <c r="T29" s="686"/>
      <c r="U29" s="686"/>
      <c r="V29" s="686"/>
      <c r="W29" s="686"/>
      <c r="X29" s="686"/>
      <c r="Y29" s="686"/>
      <c r="Z29" s="1269"/>
      <c r="AA29" s="686"/>
      <c r="AB29" s="686"/>
      <c r="AY29" s="1322" t="s">
        <v>1217</v>
      </c>
      <c r="AZ29" s="1322" cm="1">
        <f t="array" ref="AZ29:BA29">'DS Log Pg 1'!C23:D23</f>
        <v>45222</v>
      </c>
      <c r="BA29" s="1322">
        <v>0</v>
      </c>
    </row>
    <row r="30" spans="1:53" ht="42" customHeight="1" thickBot="1">
      <c r="A30" s="769"/>
      <c r="B30" s="1270"/>
      <c r="C30" s="753"/>
      <c r="D30" s="753"/>
      <c r="E30" s="1266" t="str">
        <f t="shared" si="0"/>
        <v/>
      </c>
      <c r="F30" s="754"/>
      <c r="G30" s="897"/>
      <c r="H30" s="1559" t="str">
        <f t="shared" si="1"/>
        <v/>
      </c>
      <c r="I30" s="1560"/>
      <c r="J30" s="1560"/>
      <c r="K30" s="1560"/>
      <c r="L30" s="1561"/>
      <c r="M30" s="862"/>
      <c r="N30" s="854" t="s">
        <v>748</v>
      </c>
      <c r="O30" s="1701"/>
      <c r="P30" s="1702"/>
      <c r="Q30" s="686"/>
      <c r="R30" s="686"/>
      <c r="S30" s="686"/>
      <c r="T30" s="686"/>
      <c r="U30" s="686"/>
      <c r="V30" s="686"/>
      <c r="W30" s="686"/>
      <c r="X30" s="686"/>
      <c r="Y30" s="686"/>
      <c r="Z30" s="1269"/>
      <c r="AA30" s="686"/>
      <c r="AB30" s="686"/>
    </row>
    <row r="31" spans="1:53" ht="42" customHeight="1" thickBot="1">
      <c r="A31" s="769"/>
      <c r="B31" s="1270"/>
      <c r="C31" s="753"/>
      <c r="D31" s="753"/>
      <c r="E31" s="1266" t="str">
        <f t="shared" si="0"/>
        <v/>
      </c>
      <c r="F31" s="754"/>
      <c r="G31" s="897"/>
      <c r="H31" s="1559" t="str">
        <f t="shared" si="1"/>
        <v/>
      </c>
      <c r="I31" s="1560"/>
      <c r="J31" s="1560"/>
      <c r="K31" s="1560"/>
      <c r="L31" s="1561"/>
      <c r="M31" s="862"/>
      <c r="N31" s="854"/>
      <c r="O31" s="854"/>
      <c r="P31" s="854"/>
      <c r="Q31" s="686"/>
      <c r="R31" s="686"/>
      <c r="S31" s="686"/>
      <c r="T31" s="686"/>
      <c r="U31" s="686"/>
      <c r="V31" s="686"/>
      <c r="W31" s="686"/>
      <c r="X31" s="686"/>
      <c r="Y31" s="686"/>
      <c r="Z31" s="1269"/>
      <c r="AA31" s="686"/>
      <c r="AB31" s="686"/>
    </row>
    <row r="32" spans="1:53" ht="42" customHeight="1" thickBot="1">
      <c r="A32" s="769"/>
      <c r="B32" s="1270"/>
      <c r="C32" s="753"/>
      <c r="D32" s="753"/>
      <c r="E32" s="1266" t="str">
        <f t="shared" si="0"/>
        <v/>
      </c>
      <c r="F32" s="754"/>
      <c r="G32" s="897"/>
      <c r="H32" s="1559" t="str">
        <f t="shared" si="1"/>
        <v/>
      </c>
      <c r="I32" s="1560"/>
      <c r="J32" s="1560"/>
      <c r="K32" s="1560"/>
      <c r="L32" s="1561"/>
      <c r="M32" s="862"/>
      <c r="N32" s="1566" t="s">
        <v>749</v>
      </c>
      <c r="O32" s="1576"/>
      <c r="P32" s="1605"/>
      <c r="Q32" s="1606"/>
      <c r="R32" s="1606"/>
      <c r="S32" s="1606"/>
      <c r="T32" s="1606"/>
      <c r="U32" s="1606"/>
      <c r="V32" s="1606"/>
      <c r="W32" s="1606"/>
      <c r="X32" s="1606"/>
      <c r="Y32" s="785"/>
      <c r="Z32" s="1269"/>
      <c r="AA32" s="686"/>
      <c r="AB32" s="686"/>
    </row>
    <row r="33" spans="1:28" ht="42" customHeight="1" thickBot="1">
      <c r="A33" s="769"/>
      <c r="B33" s="1270"/>
      <c r="C33" s="753"/>
      <c r="D33" s="753"/>
      <c r="E33" s="1266" t="str">
        <f t="shared" si="0"/>
        <v/>
      </c>
      <c r="F33" s="754"/>
      <c r="G33" s="897"/>
      <c r="H33" s="1559" t="str">
        <f t="shared" si="1"/>
        <v/>
      </c>
      <c r="I33" s="1560"/>
      <c r="J33" s="1560"/>
      <c r="K33" s="1560"/>
      <c r="L33" s="1561"/>
      <c r="M33" s="862"/>
      <c r="N33" s="1566" t="s">
        <v>750</v>
      </c>
      <c r="O33" s="1576"/>
      <c r="P33" s="1605"/>
      <c r="Q33" s="1606"/>
      <c r="R33" s="1606"/>
      <c r="S33" s="1606"/>
      <c r="T33" s="1606"/>
      <c r="U33" s="1606"/>
      <c r="V33" s="1606"/>
      <c r="W33" s="1606"/>
      <c r="X33" s="1606"/>
      <c r="Y33" s="785"/>
      <c r="Z33" s="1269"/>
      <c r="AA33" s="686"/>
      <c r="AB33" s="686"/>
    </row>
    <row r="34" spans="1:28" ht="42" customHeight="1" thickBot="1">
      <c r="A34" s="769"/>
      <c r="B34" s="1270"/>
      <c r="C34" s="753"/>
      <c r="D34" s="753"/>
      <c r="E34" s="1266" t="str">
        <f t="shared" si="0"/>
        <v/>
      </c>
      <c r="F34" s="754"/>
      <c r="G34" s="897"/>
      <c r="H34" s="1559" t="str">
        <f t="shared" si="1"/>
        <v/>
      </c>
      <c r="I34" s="1560"/>
      <c r="J34" s="1560"/>
      <c r="K34" s="1560"/>
      <c r="L34" s="1561"/>
      <c r="M34" s="862"/>
      <c r="N34" s="1622"/>
      <c r="O34" s="1622"/>
      <c r="P34" s="1540"/>
      <c r="Q34" s="1540"/>
      <c r="R34" s="1540"/>
      <c r="S34" s="1540"/>
      <c r="T34" s="1540"/>
      <c r="U34" s="1540"/>
      <c r="V34" s="1540"/>
      <c r="W34" s="1540"/>
      <c r="X34" s="1540"/>
      <c r="Y34" s="1540"/>
      <c r="Z34" s="1623"/>
      <c r="AA34" s="686"/>
      <c r="AB34" s="686"/>
    </row>
    <row r="35" spans="1:28" ht="42" customHeight="1" thickBot="1">
      <c r="A35" s="769"/>
      <c r="B35" s="1270"/>
      <c r="C35" s="753"/>
      <c r="D35" s="753"/>
      <c r="E35" s="1266" t="str">
        <f t="shared" si="0"/>
        <v/>
      </c>
      <c r="F35" s="754"/>
      <c r="G35" s="897"/>
      <c r="H35" s="1559" t="str">
        <f t="shared" si="1"/>
        <v/>
      </c>
      <c r="I35" s="1560"/>
      <c r="J35" s="1560"/>
      <c r="K35" s="1560"/>
      <c r="L35" s="1561"/>
      <c r="M35" s="862"/>
      <c r="N35" s="854"/>
      <c r="O35" s="854"/>
      <c r="P35" s="854"/>
      <c r="Q35" s="686"/>
      <c r="R35" s="686"/>
      <c r="S35" s="686"/>
      <c r="T35" s="686"/>
      <c r="U35" s="686"/>
      <c r="V35" s="686"/>
      <c r="W35" s="686"/>
      <c r="X35" s="686"/>
      <c r="Y35" s="686"/>
      <c r="Z35" s="1269"/>
      <c r="AA35" s="686"/>
      <c r="AB35" s="686"/>
    </row>
    <row r="36" spans="1:28" ht="42" customHeight="1" thickBot="1">
      <c r="A36" s="769"/>
      <c r="B36" s="1270"/>
      <c r="C36" s="753"/>
      <c r="D36" s="753"/>
      <c r="E36" s="1266" t="str">
        <f t="shared" si="0"/>
        <v/>
      </c>
      <c r="F36" s="754"/>
      <c r="G36" s="897"/>
      <c r="H36" s="1559" t="str">
        <f t="shared" si="1"/>
        <v/>
      </c>
      <c r="I36" s="1560"/>
      <c r="J36" s="1560"/>
      <c r="K36" s="1560"/>
      <c r="L36" s="1561"/>
      <c r="M36" s="862"/>
      <c r="N36" s="686"/>
      <c r="O36" s="686"/>
      <c r="P36" s="686"/>
      <c r="Q36" s="686"/>
      <c r="R36" s="686"/>
      <c r="S36" s="686"/>
      <c r="T36" s="686"/>
      <c r="U36" s="686"/>
      <c r="V36" s="686"/>
      <c r="W36" s="686"/>
      <c r="X36" s="686"/>
      <c r="Y36" s="686"/>
      <c r="Z36" s="1269"/>
      <c r="AA36" s="686"/>
      <c r="AB36" s="686"/>
    </row>
    <row r="37" spans="1:28" ht="42" customHeight="1" thickBot="1">
      <c r="A37" s="769"/>
      <c r="B37" s="1270"/>
      <c r="C37" s="753"/>
      <c r="D37" s="753"/>
      <c r="E37" s="1266" t="str">
        <f t="shared" si="0"/>
        <v/>
      </c>
      <c r="F37" s="754"/>
      <c r="G37" s="897"/>
      <c r="H37" s="1559" t="str">
        <f t="shared" si="1"/>
        <v/>
      </c>
      <c r="I37" s="1560"/>
      <c r="J37" s="1560"/>
      <c r="K37" s="1560"/>
      <c r="L37" s="1561"/>
      <c r="M37" s="862"/>
      <c r="O37" s="781" t="s">
        <v>751</v>
      </c>
      <c r="P37" s="860"/>
      <c r="Q37" s="854" t="s">
        <v>408</v>
      </c>
      <c r="R37" s="854"/>
      <c r="S37" s="787" t="s">
        <v>751</v>
      </c>
      <c r="T37" s="598"/>
      <c r="U37" s="598"/>
      <c r="V37" s="598"/>
      <c r="W37" s="788" t="s">
        <v>752</v>
      </c>
      <c r="X37" s="1624"/>
      <c r="Y37" s="1625"/>
      <c r="Z37" s="1272" t="s">
        <v>408</v>
      </c>
      <c r="AA37" s="686"/>
      <c r="AB37" s="686"/>
    </row>
    <row r="38" spans="1:28" ht="42" customHeight="1" thickBot="1">
      <c r="A38" s="769"/>
      <c r="B38" s="1270"/>
      <c r="C38" s="753"/>
      <c r="D38" s="753"/>
      <c r="E38" s="1266" t="str">
        <f t="shared" si="0"/>
        <v/>
      </c>
      <c r="F38" s="754"/>
      <c r="G38" s="897"/>
      <c r="H38" s="1559" t="str">
        <f t="shared" si="1"/>
        <v/>
      </c>
      <c r="I38" s="1560"/>
      <c r="J38" s="1560"/>
      <c r="K38" s="1560"/>
      <c r="L38" s="1561"/>
      <c r="M38" s="862"/>
      <c r="N38" s="686"/>
      <c r="O38" s="686"/>
      <c r="P38" s="861"/>
      <c r="Q38" s="854" t="s">
        <v>950</v>
      </c>
      <c r="R38" s="854"/>
      <c r="S38" s="686"/>
      <c r="T38" s="686"/>
      <c r="U38" s="686"/>
      <c r="V38" s="686"/>
      <c r="W38" s="686"/>
      <c r="X38" s="1626"/>
      <c r="Y38" s="1627"/>
      <c r="Z38" s="1273" t="s">
        <v>950</v>
      </c>
      <c r="AA38" s="686"/>
      <c r="AB38" s="686"/>
    </row>
    <row r="39" spans="1:28" ht="42" customHeight="1" thickBot="1">
      <c r="A39" s="769"/>
      <c r="B39" s="1270"/>
      <c r="C39" s="753"/>
      <c r="D39" s="753"/>
      <c r="E39" s="1266" t="str">
        <f t="shared" si="0"/>
        <v/>
      </c>
      <c r="F39" s="754"/>
      <c r="G39" s="897"/>
      <c r="H39" s="1559" t="str">
        <f t="shared" si="1"/>
        <v/>
      </c>
      <c r="I39" s="1560"/>
      <c r="J39" s="1560"/>
      <c r="K39" s="1560"/>
      <c r="L39" s="1561"/>
      <c r="M39" s="862"/>
      <c r="N39" s="686"/>
      <c r="O39" s="686"/>
      <c r="P39" s="789" t="s">
        <v>753</v>
      </c>
      <c r="Q39" s="854"/>
      <c r="R39" s="854"/>
      <c r="S39" s="686"/>
      <c r="T39" s="686"/>
      <c r="U39" s="686"/>
      <c r="V39" s="686"/>
      <c r="W39" s="686"/>
      <c r="X39" s="773"/>
      <c r="Y39" s="773"/>
      <c r="Z39" s="1272"/>
      <c r="AA39" s="686"/>
      <c r="AB39" s="686"/>
    </row>
    <row r="40" spans="1:28" ht="42" customHeight="1" thickBot="1">
      <c r="A40" s="769"/>
      <c r="B40" s="1270"/>
      <c r="C40" s="753"/>
      <c r="D40" s="753"/>
      <c r="E40" s="1266" t="str">
        <f t="shared" si="0"/>
        <v/>
      </c>
      <c r="F40" s="754"/>
      <c r="G40" s="897"/>
      <c r="H40" s="1559" t="str">
        <f t="shared" si="1"/>
        <v/>
      </c>
      <c r="I40" s="1560"/>
      <c r="J40" s="1560"/>
      <c r="K40" s="1560"/>
      <c r="L40" s="1561"/>
      <c r="M40" s="862"/>
      <c r="N40" s="686"/>
      <c r="O40" s="686"/>
      <c r="P40" s="686"/>
      <c r="Q40" s="686"/>
      <c r="R40" s="686"/>
      <c r="S40" s="790" t="s">
        <v>752</v>
      </c>
      <c r="T40" s="686"/>
      <c r="U40" s="686"/>
      <c r="V40" s="791" t="s">
        <v>754</v>
      </c>
      <c r="W40" s="788" t="s">
        <v>754</v>
      </c>
      <c r="X40" s="1624"/>
      <c r="Y40" s="1625"/>
      <c r="Z40" s="1272" t="s">
        <v>408</v>
      </c>
      <c r="AA40" s="686"/>
      <c r="AB40" s="686"/>
    </row>
    <row r="41" spans="1:28" ht="42" customHeight="1" thickBot="1">
      <c r="A41" s="769"/>
      <c r="B41" s="1270"/>
      <c r="C41" s="753"/>
      <c r="D41" s="753"/>
      <c r="E41" s="1266" t="str">
        <f t="shared" si="0"/>
        <v/>
      </c>
      <c r="F41" s="754"/>
      <c r="G41" s="897"/>
      <c r="H41" s="1559" t="str">
        <f t="shared" si="1"/>
        <v/>
      </c>
      <c r="I41" s="1560"/>
      <c r="J41" s="1560"/>
      <c r="K41" s="1560"/>
      <c r="L41" s="1561"/>
      <c r="M41" s="862"/>
      <c r="N41" s="686"/>
      <c r="O41" s="686"/>
      <c r="P41" s="686"/>
      <c r="Q41" s="686"/>
      <c r="R41" s="686"/>
      <c r="S41" s="686"/>
      <c r="T41" s="686"/>
      <c r="U41" s="686"/>
      <c r="V41" s="686"/>
      <c r="W41" s="686"/>
      <c r="X41" s="1626"/>
      <c r="Y41" s="1627"/>
      <c r="Z41" s="1272" t="s">
        <v>950</v>
      </c>
      <c r="AA41" s="686"/>
      <c r="AB41" s="686"/>
    </row>
    <row r="42" spans="1:28" ht="42" customHeight="1" thickBot="1">
      <c r="A42" s="769"/>
      <c r="B42" s="1270"/>
      <c r="C42" s="753"/>
      <c r="D42" s="753"/>
      <c r="E42" s="1266" t="str">
        <f t="shared" si="0"/>
        <v/>
      </c>
      <c r="F42" s="754"/>
      <c r="G42" s="897"/>
      <c r="H42" s="1559" t="str">
        <f t="shared" si="1"/>
        <v/>
      </c>
      <c r="I42" s="1560"/>
      <c r="J42" s="1560"/>
      <c r="K42" s="1560"/>
      <c r="L42" s="1561"/>
      <c r="M42" s="862"/>
      <c r="O42" s="792" t="s">
        <v>753</v>
      </c>
      <c r="P42" s="860"/>
      <c r="Q42" s="854" t="s">
        <v>408</v>
      </c>
      <c r="R42" s="854"/>
      <c r="S42" s="789" t="s">
        <v>755</v>
      </c>
      <c r="T42" s="598"/>
      <c r="U42" s="598"/>
      <c r="V42" s="598"/>
      <c r="W42" s="788" t="s">
        <v>755</v>
      </c>
      <c r="X42" s="1624"/>
      <c r="Y42" s="1624"/>
      <c r="Z42" s="1272" t="s">
        <v>408</v>
      </c>
      <c r="AA42" s="686"/>
      <c r="AB42" s="686"/>
    </row>
    <row r="43" spans="1:28" ht="42" customHeight="1" thickBot="1">
      <c r="A43" s="769"/>
      <c r="B43" s="1270"/>
      <c r="C43" s="753"/>
      <c r="D43" s="753"/>
      <c r="E43" s="1266" t="str">
        <f t="shared" si="0"/>
        <v/>
      </c>
      <c r="F43" s="754"/>
      <c r="G43" s="897"/>
      <c r="H43" s="1559" t="str">
        <f t="shared" si="1"/>
        <v/>
      </c>
      <c r="I43" s="1560"/>
      <c r="J43" s="1560"/>
      <c r="K43" s="1560"/>
      <c r="L43" s="1561"/>
      <c r="M43" s="862"/>
      <c r="N43" s="686"/>
      <c r="O43" s="686"/>
      <c r="P43" s="861"/>
      <c r="Q43" s="854" t="s">
        <v>950</v>
      </c>
      <c r="R43" s="854"/>
      <c r="S43" s="686"/>
      <c r="T43" s="686"/>
      <c r="U43" s="686"/>
      <c r="V43" s="686"/>
      <c r="W43" s="686"/>
      <c r="X43" s="1626"/>
      <c r="Y43" s="1627"/>
      <c r="Z43" s="1272" t="s">
        <v>950</v>
      </c>
      <c r="AA43" s="686"/>
      <c r="AB43" s="686"/>
    </row>
    <row r="44" spans="1:28" ht="42" customHeight="1" thickBot="1">
      <c r="A44" s="769"/>
      <c r="B44" s="1270"/>
      <c r="C44" s="753"/>
      <c r="D44" s="753"/>
      <c r="E44" s="1266" t="str">
        <f t="shared" si="0"/>
        <v/>
      </c>
      <c r="F44" s="754"/>
      <c r="G44" s="897"/>
      <c r="H44" s="1559" t="str">
        <f t="shared" si="1"/>
        <v/>
      </c>
      <c r="I44" s="1560"/>
      <c r="J44" s="1560"/>
      <c r="K44" s="1560"/>
      <c r="L44" s="1561"/>
      <c r="M44" s="862"/>
      <c r="N44" s="686"/>
      <c r="O44" s="686"/>
      <c r="P44" s="773"/>
      <c r="Q44" s="854"/>
      <c r="R44" s="854"/>
      <c r="S44" s="686"/>
      <c r="T44" s="686"/>
      <c r="U44" s="686"/>
      <c r="V44" s="686"/>
      <c r="W44" s="686"/>
      <c r="X44" s="773"/>
      <c r="Y44" s="773"/>
      <c r="Z44" s="1272"/>
      <c r="AA44" s="686"/>
      <c r="AB44" s="686"/>
    </row>
    <row r="45" spans="1:28" ht="42" customHeight="1" thickBot="1">
      <c r="A45" s="769"/>
      <c r="B45" s="1270"/>
      <c r="C45" s="753"/>
      <c r="D45" s="753"/>
      <c r="E45" s="1266" t="str">
        <f t="shared" si="0"/>
        <v/>
      </c>
      <c r="F45" s="754"/>
      <c r="G45" s="897"/>
      <c r="H45" s="1559" t="str">
        <f t="shared" si="1"/>
        <v/>
      </c>
      <c r="I45" s="1560"/>
      <c r="J45" s="1560"/>
      <c r="K45" s="1560"/>
      <c r="L45" s="1561"/>
      <c r="M45" s="862"/>
      <c r="N45" s="1628" t="s">
        <v>951</v>
      </c>
      <c r="O45" s="1628"/>
      <c r="P45" s="1628"/>
      <c r="Q45" s="1628"/>
      <c r="R45" s="1628"/>
      <c r="S45" s="1628"/>
      <c r="T45" s="1628"/>
      <c r="U45" s="1628"/>
      <c r="V45" s="1628"/>
      <c r="W45" s="1628"/>
      <c r="X45" s="1628"/>
      <c r="Y45" s="686"/>
      <c r="Z45" s="1269"/>
      <c r="AA45" s="686"/>
      <c r="AB45" s="686"/>
    </row>
    <row r="46" spans="1:28" ht="42" customHeight="1" thickTop="1" thickBot="1">
      <c r="A46" s="769"/>
      <c r="B46" s="1270"/>
      <c r="C46" s="753"/>
      <c r="D46" s="753"/>
      <c r="E46" s="1266" t="str">
        <f t="shared" si="0"/>
        <v/>
      </c>
      <c r="F46" s="754"/>
      <c r="G46" s="897"/>
      <c r="H46" s="1559" t="str">
        <f t="shared" si="1"/>
        <v/>
      </c>
      <c r="I46" s="1560"/>
      <c r="J46" s="1560"/>
      <c r="K46" s="1560"/>
      <c r="L46" s="1561"/>
      <c r="M46" s="793"/>
      <c r="N46" s="1634" t="s">
        <v>756</v>
      </c>
      <c r="O46" s="1635"/>
      <c r="P46" s="1638" t="str">
        <f>IF(ISBLANK($X$37),"",$W$28-SUM($P$37+$P$42+$X$37+$X$40+$X$42)/5)</f>
        <v/>
      </c>
      <c r="Q46" s="1639"/>
      <c r="R46" s="1639"/>
      <c r="S46" s="1639"/>
      <c r="T46" s="1639"/>
      <c r="U46" s="1639"/>
      <c r="V46" s="1639"/>
      <c r="W46" s="1639"/>
      <c r="X46" s="1640"/>
      <c r="Y46" s="595"/>
      <c r="Z46" s="1269"/>
      <c r="AA46" s="686"/>
      <c r="AB46" s="686"/>
    </row>
    <row r="47" spans="1:28" ht="42" customHeight="1" thickBot="1">
      <c r="A47" s="769"/>
      <c r="B47" s="1270"/>
      <c r="C47" s="753"/>
      <c r="D47" s="753"/>
      <c r="E47" s="1266" t="str">
        <f t="shared" si="0"/>
        <v/>
      </c>
      <c r="F47" s="754"/>
      <c r="G47" s="897"/>
      <c r="H47" s="1559" t="str">
        <f t="shared" si="1"/>
        <v/>
      </c>
      <c r="I47" s="1560"/>
      <c r="J47" s="1560"/>
      <c r="K47" s="1560"/>
      <c r="L47" s="1561"/>
      <c r="M47" s="794"/>
      <c r="N47" s="1636"/>
      <c r="O47" s="1637"/>
      <c r="P47" s="1651"/>
      <c r="Q47" s="1651"/>
      <c r="R47" s="1651"/>
      <c r="S47" s="1651"/>
      <c r="T47" s="1651"/>
      <c r="U47" s="1651"/>
      <c r="V47" s="1651"/>
      <c r="W47" s="1651"/>
      <c r="X47" s="1652"/>
      <c r="Y47" s="595"/>
      <c r="Z47" s="1269"/>
      <c r="AA47" s="686"/>
      <c r="AB47" s="686"/>
    </row>
    <row r="48" spans="1:28" ht="42" customHeight="1" thickTop="1" thickBot="1">
      <c r="A48" s="769"/>
      <c r="B48" s="1270"/>
      <c r="C48" s="753"/>
      <c r="D48" s="753"/>
      <c r="E48" s="1266" t="str">
        <f t="shared" si="0"/>
        <v/>
      </c>
      <c r="F48" s="754"/>
      <c r="G48" s="897"/>
      <c r="H48" s="1559" t="str">
        <f t="shared" si="1"/>
        <v/>
      </c>
      <c r="I48" s="1560"/>
      <c r="J48" s="1560"/>
      <c r="K48" s="1560"/>
      <c r="L48" s="1561"/>
      <c r="M48" s="795"/>
      <c r="N48" s="1643" t="s">
        <v>757</v>
      </c>
      <c r="O48" s="1714"/>
      <c r="P48" s="1716" t="str">
        <f>IF(ISBLANK($X$37),"",($P$37+$P$42+$X$37+$X$40+$X$42)/5)</f>
        <v/>
      </c>
      <c r="Q48" s="1717"/>
      <c r="R48" s="1717"/>
      <c r="S48" s="1717"/>
      <c r="T48" s="1717"/>
      <c r="U48" s="1717"/>
      <c r="V48" s="1717"/>
      <c r="W48" s="1717"/>
      <c r="X48" s="1718"/>
      <c r="Y48" s="595"/>
      <c r="Z48" s="1269"/>
      <c r="AA48" s="686"/>
      <c r="AB48" s="686"/>
    </row>
    <row r="49" spans="1:28" ht="42" customHeight="1" thickBot="1">
      <c r="A49" s="769"/>
      <c r="B49" s="1270"/>
      <c r="C49" s="753"/>
      <c r="D49" s="753"/>
      <c r="E49" s="1266" t="str">
        <f t="shared" si="0"/>
        <v/>
      </c>
      <c r="F49" s="754"/>
      <c r="G49" s="897"/>
      <c r="H49" s="1559" t="str">
        <f t="shared" si="1"/>
        <v/>
      </c>
      <c r="I49" s="1560"/>
      <c r="J49" s="1560"/>
      <c r="K49" s="1560"/>
      <c r="L49" s="1561"/>
      <c r="M49" s="777"/>
      <c r="N49" s="1645"/>
      <c r="O49" s="1715"/>
      <c r="P49" s="1719"/>
      <c r="Q49" s="1719"/>
      <c r="R49" s="1719"/>
      <c r="S49" s="1719"/>
      <c r="T49" s="1719"/>
      <c r="U49" s="1719"/>
      <c r="V49" s="1719"/>
      <c r="W49" s="1719"/>
      <c r="X49" s="1720"/>
      <c r="Y49" s="595"/>
      <c r="Z49" s="1269"/>
      <c r="AA49" s="686"/>
      <c r="AB49" s="686"/>
    </row>
    <row r="50" spans="1:28" ht="42" customHeight="1" thickTop="1" thickBot="1">
      <c r="A50" s="769"/>
      <c r="B50" s="1270"/>
      <c r="C50" s="753"/>
      <c r="D50" s="753"/>
      <c r="E50" s="1266" t="str">
        <f t="shared" si="0"/>
        <v/>
      </c>
      <c r="F50" s="754"/>
      <c r="G50" s="897"/>
      <c r="H50" s="1559" t="str">
        <f t="shared" si="1"/>
        <v/>
      </c>
      <c r="I50" s="1560"/>
      <c r="J50" s="1560"/>
      <c r="K50" s="1560"/>
      <c r="L50" s="1561"/>
      <c r="M50" s="796"/>
      <c r="N50" s="1681" t="s">
        <v>758</v>
      </c>
      <c r="O50" s="1681"/>
      <c r="P50" s="1681"/>
      <c r="Q50" s="1681"/>
      <c r="R50" s="1681"/>
      <c r="S50" s="1681"/>
      <c r="T50" s="1681"/>
      <c r="U50" s="1681"/>
      <c r="V50" s="1681"/>
      <c r="W50" s="1681"/>
      <c r="X50" s="1681"/>
      <c r="Y50" s="1681"/>
      <c r="Z50" s="1682"/>
      <c r="AA50" s="686"/>
      <c r="AB50" s="686"/>
    </row>
    <row r="51" spans="1:28" ht="42" customHeight="1" thickBot="1">
      <c r="A51" s="769"/>
      <c r="B51" s="1270"/>
      <c r="C51" s="753"/>
      <c r="D51" s="753"/>
      <c r="E51" s="1266" t="str">
        <f t="shared" si="0"/>
        <v/>
      </c>
      <c r="F51" s="754"/>
      <c r="G51" s="897"/>
      <c r="H51" s="1559" t="str">
        <f t="shared" si="1"/>
        <v/>
      </c>
      <c r="I51" s="1560"/>
      <c r="J51" s="1560"/>
      <c r="K51" s="1560"/>
      <c r="L51" s="1561"/>
      <c r="M51" s="794"/>
      <c r="N51" s="1708"/>
      <c r="O51" s="1708"/>
      <c r="P51" s="1708"/>
      <c r="Q51" s="1708"/>
      <c r="R51" s="1708"/>
      <c r="S51" s="1708"/>
      <c r="T51" s="1708"/>
      <c r="U51" s="1708"/>
      <c r="V51" s="1708"/>
      <c r="W51" s="1708"/>
      <c r="X51" s="1708"/>
      <c r="Y51" s="1708"/>
      <c r="Z51" s="1709"/>
      <c r="AA51" s="686"/>
      <c r="AB51" s="686"/>
    </row>
    <row r="52" spans="1:28" ht="42" customHeight="1" thickBot="1">
      <c r="A52" s="769"/>
      <c r="B52" s="1270"/>
      <c r="C52" s="753"/>
      <c r="D52" s="753"/>
      <c r="E52" s="1266" t="str">
        <f t="shared" si="0"/>
        <v/>
      </c>
      <c r="F52" s="754"/>
      <c r="G52" s="897"/>
      <c r="H52" s="1559" t="str">
        <f t="shared" si="1"/>
        <v/>
      </c>
      <c r="I52" s="1560"/>
      <c r="J52" s="1560"/>
      <c r="K52" s="1560"/>
      <c r="L52" s="1561"/>
      <c r="M52" s="1710" t="s">
        <v>679</v>
      </c>
      <c r="N52" s="1711"/>
      <c r="O52" s="1711"/>
      <c r="P52" s="1711"/>
      <c r="Q52" s="1712"/>
      <c r="R52" s="1712"/>
      <c r="S52" s="1712"/>
      <c r="T52" s="1712"/>
      <c r="U52" s="1712"/>
      <c r="V52" s="1712"/>
      <c r="W52" s="1712"/>
      <c r="X52" s="1712"/>
      <c r="Y52" s="1712"/>
      <c r="Z52" s="1713"/>
      <c r="AA52" s="686"/>
      <c r="AB52" s="686"/>
    </row>
    <row r="53" spans="1:28" ht="42" customHeight="1" thickBot="1">
      <c r="A53" s="769"/>
      <c r="B53" s="1270"/>
      <c r="C53" s="753"/>
      <c r="D53" s="753"/>
      <c r="E53" s="1266" t="str">
        <f t="shared" si="0"/>
        <v/>
      </c>
      <c r="F53" s="754"/>
      <c r="G53" s="897"/>
      <c r="H53" s="1559" t="str">
        <f t="shared" si="1"/>
        <v/>
      </c>
      <c r="I53" s="1560"/>
      <c r="J53" s="1560"/>
      <c r="K53" s="1560"/>
      <c r="L53" s="1561"/>
      <c r="M53" s="1653"/>
      <c r="N53" s="1654"/>
      <c r="O53" s="1654"/>
      <c r="P53" s="1654"/>
      <c r="Q53" s="1654"/>
      <c r="R53" s="1654"/>
      <c r="S53" s="1654"/>
      <c r="T53" s="1654"/>
      <c r="U53" s="1654"/>
      <c r="V53" s="1654"/>
      <c r="W53" s="1654"/>
      <c r="X53" s="1654"/>
      <c r="Y53" s="1654"/>
      <c r="Z53" s="1655"/>
      <c r="AA53" s="686"/>
      <c r="AB53" s="686"/>
    </row>
    <row r="54" spans="1:28" ht="42" customHeight="1" thickBot="1">
      <c r="A54" s="769"/>
      <c r="B54" s="1270"/>
      <c r="C54" s="753"/>
      <c r="D54" s="753"/>
      <c r="E54" s="1266" t="str">
        <f t="shared" si="0"/>
        <v/>
      </c>
      <c r="F54" s="754"/>
      <c r="G54" s="897"/>
      <c r="H54" s="1559" t="str">
        <f t="shared" si="1"/>
        <v/>
      </c>
      <c r="I54" s="1560"/>
      <c r="J54" s="1560"/>
      <c r="K54" s="1560"/>
      <c r="L54" s="1561"/>
      <c r="M54" s="1656"/>
      <c r="N54" s="1657"/>
      <c r="O54" s="1657"/>
      <c r="P54" s="1657"/>
      <c r="Q54" s="1657"/>
      <c r="R54" s="1657"/>
      <c r="S54" s="1657"/>
      <c r="T54" s="1657"/>
      <c r="U54" s="1657"/>
      <c r="V54" s="1657"/>
      <c r="W54" s="1657"/>
      <c r="X54" s="1657"/>
      <c r="Y54" s="1657"/>
      <c r="Z54" s="1658"/>
      <c r="AA54" s="686"/>
      <c r="AB54" s="686"/>
    </row>
    <row r="55" spans="1:28" ht="42" customHeight="1" thickBot="1">
      <c r="A55" s="769"/>
      <c r="B55" s="1270"/>
      <c r="C55" s="753"/>
      <c r="D55" s="753"/>
      <c r="E55" s="1266" t="str">
        <f t="shared" si="0"/>
        <v/>
      </c>
      <c r="F55" s="754"/>
      <c r="G55" s="897"/>
      <c r="H55" s="1559" t="str">
        <f t="shared" si="1"/>
        <v/>
      </c>
      <c r="I55" s="1560"/>
      <c r="J55" s="1560"/>
      <c r="K55" s="1560"/>
      <c r="L55" s="1561"/>
      <c r="M55" s="1656"/>
      <c r="N55" s="1657"/>
      <c r="O55" s="1657"/>
      <c r="P55" s="1657"/>
      <c r="Q55" s="1657"/>
      <c r="R55" s="1657"/>
      <c r="S55" s="1657"/>
      <c r="T55" s="1657"/>
      <c r="U55" s="1657"/>
      <c r="V55" s="1657"/>
      <c r="W55" s="1657"/>
      <c r="X55" s="1657"/>
      <c r="Y55" s="1657"/>
      <c r="Z55" s="1658"/>
      <c r="AA55" s="686"/>
      <c r="AB55" s="686"/>
    </row>
    <row r="56" spans="1:28" ht="42" customHeight="1" thickBot="1">
      <c r="A56" s="769"/>
      <c r="B56" s="1270"/>
      <c r="C56" s="753"/>
      <c r="D56" s="753"/>
      <c r="E56" s="1266" t="str">
        <f t="shared" si="0"/>
        <v/>
      </c>
      <c r="F56" s="754"/>
      <c r="G56" s="897"/>
      <c r="H56" s="1559" t="str">
        <f t="shared" si="1"/>
        <v/>
      </c>
      <c r="I56" s="1560"/>
      <c r="J56" s="1560"/>
      <c r="K56" s="1560"/>
      <c r="L56" s="1561"/>
      <c r="M56" s="1656"/>
      <c r="N56" s="1657"/>
      <c r="O56" s="1657"/>
      <c r="P56" s="1657"/>
      <c r="Q56" s="1657"/>
      <c r="R56" s="1657"/>
      <c r="S56" s="1657"/>
      <c r="T56" s="1657"/>
      <c r="U56" s="1657"/>
      <c r="V56" s="1657"/>
      <c r="W56" s="1657"/>
      <c r="X56" s="1657"/>
      <c r="Y56" s="1657"/>
      <c r="Z56" s="1658"/>
      <c r="AA56" s="1265"/>
      <c r="AB56" s="686"/>
    </row>
    <row r="57" spans="1:28" ht="42" customHeight="1" thickBot="1">
      <c r="A57" s="769"/>
      <c r="B57" s="1270"/>
      <c r="C57" s="753"/>
      <c r="D57" s="753"/>
      <c r="E57" s="1266" t="str">
        <f t="shared" si="0"/>
        <v/>
      </c>
      <c r="F57" s="754"/>
      <c r="G57" s="897"/>
      <c r="H57" s="1559" t="str">
        <f t="shared" si="1"/>
        <v/>
      </c>
      <c r="I57" s="1560"/>
      <c r="J57" s="1560"/>
      <c r="K57" s="1560"/>
      <c r="L57" s="1561"/>
      <c r="M57" s="1656"/>
      <c r="N57" s="1657"/>
      <c r="O57" s="1657"/>
      <c r="P57" s="1657"/>
      <c r="Q57" s="1657"/>
      <c r="R57" s="1657"/>
      <c r="S57" s="1657"/>
      <c r="T57" s="1657"/>
      <c r="U57" s="1657"/>
      <c r="V57" s="1657"/>
      <c r="W57" s="1657"/>
      <c r="X57" s="1657"/>
      <c r="Y57" s="1657"/>
      <c r="Z57" s="1658"/>
      <c r="AA57" s="686"/>
      <c r="AB57" s="686"/>
    </row>
    <row r="58" spans="1:28" ht="42" customHeight="1" thickBot="1">
      <c r="A58" s="769"/>
      <c r="B58" s="1270"/>
      <c r="C58" s="753"/>
      <c r="D58" s="753"/>
      <c r="E58" s="1266" t="str">
        <f t="shared" si="0"/>
        <v/>
      </c>
      <c r="F58" s="754"/>
      <c r="G58" s="897"/>
      <c r="H58" s="1559" t="str">
        <f t="shared" si="1"/>
        <v/>
      </c>
      <c r="I58" s="1560"/>
      <c r="J58" s="1560"/>
      <c r="K58" s="1560"/>
      <c r="L58" s="1561"/>
      <c r="M58" s="1656"/>
      <c r="N58" s="1657"/>
      <c r="O58" s="1657"/>
      <c r="P58" s="1657"/>
      <c r="Q58" s="1657"/>
      <c r="R58" s="1657"/>
      <c r="S58" s="1657"/>
      <c r="T58" s="1657"/>
      <c r="U58" s="1657"/>
      <c r="V58" s="1657"/>
      <c r="W58" s="1657"/>
      <c r="X58" s="1657"/>
      <c r="Y58" s="1657"/>
      <c r="Z58" s="1658"/>
      <c r="AA58" s="686"/>
      <c r="AB58" s="686"/>
    </row>
    <row r="59" spans="1:28" ht="42" customHeight="1" thickBot="1">
      <c r="A59" s="769"/>
      <c r="B59" s="1270"/>
      <c r="C59" s="753"/>
      <c r="D59" s="753"/>
      <c r="E59" s="1266" t="str">
        <f t="shared" si="0"/>
        <v/>
      </c>
      <c r="F59" s="754"/>
      <c r="G59" s="897"/>
      <c r="H59" s="1559" t="str">
        <f t="shared" si="1"/>
        <v/>
      </c>
      <c r="I59" s="1560"/>
      <c r="J59" s="1560"/>
      <c r="K59" s="1560"/>
      <c r="L59" s="1561"/>
      <c r="M59" s="1659"/>
      <c r="N59" s="1660"/>
      <c r="O59" s="1660"/>
      <c r="P59" s="1660"/>
      <c r="Q59" s="1660"/>
      <c r="R59" s="1660"/>
      <c r="S59" s="1660"/>
      <c r="T59" s="1660"/>
      <c r="U59" s="1660"/>
      <c r="V59" s="1660"/>
      <c r="W59" s="1660"/>
      <c r="X59" s="1660"/>
      <c r="Y59" s="1660"/>
      <c r="Z59" s="1661"/>
      <c r="AA59" s="686"/>
      <c r="AB59" s="686"/>
    </row>
    <row r="60" spans="1:28" ht="39.9" customHeight="1" thickTop="1" thickBot="1">
      <c r="A60" s="769"/>
      <c r="B60" s="1675" t="s">
        <v>759</v>
      </c>
      <c r="C60" s="1574"/>
      <c r="D60" s="864"/>
      <c r="E60" s="1267" t="s">
        <v>677</v>
      </c>
      <c r="F60" s="757"/>
      <c r="G60" s="757"/>
      <c r="H60" s="757" t="s">
        <v>760</v>
      </c>
      <c r="I60" s="1676"/>
      <c r="J60" s="1677"/>
      <c r="K60" s="1677"/>
      <c r="L60" s="1677"/>
      <c r="M60" s="1677"/>
      <c r="N60" s="1677"/>
      <c r="O60" s="803"/>
      <c r="P60" s="866"/>
      <c r="Q60" s="1668" t="s">
        <v>761</v>
      </c>
      <c r="R60" s="1668"/>
      <c r="S60" s="765"/>
      <c r="T60" s="765"/>
      <c r="U60" s="765"/>
      <c r="V60" s="1670"/>
      <c r="W60" s="1671"/>
      <c r="X60" s="1668" t="s">
        <v>762</v>
      </c>
      <c r="Y60" s="1669"/>
      <c r="Z60" s="1269"/>
      <c r="AA60" s="686"/>
      <c r="AB60" s="686"/>
    </row>
    <row r="61" spans="1:28" ht="36.75" customHeight="1" thickTop="1" thickBot="1">
      <c r="A61" s="769"/>
      <c r="B61" s="1274"/>
      <c r="C61" s="686"/>
      <c r="D61" s="865"/>
      <c r="E61" s="757" t="s">
        <v>678</v>
      </c>
      <c r="F61" s="757"/>
      <c r="G61" s="757"/>
      <c r="H61" s="757" t="s">
        <v>763</v>
      </c>
      <c r="I61" s="1678"/>
      <c r="J61" s="1678"/>
      <c r="K61" s="1678"/>
      <c r="L61" s="1678"/>
      <c r="M61" s="1678"/>
      <c r="N61" s="1678"/>
      <c r="O61" s="757"/>
      <c r="P61" s="855" t="s">
        <v>705</v>
      </c>
      <c r="Q61" s="1672"/>
      <c r="R61" s="1673"/>
      <c r="S61" s="1679" t="s">
        <v>683</v>
      </c>
      <c r="T61" s="1680"/>
      <c r="U61" s="855"/>
      <c r="V61" s="1672"/>
      <c r="W61" s="1673"/>
      <c r="X61" s="1674"/>
      <c r="Y61" s="798"/>
      <c r="Z61" s="1269"/>
      <c r="AA61" s="686"/>
      <c r="AB61" s="686"/>
    </row>
    <row r="62" spans="1:28" ht="29.25" customHeight="1" thickTop="1" thickBot="1">
      <c r="A62" s="769"/>
      <c r="B62" s="1275"/>
      <c r="C62" s="1276"/>
      <c r="D62" s="1277"/>
      <c r="E62" s="1276"/>
      <c r="F62" s="1276"/>
      <c r="G62" s="1276"/>
      <c r="H62" s="1276"/>
      <c r="I62" s="1276"/>
      <c r="J62" s="1276"/>
      <c r="K62" s="1276"/>
      <c r="L62" s="1276"/>
      <c r="M62" s="1276"/>
      <c r="N62" s="1276"/>
      <c r="O62" s="1276"/>
      <c r="P62" s="1276"/>
      <c r="Q62" s="1276"/>
      <c r="R62" s="1276"/>
      <c r="S62" s="1276"/>
      <c r="T62" s="1276"/>
      <c r="U62" s="1276"/>
      <c r="V62" s="1276"/>
      <c r="W62" s="1276"/>
      <c r="X62" s="1276"/>
      <c r="Y62" s="1276"/>
      <c r="Z62" s="1278"/>
      <c r="AA62" s="686"/>
      <c r="AB62" s="686"/>
    </row>
    <row r="63" spans="1:28" ht="21.6" thickTop="1">
      <c r="A63" s="769"/>
      <c r="B63" s="686"/>
      <c r="C63" s="686"/>
      <c r="D63" s="686"/>
      <c r="E63" s="686"/>
      <c r="F63" s="686"/>
      <c r="G63" s="686"/>
      <c r="H63" s="686"/>
      <c r="I63" s="686"/>
      <c r="J63" s="686"/>
      <c r="K63" s="686"/>
      <c r="L63" s="686"/>
      <c r="M63" s="686"/>
      <c r="N63" s="686"/>
      <c r="O63" s="686"/>
      <c r="P63" s="686"/>
      <c r="Q63" s="686"/>
      <c r="R63" s="686"/>
      <c r="S63" s="686"/>
      <c r="T63" s="686"/>
      <c r="U63" s="686"/>
      <c r="V63" s="686"/>
      <c r="W63" s="686"/>
      <c r="X63" s="686"/>
      <c r="Y63" s="686"/>
      <c r="Z63" s="686"/>
      <c r="AA63" s="686"/>
      <c r="AB63" s="686"/>
    </row>
    <row r="67" spans="12:28" ht="21.6" thickBot="1"/>
    <row r="68" spans="12:28">
      <c r="O68" s="1541"/>
      <c r="P68" s="1542"/>
      <c r="Q68" s="1542"/>
      <c r="R68" s="1542"/>
      <c r="S68" s="1542"/>
      <c r="T68" s="1542"/>
      <c r="U68" s="1542"/>
      <c r="V68" s="1542"/>
      <c r="W68" s="1542"/>
      <c r="X68" s="1542"/>
      <c r="Y68" s="1542"/>
      <c r="Z68" s="1542"/>
      <c r="AA68" s="1542"/>
      <c r="AB68" s="1543"/>
    </row>
    <row r="69" spans="12:28">
      <c r="O69" s="1544" t="s">
        <v>959</v>
      </c>
      <c r="P69" s="1545"/>
      <c r="Q69" s="1545"/>
      <c r="R69" s="1545"/>
      <c r="S69" s="1545"/>
      <c r="T69" s="1545"/>
      <c r="U69" s="1545"/>
      <c r="V69" s="1545"/>
      <c r="W69" s="1545"/>
      <c r="X69" s="1545"/>
      <c r="Y69" s="1545"/>
      <c r="Z69" s="1545"/>
      <c r="AA69" s="1545"/>
      <c r="AB69" s="1546"/>
    </row>
    <row r="70" spans="12:28" ht="21.6" thickBot="1">
      <c r="O70" s="1547"/>
      <c r="P70" s="1548"/>
      <c r="Q70" s="1548"/>
      <c r="R70" s="1548"/>
      <c r="S70" s="1548"/>
      <c r="T70" s="1548"/>
      <c r="U70" s="1548"/>
      <c r="V70" s="1548"/>
      <c r="W70" s="1548"/>
      <c r="X70" s="1548"/>
      <c r="Y70" s="1548"/>
      <c r="Z70" s="1548"/>
      <c r="AA70" s="1548"/>
      <c r="AB70" s="1549"/>
    </row>
    <row r="71" spans="12:28" ht="29.4" thickBot="1">
      <c r="L71" s="1663"/>
      <c r="M71" s="1663"/>
      <c r="N71" s="1664"/>
      <c r="O71" s="1550">
        <v>1</v>
      </c>
      <c r="P71" s="1551"/>
      <c r="Q71" s="1552" t="str">
        <f>IF('DS Log Pg 1'!Q72="","",'DS Log Pg 1'!Q72:X72)</f>
        <v/>
      </c>
      <c r="R71" s="1684"/>
      <c r="S71" s="1684"/>
      <c r="T71" s="1684"/>
      <c r="U71" s="1684"/>
      <c r="V71" s="1684"/>
      <c r="W71" s="1684"/>
      <c r="X71" s="1684"/>
      <c r="Y71" s="1684"/>
      <c r="Z71" s="1684"/>
      <c r="AA71" s="1684"/>
      <c r="AB71" s="1554"/>
    </row>
    <row r="72" spans="12:28" ht="29.4" thickBot="1">
      <c r="O72" s="1570">
        <v>2</v>
      </c>
      <c r="P72" s="1571"/>
      <c r="Q72" s="1552" t="str">
        <f>IF('DS Log Pg 1'!Q73="","",'DS Log Pg 1'!Q73:X73)</f>
        <v/>
      </c>
      <c r="R72" s="1684"/>
      <c r="S72" s="1684"/>
      <c r="T72" s="1684"/>
      <c r="U72" s="1684"/>
      <c r="V72" s="1684"/>
      <c r="W72" s="1684"/>
      <c r="X72" s="1684"/>
      <c r="Y72" s="1684"/>
      <c r="Z72" s="1684"/>
      <c r="AA72" s="1684"/>
      <c r="AB72" s="1554"/>
    </row>
    <row r="73" spans="12:28" ht="29.4" thickBot="1">
      <c r="O73" s="1570">
        <v>3</v>
      </c>
      <c r="P73" s="1571"/>
      <c r="Q73" s="1552" t="str">
        <f>IF('DS Log Pg 1'!Q74="","",'DS Log Pg 1'!Q74:X74)</f>
        <v/>
      </c>
      <c r="R73" s="1684"/>
      <c r="S73" s="1684"/>
      <c r="T73" s="1684"/>
      <c r="U73" s="1684"/>
      <c r="V73" s="1684"/>
      <c r="W73" s="1684"/>
      <c r="X73" s="1684"/>
      <c r="Y73" s="1684"/>
      <c r="Z73" s="1684"/>
      <c r="AA73" s="1684"/>
      <c r="AB73" s="1554"/>
    </row>
    <row r="74" spans="12:28" ht="29.4" thickBot="1">
      <c r="O74" s="1570">
        <v>4</v>
      </c>
      <c r="P74" s="1571"/>
      <c r="Q74" s="1552" t="str">
        <f>IF('DS Log Pg 1'!Q75="","",'DS Log Pg 1'!Q75:X75)</f>
        <v/>
      </c>
      <c r="R74" s="1684"/>
      <c r="S74" s="1684"/>
      <c r="T74" s="1684"/>
      <c r="U74" s="1684"/>
      <c r="V74" s="1684"/>
      <c r="W74" s="1684"/>
      <c r="X74" s="1684"/>
      <c r="Y74" s="1684"/>
      <c r="Z74" s="1684"/>
      <c r="AA74" s="1684"/>
      <c r="AB74" s="1554"/>
    </row>
    <row r="75" spans="12:28" ht="29.4" thickBot="1">
      <c r="O75" s="1570">
        <v>5</v>
      </c>
      <c r="P75" s="1571"/>
      <c r="Q75" s="1552" t="str">
        <f>IF('DS Log Pg 1'!Q76="","",'DS Log Pg 1'!Q76:X76)</f>
        <v/>
      </c>
      <c r="R75" s="1684"/>
      <c r="S75" s="1684"/>
      <c r="T75" s="1684"/>
      <c r="U75" s="1684"/>
      <c r="V75" s="1684"/>
      <c r="W75" s="1684"/>
      <c r="X75" s="1684"/>
      <c r="Y75" s="1684"/>
      <c r="Z75" s="1684"/>
      <c r="AA75" s="1684"/>
      <c r="AB75" s="1554"/>
    </row>
    <row r="76" spans="12:28" ht="29.4" thickBot="1">
      <c r="O76" s="1570">
        <v>6</v>
      </c>
      <c r="P76" s="1571"/>
      <c r="Q76" s="1552" t="str">
        <f>IF('DS Log Pg 1'!Q77="","",'DS Log Pg 1'!Q77:X77)</f>
        <v/>
      </c>
      <c r="R76" s="1684"/>
      <c r="S76" s="1684"/>
      <c r="T76" s="1684"/>
      <c r="U76" s="1684"/>
      <c r="V76" s="1684"/>
      <c r="W76" s="1684"/>
      <c r="X76" s="1684"/>
      <c r="Y76" s="1684"/>
      <c r="Z76" s="1684"/>
      <c r="AA76" s="1684"/>
      <c r="AB76" s="1554"/>
    </row>
    <row r="77" spans="12:28" ht="29.4" thickBot="1">
      <c r="O77" s="1570">
        <v>7</v>
      </c>
      <c r="P77" s="1571"/>
      <c r="Q77" s="1552" t="str">
        <f>IF('DS Log Pg 1'!Q78="","",'DS Log Pg 1'!Q78:X78)</f>
        <v/>
      </c>
      <c r="R77" s="1684"/>
      <c r="S77" s="1684"/>
      <c r="T77" s="1684"/>
      <c r="U77" s="1684"/>
      <c r="V77" s="1684"/>
      <c r="W77" s="1684"/>
      <c r="X77" s="1684"/>
      <c r="Y77" s="1684"/>
      <c r="Z77" s="1684"/>
      <c r="AA77" s="1684"/>
      <c r="AB77" s="1554"/>
    </row>
    <row r="78" spans="12:28" ht="29.4" thickBot="1">
      <c r="O78" s="1570">
        <v>8</v>
      </c>
      <c r="P78" s="1571"/>
      <c r="Q78" s="1552" t="str">
        <f>IF('DS Log Pg 1'!Q79="","",'DS Log Pg 1'!Q79:X79)</f>
        <v/>
      </c>
      <c r="R78" s="1684"/>
      <c r="S78" s="1684"/>
      <c r="T78" s="1684"/>
      <c r="U78" s="1684"/>
      <c r="V78" s="1684"/>
      <c r="W78" s="1684"/>
      <c r="X78" s="1684"/>
      <c r="Y78" s="1684"/>
      <c r="Z78" s="1684"/>
      <c r="AA78" s="1684"/>
      <c r="AB78" s="1554"/>
    </row>
    <row r="79" spans="12:28" ht="29.4" thickBot="1">
      <c r="O79" s="1570">
        <v>9</v>
      </c>
      <c r="P79" s="1571"/>
      <c r="Q79" s="1552" t="str">
        <f>IF('DS Log Pg 1'!Q80="","",'DS Log Pg 1'!Q80:X80)</f>
        <v/>
      </c>
      <c r="R79" s="1684"/>
      <c r="S79" s="1684"/>
      <c r="T79" s="1684"/>
      <c r="U79" s="1684"/>
      <c r="V79" s="1684"/>
      <c r="W79" s="1684"/>
      <c r="X79" s="1684"/>
      <c r="Y79" s="1684"/>
      <c r="Z79" s="1684"/>
      <c r="AA79" s="1684"/>
      <c r="AB79" s="1554"/>
    </row>
    <row r="80" spans="12:28" ht="29.4" thickBot="1">
      <c r="O80" s="1583">
        <v>10</v>
      </c>
      <c r="P80" s="1584"/>
      <c r="Q80" s="1585" t="str">
        <f>IF('DS Log Pg 1'!Q81="","",'DS Log Pg 1'!Q81:X81)</f>
        <v/>
      </c>
      <c r="R80" s="1586"/>
      <c r="S80" s="1586"/>
      <c r="T80" s="1586"/>
      <c r="U80" s="1586"/>
      <c r="V80" s="1586"/>
      <c r="W80" s="1586"/>
      <c r="X80" s="1586"/>
      <c r="Y80" s="1586"/>
      <c r="Z80" s="1586"/>
      <c r="AA80" s="1586"/>
      <c r="AB80" s="1587"/>
    </row>
  </sheetData>
  <sheetProtection algorithmName="SHA-512" hashValue="eJR+St5G8nsSIa+ve+2jcYr2CDJREF+Lq+e3oq84grD+sF8jgDPaRHtmr15QjBlQolEEOwGGEQPG7oZxYbTgqQ==" saltValue="XyPrFfEsu+MDADaniPdAmA==" spinCount="100000" sheet="1" selectLockedCells="1"/>
  <mergeCells count="160">
    <mergeCell ref="L71:N71"/>
    <mergeCell ref="B60:C60"/>
    <mergeCell ref="I60:N60"/>
    <mergeCell ref="Q60:R60"/>
    <mergeCell ref="V60:W60"/>
    <mergeCell ref="X60:Y60"/>
    <mergeCell ref="H56:L56"/>
    <mergeCell ref="H57:L57"/>
    <mergeCell ref="H58:L58"/>
    <mergeCell ref="O68:AB68"/>
    <mergeCell ref="O69:AB70"/>
    <mergeCell ref="O71:P71"/>
    <mergeCell ref="Q71:AB71"/>
    <mergeCell ref="H53:L53"/>
    <mergeCell ref="H54:L54"/>
    <mergeCell ref="H55:L55"/>
    <mergeCell ref="M53:Z59"/>
    <mergeCell ref="I61:N61"/>
    <mergeCell ref="Q61:R61"/>
    <mergeCell ref="S61:T61"/>
    <mergeCell ref="V61:X61"/>
    <mergeCell ref="H59:L59"/>
    <mergeCell ref="H50:L50"/>
    <mergeCell ref="N50:Z51"/>
    <mergeCell ref="H51:L51"/>
    <mergeCell ref="H52:L52"/>
    <mergeCell ref="M52:P52"/>
    <mergeCell ref="Q52:Z52"/>
    <mergeCell ref="H46:L46"/>
    <mergeCell ref="N46:O47"/>
    <mergeCell ref="P46:X47"/>
    <mergeCell ref="H47:L47"/>
    <mergeCell ref="H48:L48"/>
    <mergeCell ref="N48:O49"/>
    <mergeCell ref="P48:X49"/>
    <mergeCell ref="H49:L49"/>
    <mergeCell ref="H42:L42"/>
    <mergeCell ref="X42:Y42"/>
    <mergeCell ref="H43:L43"/>
    <mergeCell ref="X43:Y43"/>
    <mergeCell ref="H44:L44"/>
    <mergeCell ref="H45:L45"/>
    <mergeCell ref="N45:X45"/>
    <mergeCell ref="H38:L38"/>
    <mergeCell ref="X38:Y38"/>
    <mergeCell ref="H39:L39"/>
    <mergeCell ref="H40:L40"/>
    <mergeCell ref="X40:Y40"/>
    <mergeCell ref="H41:L41"/>
    <mergeCell ref="X41:Y41"/>
    <mergeCell ref="H34:L34"/>
    <mergeCell ref="N34:Z34"/>
    <mergeCell ref="H35:L35"/>
    <mergeCell ref="H36:L36"/>
    <mergeCell ref="H37:L37"/>
    <mergeCell ref="X37:Y37"/>
    <mergeCell ref="H31:L31"/>
    <mergeCell ref="H32:L32"/>
    <mergeCell ref="N32:O32"/>
    <mergeCell ref="P32:X32"/>
    <mergeCell ref="H33:L33"/>
    <mergeCell ref="N33:O33"/>
    <mergeCell ref="P33:X33"/>
    <mergeCell ref="H28:L28"/>
    <mergeCell ref="O28:P28"/>
    <mergeCell ref="Y28:Z28"/>
    <mergeCell ref="H29:L29"/>
    <mergeCell ref="O29:P29"/>
    <mergeCell ref="H30:L30"/>
    <mergeCell ref="O30:P30"/>
    <mergeCell ref="H23:L23"/>
    <mergeCell ref="N23:Q23"/>
    <mergeCell ref="S23:X23"/>
    <mergeCell ref="H24:L24"/>
    <mergeCell ref="N24:Z24"/>
    <mergeCell ref="H25:L25"/>
    <mergeCell ref="Q25:V28"/>
    <mergeCell ref="H26:L26"/>
    <mergeCell ref="H27:L27"/>
    <mergeCell ref="N27:P27"/>
    <mergeCell ref="W28:X28"/>
    <mergeCell ref="H19:L19"/>
    <mergeCell ref="H20:L20"/>
    <mergeCell ref="N20:Z20"/>
    <mergeCell ref="H21:L21"/>
    <mergeCell ref="N21:Z21"/>
    <mergeCell ref="H22:L22"/>
    <mergeCell ref="P22:X22"/>
    <mergeCell ref="H16:L16"/>
    <mergeCell ref="N16:Z16"/>
    <mergeCell ref="H17:L17"/>
    <mergeCell ref="N17:O17"/>
    <mergeCell ref="H18:L18"/>
    <mergeCell ref="N18:O18"/>
    <mergeCell ref="Q18:R18"/>
    <mergeCell ref="S18:T18"/>
    <mergeCell ref="V18:X18"/>
    <mergeCell ref="Y18:Z18"/>
    <mergeCell ref="H13:L13"/>
    <mergeCell ref="N13:P13"/>
    <mergeCell ref="R13:S13"/>
    <mergeCell ref="X13:Y13"/>
    <mergeCell ref="H14:L14"/>
    <mergeCell ref="H15:L15"/>
    <mergeCell ref="N15:Z15"/>
    <mergeCell ref="H11:L11"/>
    <mergeCell ref="N11:P11"/>
    <mergeCell ref="R11:S11"/>
    <mergeCell ref="X11:Y11"/>
    <mergeCell ref="H12:L12"/>
    <mergeCell ref="N12:P12"/>
    <mergeCell ref="R12:S12"/>
    <mergeCell ref="X12:Y12"/>
    <mergeCell ref="H10:L10"/>
    <mergeCell ref="N10:P10"/>
    <mergeCell ref="R10:S10"/>
    <mergeCell ref="X10:Y10"/>
    <mergeCell ref="B7:B8"/>
    <mergeCell ref="C7:D7"/>
    <mergeCell ref="E7:E8"/>
    <mergeCell ref="F7:F8"/>
    <mergeCell ref="H7:L8"/>
    <mergeCell ref="N7:Z7"/>
    <mergeCell ref="N8:P8"/>
    <mergeCell ref="R8:S8"/>
    <mergeCell ref="G7:G8"/>
    <mergeCell ref="X1:Z1"/>
    <mergeCell ref="W2:Z2"/>
    <mergeCell ref="C3:W3"/>
    <mergeCell ref="B4:Z4"/>
    <mergeCell ref="Q5:S5"/>
    <mergeCell ref="T5:V5"/>
    <mergeCell ref="H9:L9"/>
    <mergeCell ref="N9:P9"/>
    <mergeCell ref="R9:S9"/>
    <mergeCell ref="X9:Y9"/>
    <mergeCell ref="Y3:Z3"/>
    <mergeCell ref="X5:Y5"/>
    <mergeCell ref="A2:V2"/>
    <mergeCell ref="I5:J5"/>
    <mergeCell ref="L5:N5"/>
    <mergeCell ref="AW28:AX28"/>
    <mergeCell ref="O72:P72"/>
    <mergeCell ref="Q72:AB72"/>
    <mergeCell ref="O73:P73"/>
    <mergeCell ref="Q73:AB73"/>
    <mergeCell ref="O74:P74"/>
    <mergeCell ref="Q74:AB74"/>
    <mergeCell ref="O80:P80"/>
    <mergeCell ref="Q80:AB80"/>
    <mergeCell ref="O75:P75"/>
    <mergeCell ref="Q75:AB75"/>
    <mergeCell ref="O76:P76"/>
    <mergeCell ref="Q76:AB76"/>
    <mergeCell ref="O77:P77"/>
    <mergeCell ref="Q77:AB77"/>
    <mergeCell ref="O78:P78"/>
    <mergeCell ref="Q78:AB78"/>
    <mergeCell ref="O79:P79"/>
    <mergeCell ref="Q79:AB79"/>
  </mergeCells>
  <conditionalFormatting sqref="I5:J5">
    <cfRule type="expression" dxfId="139" priority="3">
      <formula>$I$5=0</formula>
    </cfRule>
  </conditionalFormatting>
  <conditionalFormatting sqref="L5">
    <cfRule type="expression" dxfId="138" priority="2">
      <formula>$I$5=0</formula>
    </cfRule>
  </conditionalFormatting>
  <conditionalFormatting sqref="W28:X28">
    <cfRule type="expression" dxfId="137" priority="1">
      <formula>AND((AZ28)&lt;&gt;(W28),(AZ29)&lt;&gt;(W28))</formula>
    </cfRule>
  </conditionalFormatting>
  <dataValidations count="1">
    <dataValidation type="list" allowBlank="1" showInputMessage="1" showErrorMessage="1" sqref="G9:G59" xr:uid="{00000000-0002-0000-0300-000000000000}">
      <formula1>$O$71:$O$81</formula1>
    </dataValidation>
  </dataValidations>
  <printOptions horizontalCentered="1"/>
  <pageMargins left="0.25" right="0.25" top="0.5" bottom="0.5" header="0" footer="0"/>
  <pageSetup scale="29" orientation="portrait" r:id="rId1"/>
  <drawing r:id="rId2"/>
  <extLst>
    <ext xmlns:x14="http://schemas.microsoft.com/office/spreadsheetml/2009/9/main" uri="{CCE6A557-97BC-4b89-ADB6-D9C93CAAB3DF}">
      <x14:dataValidations xmlns:xm="http://schemas.microsoft.com/office/excel/2006/main" count="2">
        <x14:dataValidation type="list" showInputMessage="1" xr:uid="{00000000-0002-0000-0300-000001000000}">
          <x14:formula1>
            <xm:f>List!$F$12:$F$16</xm:f>
          </x14:formula1>
          <xm:sqref>T5:V5</xm:sqref>
        </x14:dataValidation>
        <x14:dataValidation type="list" showInputMessage="1" xr:uid="{00000000-0002-0000-0300-000002000000}">
          <x14:formula1>
            <xm:f>List!$F$37:$F$43</xm:f>
          </x14:formula1>
          <xm:sqref>X5:Y5</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tabColor rgb="FF0000FF"/>
    <pageSetUpPr fitToPage="1"/>
  </sheetPr>
  <dimension ref="A1:BA80"/>
  <sheetViews>
    <sheetView zoomScale="40" zoomScaleNormal="40" workbookViewId="0">
      <selection activeCell="B9" sqref="B9"/>
    </sheetView>
  </sheetViews>
  <sheetFormatPr defaultColWidth="9.109375" defaultRowHeight="21"/>
  <cols>
    <col min="1" max="1" width="8.109375" style="802" customWidth="1"/>
    <col min="2" max="3" width="22.44140625" style="786" customWidth="1"/>
    <col min="4" max="4" width="21.33203125" style="786" customWidth="1"/>
    <col min="5" max="6" width="15.6640625" style="786" customWidth="1"/>
    <col min="7" max="7" width="6.6640625" style="786" customWidth="1"/>
    <col min="8" max="9" width="21.33203125" style="786" customWidth="1"/>
    <col min="10" max="10" width="11.33203125" style="786" customWidth="1"/>
    <col min="11" max="11" width="46" style="786" customWidth="1"/>
    <col min="12" max="12" width="13.88671875" style="786" customWidth="1"/>
    <col min="13" max="13" width="1.6640625" style="786" customWidth="1"/>
    <col min="14" max="14" width="22.6640625" style="786" customWidth="1"/>
    <col min="15" max="15" width="7" style="786" customWidth="1"/>
    <col min="16" max="16" width="15.33203125" style="786" customWidth="1"/>
    <col min="17" max="17" width="8.88671875" style="786" customWidth="1"/>
    <col min="18" max="18" width="8.44140625" style="786" customWidth="1"/>
    <col min="19" max="19" width="8.33203125" style="786" customWidth="1"/>
    <col min="20" max="20" width="7" style="786" customWidth="1"/>
    <col min="21" max="21" width="2.44140625" style="786" customWidth="1"/>
    <col min="22" max="22" width="5.88671875" style="786" customWidth="1"/>
    <col min="23" max="23" width="6.6640625" style="786" customWidth="1"/>
    <col min="24" max="24" width="10.6640625" style="786" customWidth="1"/>
    <col min="25" max="25" width="5.33203125" style="786" customWidth="1"/>
    <col min="26" max="26" width="6.33203125" style="786" customWidth="1"/>
    <col min="27" max="27" width="3.109375" style="786" customWidth="1"/>
    <col min="28" max="28" width="21.33203125" style="786" customWidth="1"/>
  </cols>
  <sheetData>
    <row r="1" spans="1:37" ht="21.9" customHeight="1">
      <c r="A1" s="764"/>
      <c r="B1" s="597"/>
      <c r="C1" s="597"/>
      <c r="D1" s="597"/>
      <c r="E1" s="597"/>
      <c r="F1" s="597"/>
      <c r="G1" s="597"/>
      <c r="H1" s="597"/>
      <c r="I1" s="598"/>
      <c r="J1" s="597"/>
      <c r="K1" s="597"/>
      <c r="L1" s="597"/>
      <c r="M1" s="597"/>
      <c r="N1" s="597"/>
      <c r="O1" s="597"/>
      <c r="P1" s="597"/>
      <c r="Q1" s="597"/>
      <c r="R1" s="597"/>
      <c r="S1" s="597"/>
      <c r="T1" s="597"/>
      <c r="U1" s="597"/>
      <c r="V1" s="597"/>
      <c r="W1" s="597"/>
      <c r="X1" s="1588" t="str">
        <f>'DS Log Pg 1'!U1</f>
        <v>700-010-84</v>
      </c>
      <c r="Y1" s="1588"/>
      <c r="Z1" s="1588"/>
      <c r="AA1" s="598"/>
      <c r="AB1" s="595"/>
    </row>
    <row r="2" spans="1:37" ht="21.9" customHeight="1">
      <c r="A2" s="1591" t="s">
        <v>724</v>
      </c>
      <c r="B2" s="1591"/>
      <c r="C2" s="1591"/>
      <c r="D2" s="1591"/>
      <c r="E2" s="1591"/>
      <c r="F2" s="1591"/>
      <c r="G2" s="1591"/>
      <c r="H2" s="1591"/>
      <c r="I2" s="1591"/>
      <c r="J2" s="1591"/>
      <c r="K2" s="1591"/>
      <c r="L2" s="1591"/>
      <c r="M2" s="1591"/>
      <c r="N2" s="1591"/>
      <c r="O2" s="1591"/>
      <c r="P2" s="1591"/>
      <c r="Q2" s="1591"/>
      <c r="R2" s="1591"/>
      <c r="S2" s="1591"/>
      <c r="T2" s="1591"/>
      <c r="U2" s="1591"/>
      <c r="V2" s="1591"/>
      <c r="W2" s="1589" t="s">
        <v>8</v>
      </c>
      <c r="X2" s="1590"/>
      <c r="Y2" s="1590"/>
      <c r="Z2" s="1590"/>
      <c r="AA2" s="595"/>
      <c r="AB2" s="595"/>
    </row>
    <row r="3" spans="1:37" ht="21.9" customHeight="1">
      <c r="A3" s="764"/>
      <c r="B3" s="751"/>
      <c r="C3" s="1591" t="s">
        <v>725</v>
      </c>
      <c r="D3" s="1591"/>
      <c r="E3" s="1591"/>
      <c r="F3" s="1591"/>
      <c r="G3" s="1591"/>
      <c r="H3" s="1591"/>
      <c r="I3" s="1591"/>
      <c r="J3" s="1591"/>
      <c r="K3" s="1591"/>
      <c r="L3" s="1591"/>
      <c r="M3" s="1591"/>
      <c r="N3" s="1591"/>
      <c r="O3" s="1591"/>
      <c r="P3" s="1591"/>
      <c r="Q3" s="1591"/>
      <c r="R3" s="1591"/>
      <c r="S3" s="1591"/>
      <c r="T3" s="1591"/>
      <c r="U3" s="1591"/>
      <c r="V3" s="1591"/>
      <c r="W3" s="1591"/>
      <c r="X3" s="889"/>
      <c r="Y3" s="1685">
        <f>'DS Log Pg 2'!Y3:Z3</f>
        <v>45222</v>
      </c>
      <c r="Z3" s="1685"/>
      <c r="AA3" s="595"/>
      <c r="AB3" s="595"/>
    </row>
    <row r="4" spans="1:37" ht="42" customHeight="1">
      <c r="A4" s="764"/>
      <c r="B4" s="1752" t="s">
        <v>726</v>
      </c>
      <c r="C4" s="1593"/>
      <c r="D4" s="1593"/>
      <c r="E4" s="1593"/>
      <c r="F4" s="1593"/>
      <c r="G4" s="1593"/>
      <c r="H4" s="1593"/>
      <c r="I4" s="1593"/>
      <c r="J4" s="1593"/>
      <c r="K4" s="1593"/>
      <c r="L4" s="1593"/>
      <c r="M4" s="1593"/>
      <c r="N4" s="1593"/>
      <c r="O4" s="1593"/>
      <c r="P4" s="1593"/>
      <c r="Q4" s="1593"/>
      <c r="R4" s="1593"/>
      <c r="S4" s="1593"/>
      <c r="T4" s="1593"/>
      <c r="U4" s="1593"/>
      <c r="V4" s="1593"/>
      <c r="W4" s="1593"/>
      <c r="X4" s="1593"/>
      <c r="Y4" s="1593"/>
      <c r="Z4" s="1593"/>
      <c r="AA4" s="597"/>
      <c r="AB4" s="597"/>
    </row>
    <row r="5" spans="1:37" ht="36" customHeight="1" thickBot="1">
      <c r="A5" s="764"/>
      <c r="B5" s="768"/>
      <c r="C5" s="597"/>
      <c r="D5" s="597"/>
      <c r="E5" s="597"/>
      <c r="F5" s="597"/>
      <c r="G5" s="597"/>
      <c r="H5" s="691" t="s">
        <v>944</v>
      </c>
      <c r="I5" s="1566">
        <f>'DS Log Pg 1'!S7</f>
        <v>0</v>
      </c>
      <c r="J5" s="1566"/>
      <c r="K5" s="691" t="s">
        <v>69</v>
      </c>
      <c r="L5" s="1621">
        <f>'DS Log Pg 1'!S8</f>
        <v>0</v>
      </c>
      <c r="M5" s="1621"/>
      <c r="N5" s="1621"/>
      <c r="O5" s="597"/>
      <c r="P5" s="597"/>
      <c r="Q5" s="1594" t="s">
        <v>10</v>
      </c>
      <c r="R5" s="1594"/>
      <c r="S5" s="1594"/>
      <c r="T5" s="1595">
        <v>4</v>
      </c>
      <c r="U5" s="1595"/>
      <c r="V5" s="1595"/>
      <c r="W5" s="773" t="s">
        <v>981</v>
      </c>
      <c r="X5" s="1602"/>
      <c r="Y5" s="1602"/>
      <c r="Z5" s="597"/>
      <c r="AA5" s="597"/>
      <c r="AB5" s="597"/>
    </row>
    <row r="6" spans="1:37" ht="24" customHeight="1" thickBot="1">
      <c r="A6" s="769"/>
      <c r="B6" s="770"/>
      <c r="C6" s="771"/>
      <c r="D6" s="771"/>
      <c r="E6" s="771"/>
      <c r="F6" s="771" t="str">
        <f>IF(ISBLANK('DS Log Pg 1'!$V$6),"","Fadi Hardan")</f>
        <v/>
      </c>
      <c r="G6" s="771"/>
      <c r="H6" s="771"/>
      <c r="I6" s="771"/>
      <c r="J6" s="771"/>
      <c r="K6" s="771"/>
      <c r="L6" s="771"/>
      <c r="M6" s="771"/>
      <c r="N6" s="771"/>
      <c r="O6" s="771"/>
      <c r="P6" s="771"/>
      <c r="Q6" s="771"/>
      <c r="R6" s="771"/>
      <c r="S6" s="771"/>
      <c r="T6" s="771"/>
      <c r="U6" s="771"/>
      <c r="V6" s="771"/>
      <c r="W6" s="771"/>
      <c r="X6" s="770"/>
      <c r="Y6" s="770"/>
      <c r="Z6" s="770"/>
      <c r="AA6" s="686"/>
      <c r="AB6" s="686"/>
    </row>
    <row r="7" spans="1:37" ht="48.9" customHeight="1" thickTop="1" thickBot="1">
      <c r="A7" s="769"/>
      <c r="B7" s="1754" t="s">
        <v>727</v>
      </c>
      <c r="C7" s="1690" t="s">
        <v>705</v>
      </c>
      <c r="D7" s="1756"/>
      <c r="E7" s="1757" t="s">
        <v>81</v>
      </c>
      <c r="F7" s="1758" t="s">
        <v>728</v>
      </c>
      <c r="G7" s="1753" t="s">
        <v>976</v>
      </c>
      <c r="H7" s="1760" t="s">
        <v>729</v>
      </c>
      <c r="I7" s="1761"/>
      <c r="J7" s="1761"/>
      <c r="K7" s="1761"/>
      <c r="L7" s="1762"/>
      <c r="M7" s="772"/>
      <c r="N7" s="1764" t="s">
        <v>730</v>
      </c>
      <c r="O7" s="1764"/>
      <c r="P7" s="1764"/>
      <c r="Q7" s="1764"/>
      <c r="R7" s="1764"/>
      <c r="S7" s="1764"/>
      <c r="T7" s="1764"/>
      <c r="U7" s="1764"/>
      <c r="V7" s="1764"/>
      <c r="W7" s="1764"/>
      <c r="X7" s="1764"/>
      <c r="Y7" s="1764"/>
      <c r="Z7" s="1765"/>
      <c r="AA7" s="686"/>
      <c r="AB7" s="686"/>
    </row>
    <row r="8" spans="1:37" ht="48.9" customHeight="1" thickBot="1">
      <c r="A8" s="769"/>
      <c r="B8" s="1755"/>
      <c r="C8" s="856" t="s">
        <v>731</v>
      </c>
      <c r="D8" s="856" t="s">
        <v>732</v>
      </c>
      <c r="E8" s="1690"/>
      <c r="F8" s="1759"/>
      <c r="G8" s="1698"/>
      <c r="H8" s="1763"/>
      <c r="I8" s="1693"/>
      <c r="J8" s="1693"/>
      <c r="K8" s="1693"/>
      <c r="L8" s="1694"/>
      <c r="M8" s="772"/>
      <c r="N8" s="1540"/>
      <c r="O8" s="1540"/>
      <c r="P8" s="1540"/>
      <c r="Q8" s="686"/>
      <c r="R8" s="1618" t="s">
        <v>885</v>
      </c>
      <c r="S8" s="1619"/>
      <c r="T8" s="773"/>
      <c r="U8" s="773"/>
      <c r="V8" s="773"/>
      <c r="W8" s="773"/>
      <c r="X8" s="774" t="s">
        <v>886</v>
      </c>
      <c r="Y8" s="773"/>
      <c r="Z8" s="859"/>
      <c r="AA8" s="686"/>
      <c r="AB8" s="686"/>
    </row>
    <row r="9" spans="1:37" ht="42" customHeight="1" thickBot="1">
      <c r="A9" s="769"/>
      <c r="B9" s="752"/>
      <c r="C9" s="753"/>
      <c r="D9" s="753"/>
      <c r="E9" s="755"/>
      <c r="F9" s="754"/>
      <c r="G9" s="897"/>
      <c r="H9" s="1559" t="str">
        <f>IF(G9=1,$Q$71,IF(G9=2,$Q$72,IF(G9=3,$Q$73,IF(G9=4,$Q$74,IF(G9=5,$Q$75,IF(G9=6,$Q$76,IF(G9=7,$Q$77,IF(G9=8,$Q$78,IF(G9=9,$Q$79,IF(G9=10,$Q$80,""))))))))))</f>
        <v/>
      </c>
      <c r="I9" s="1560"/>
      <c r="J9" s="1560"/>
      <c r="K9" s="1560"/>
      <c r="L9" s="1561"/>
      <c r="M9" s="862"/>
      <c r="N9" s="1566" t="s">
        <v>733</v>
      </c>
      <c r="O9" s="1566"/>
      <c r="P9" s="1540"/>
      <c r="Q9" s="686"/>
      <c r="R9" s="1555"/>
      <c r="S9" s="1556"/>
      <c r="T9" s="775"/>
      <c r="U9" s="766"/>
      <c r="V9" s="766"/>
      <c r="W9" s="766"/>
      <c r="X9" s="1555"/>
      <c r="Y9" s="1555"/>
      <c r="Z9" s="859"/>
      <c r="AA9" s="686"/>
      <c r="AB9" s="686"/>
    </row>
    <row r="10" spans="1:37" ht="42" customHeight="1" thickBot="1">
      <c r="A10" s="769"/>
      <c r="B10" s="752"/>
      <c r="C10" s="753"/>
      <c r="D10" s="753"/>
      <c r="E10" s="755" t="str">
        <f t="shared" ref="E10:E59" si="0">IF(ISBLANK(B10),"",F10-B10)</f>
        <v/>
      </c>
      <c r="F10" s="754"/>
      <c r="G10" s="897"/>
      <c r="H10" s="1559" t="str">
        <f t="shared" ref="H10:H59" si="1">IF(G10=1,$Q$71,IF(G10=2,$Q$72,IF(G10=3,$Q$73,IF(G10=4,$Q$74,IF(G10=5,$Q$75,IF(G10=6,$Q$76,IF(G10=7,$Q$77,IF(G10=8,$Q$78,IF(G10=9,$Q$79,IF(G10=10,$Q$80,""))))))))))</f>
        <v/>
      </c>
      <c r="I10" s="1560"/>
      <c r="J10" s="1560"/>
      <c r="K10" s="1560"/>
      <c r="L10" s="1561"/>
      <c r="M10" s="862"/>
      <c r="N10" s="1566" t="s">
        <v>734</v>
      </c>
      <c r="O10" s="1566"/>
      <c r="P10" s="1540"/>
      <c r="Q10" s="686"/>
      <c r="R10" s="1555"/>
      <c r="S10" s="1556"/>
      <c r="T10" s="775"/>
      <c r="U10" s="766"/>
      <c r="V10" s="766"/>
      <c r="W10" s="766"/>
      <c r="X10" s="1555"/>
      <c r="Y10" s="1555"/>
      <c r="Z10" s="859"/>
      <c r="AA10" s="686"/>
      <c r="AB10" s="686"/>
    </row>
    <row r="11" spans="1:37" ht="42" customHeight="1" thickBot="1">
      <c r="A11" s="769"/>
      <c r="B11" s="752"/>
      <c r="C11" s="753"/>
      <c r="D11" s="753"/>
      <c r="E11" s="755" t="str">
        <f t="shared" si="0"/>
        <v/>
      </c>
      <c r="F11" s="754"/>
      <c r="G11" s="897"/>
      <c r="H11" s="1559" t="str">
        <f t="shared" si="1"/>
        <v/>
      </c>
      <c r="I11" s="1560"/>
      <c r="J11" s="1560"/>
      <c r="K11" s="1560"/>
      <c r="L11" s="1561"/>
      <c r="M11" s="862"/>
      <c r="N11" s="1566" t="s">
        <v>735</v>
      </c>
      <c r="O11" s="1566"/>
      <c r="P11" s="1540"/>
      <c r="Q11" s="686"/>
      <c r="R11" s="1555"/>
      <c r="S11" s="1556"/>
      <c r="T11" s="775"/>
      <c r="U11" s="766"/>
      <c r="V11" s="766"/>
      <c r="W11" s="766"/>
      <c r="X11" s="1555"/>
      <c r="Y11" s="1555"/>
      <c r="Z11" s="859"/>
      <c r="AA11" s="686"/>
      <c r="AB11" s="686"/>
    </row>
    <row r="12" spans="1:37" ht="42" customHeight="1" thickBot="1">
      <c r="A12" s="769"/>
      <c r="B12" s="752"/>
      <c r="C12" s="753"/>
      <c r="D12" s="753"/>
      <c r="E12" s="755" t="str">
        <f t="shared" si="0"/>
        <v/>
      </c>
      <c r="F12" s="754"/>
      <c r="G12" s="897"/>
      <c r="H12" s="1559" t="str">
        <f t="shared" si="1"/>
        <v/>
      </c>
      <c r="I12" s="1560"/>
      <c r="J12" s="1560"/>
      <c r="K12" s="1560"/>
      <c r="L12" s="1561"/>
      <c r="M12" s="862"/>
      <c r="N12" s="1566" t="s">
        <v>505</v>
      </c>
      <c r="O12" s="1566"/>
      <c r="P12" s="1540"/>
      <c r="Q12" s="686"/>
      <c r="R12" s="1555"/>
      <c r="S12" s="1556"/>
      <c r="T12" s="775"/>
      <c r="U12" s="766"/>
      <c r="V12" s="766"/>
      <c r="W12" s="766"/>
      <c r="X12" s="1555"/>
      <c r="Y12" s="1555"/>
      <c r="Z12" s="859"/>
      <c r="AA12" s="686"/>
      <c r="AB12" s="686"/>
      <c r="AD12" s="902"/>
      <c r="AE12" s="903" t="s">
        <v>977</v>
      </c>
      <c r="AF12" s="904"/>
      <c r="AG12" s="904"/>
      <c r="AH12" s="904"/>
      <c r="AI12" s="904"/>
      <c r="AJ12" s="905"/>
      <c r="AK12" s="906"/>
    </row>
    <row r="13" spans="1:37" ht="42" customHeight="1" thickBot="1">
      <c r="A13" s="769"/>
      <c r="B13" s="752"/>
      <c r="C13" s="753"/>
      <c r="D13" s="753"/>
      <c r="E13" s="755" t="str">
        <f t="shared" si="0"/>
        <v/>
      </c>
      <c r="F13" s="754"/>
      <c r="G13" s="897"/>
      <c r="H13" s="1559" t="str">
        <f t="shared" si="1"/>
        <v/>
      </c>
      <c r="I13" s="1560"/>
      <c r="J13" s="1560"/>
      <c r="K13" s="1560"/>
      <c r="L13" s="1561"/>
      <c r="M13" s="776"/>
      <c r="N13" s="1566" t="s">
        <v>736</v>
      </c>
      <c r="O13" s="1566"/>
      <c r="P13" s="1540"/>
      <c r="Q13" s="686"/>
      <c r="R13" s="1555"/>
      <c r="S13" s="1556"/>
      <c r="T13" s="775"/>
      <c r="U13" s="766"/>
      <c r="V13" s="766"/>
      <c r="W13" s="766"/>
      <c r="X13" s="1555"/>
      <c r="Y13" s="1555"/>
      <c r="Z13" s="859"/>
      <c r="AA13" s="686"/>
      <c r="AB13" s="686"/>
      <c r="AD13" s="912">
        <f>O71</f>
        <v>1</v>
      </c>
      <c r="AE13" s="913" t="str">
        <f>Q71</f>
        <v/>
      </c>
      <c r="AF13" s="914"/>
      <c r="AG13" s="915"/>
      <c r="AH13" s="915"/>
      <c r="AI13" s="915"/>
      <c r="AJ13" s="916"/>
      <c r="AK13" s="917"/>
    </row>
    <row r="14" spans="1:37" ht="42" customHeight="1" thickBot="1">
      <c r="A14" s="769"/>
      <c r="B14" s="752"/>
      <c r="C14" s="753"/>
      <c r="D14" s="753"/>
      <c r="E14" s="755" t="str">
        <f t="shared" si="0"/>
        <v/>
      </c>
      <c r="F14" s="754"/>
      <c r="G14" s="897"/>
      <c r="H14" s="1559" t="str">
        <f t="shared" si="1"/>
        <v/>
      </c>
      <c r="I14" s="1560"/>
      <c r="J14" s="1560"/>
      <c r="K14" s="1560"/>
      <c r="L14" s="1561"/>
      <c r="M14" s="777"/>
      <c r="N14" s="686"/>
      <c r="O14" s="686"/>
      <c r="P14" s="686"/>
      <c r="Q14" s="686"/>
      <c r="R14" s="686"/>
      <c r="S14" s="686"/>
      <c r="T14" s="686"/>
      <c r="U14" s="686"/>
      <c r="V14" s="686"/>
      <c r="W14" s="686"/>
      <c r="X14" s="686"/>
      <c r="Y14" s="686"/>
      <c r="Z14" s="859"/>
      <c r="AA14" s="686"/>
      <c r="AB14" s="686"/>
      <c r="AD14" s="912">
        <f t="shared" ref="AD14:AD22" si="2">O72</f>
        <v>2</v>
      </c>
      <c r="AE14" s="913" t="str">
        <f t="shared" ref="AE14:AE21" si="3">Q72</f>
        <v/>
      </c>
      <c r="AF14" s="914"/>
      <c r="AG14" s="915"/>
      <c r="AH14" s="915"/>
      <c r="AI14" s="915"/>
      <c r="AJ14" s="916"/>
      <c r="AK14" s="917"/>
    </row>
    <row r="15" spans="1:37" ht="42" customHeight="1" thickTop="1" thickBot="1">
      <c r="A15" s="769"/>
      <c r="B15" s="752"/>
      <c r="C15" s="753"/>
      <c r="D15" s="753"/>
      <c r="E15" s="755" t="str">
        <f t="shared" si="0"/>
        <v/>
      </c>
      <c r="F15" s="754"/>
      <c r="G15" s="897"/>
      <c r="H15" s="1559" t="str">
        <f t="shared" si="1"/>
        <v/>
      </c>
      <c r="I15" s="1560"/>
      <c r="J15" s="1560"/>
      <c r="K15" s="1560"/>
      <c r="L15" s="1561"/>
      <c r="M15" s="862"/>
      <c r="N15" s="1750" t="s">
        <v>737</v>
      </c>
      <c r="O15" s="1750"/>
      <c r="P15" s="1750"/>
      <c r="Q15" s="1750"/>
      <c r="R15" s="1750"/>
      <c r="S15" s="1750"/>
      <c r="T15" s="1750"/>
      <c r="U15" s="1750"/>
      <c r="V15" s="1750"/>
      <c r="W15" s="1750"/>
      <c r="X15" s="1750"/>
      <c r="Y15" s="1750"/>
      <c r="Z15" s="1751"/>
      <c r="AA15" s="686"/>
      <c r="AB15" s="686"/>
      <c r="AD15" s="912">
        <f t="shared" si="2"/>
        <v>3</v>
      </c>
      <c r="AE15" s="913" t="str">
        <f t="shared" si="3"/>
        <v/>
      </c>
      <c r="AF15" s="914"/>
      <c r="AG15" s="915"/>
      <c r="AH15" s="915"/>
      <c r="AI15" s="915"/>
      <c r="AJ15" s="916"/>
      <c r="AK15" s="917"/>
    </row>
    <row r="16" spans="1:37" ht="42" customHeight="1" thickBot="1">
      <c r="A16" s="769"/>
      <c r="B16" s="752"/>
      <c r="C16" s="753"/>
      <c r="D16" s="753"/>
      <c r="E16" s="755" t="str">
        <f t="shared" si="0"/>
        <v/>
      </c>
      <c r="F16" s="754"/>
      <c r="G16" s="897"/>
      <c r="H16" s="1559" t="str">
        <f t="shared" si="1"/>
        <v/>
      </c>
      <c r="I16" s="1560"/>
      <c r="J16" s="1560"/>
      <c r="K16" s="1560"/>
      <c r="L16" s="1561"/>
      <c r="M16" s="862"/>
      <c r="N16" s="1607" t="s">
        <v>738</v>
      </c>
      <c r="O16" s="1607"/>
      <c r="P16" s="1607"/>
      <c r="Q16" s="1607"/>
      <c r="R16" s="1607"/>
      <c r="S16" s="1607"/>
      <c r="T16" s="1607"/>
      <c r="U16" s="1607"/>
      <c r="V16" s="1607"/>
      <c r="W16" s="1607"/>
      <c r="X16" s="1607"/>
      <c r="Y16" s="1607"/>
      <c r="Z16" s="1748"/>
      <c r="AA16" s="686"/>
      <c r="AB16" s="686"/>
      <c r="AD16" s="912">
        <f t="shared" si="2"/>
        <v>4</v>
      </c>
      <c r="AE16" s="913" t="str">
        <f t="shared" si="3"/>
        <v/>
      </c>
      <c r="AF16" s="914"/>
      <c r="AG16" s="915"/>
      <c r="AH16" s="915"/>
      <c r="AI16" s="915"/>
      <c r="AJ16" s="916"/>
      <c r="AK16" s="917"/>
    </row>
    <row r="17" spans="1:53" ht="42" customHeight="1" thickBot="1">
      <c r="A17" s="769"/>
      <c r="B17" s="752"/>
      <c r="C17" s="753"/>
      <c r="D17" s="753"/>
      <c r="E17" s="755" t="str">
        <f t="shared" si="0"/>
        <v/>
      </c>
      <c r="F17" s="754"/>
      <c r="G17" s="897"/>
      <c r="H17" s="1559" t="str">
        <f t="shared" si="1"/>
        <v/>
      </c>
      <c r="I17" s="1560"/>
      <c r="J17" s="1560"/>
      <c r="K17" s="1560"/>
      <c r="L17" s="1561"/>
      <c r="M17" s="862"/>
      <c r="N17" s="1616" t="s">
        <v>739</v>
      </c>
      <c r="O17" s="1617"/>
      <c r="P17" s="778"/>
      <c r="Q17" s="858"/>
      <c r="R17" s="858"/>
      <c r="S17" s="858"/>
      <c r="T17" s="858"/>
      <c r="U17" s="858"/>
      <c r="V17" s="858"/>
      <c r="W17" s="858"/>
      <c r="X17" s="858"/>
      <c r="Y17" s="858"/>
      <c r="Z17" s="779"/>
      <c r="AA17" s="686"/>
      <c r="AB17" s="686"/>
      <c r="AD17" s="912">
        <f t="shared" si="2"/>
        <v>5</v>
      </c>
      <c r="AE17" s="913" t="str">
        <f t="shared" si="3"/>
        <v/>
      </c>
      <c r="AF17" s="914"/>
      <c r="AG17" s="915"/>
      <c r="AH17" s="915"/>
      <c r="AI17" s="915"/>
      <c r="AJ17" s="916"/>
      <c r="AK17" s="917"/>
    </row>
    <row r="18" spans="1:53" ht="42" customHeight="1" thickBot="1">
      <c r="A18" s="769"/>
      <c r="B18" s="752"/>
      <c r="C18" s="753"/>
      <c r="D18" s="753"/>
      <c r="E18" s="755" t="str">
        <f t="shared" si="0"/>
        <v/>
      </c>
      <c r="F18" s="754"/>
      <c r="G18" s="897"/>
      <c r="H18" s="1559" t="str">
        <f t="shared" si="1"/>
        <v/>
      </c>
      <c r="I18" s="1560"/>
      <c r="J18" s="1560"/>
      <c r="K18" s="1560"/>
      <c r="L18" s="1561"/>
      <c r="M18" s="780"/>
      <c r="N18" s="1614" t="s">
        <v>740</v>
      </c>
      <c r="O18" s="1615"/>
      <c r="P18" s="863"/>
      <c r="Q18" s="1609" t="s">
        <v>119</v>
      </c>
      <c r="R18" s="1609"/>
      <c r="S18" s="1610"/>
      <c r="T18" s="1610"/>
      <c r="U18" s="857"/>
      <c r="V18" s="1611" t="s">
        <v>741</v>
      </c>
      <c r="W18" s="1612"/>
      <c r="X18" s="1612"/>
      <c r="Y18" s="1610"/>
      <c r="Z18" s="1749"/>
      <c r="AA18" s="686"/>
      <c r="AB18" s="686"/>
      <c r="AD18" s="912">
        <f t="shared" si="2"/>
        <v>6</v>
      </c>
      <c r="AE18" s="913" t="str">
        <f t="shared" si="3"/>
        <v/>
      </c>
      <c r="AF18" s="914"/>
      <c r="AG18" s="915"/>
      <c r="AH18" s="915"/>
      <c r="AI18" s="915"/>
      <c r="AJ18" s="916"/>
      <c r="AK18" s="917"/>
    </row>
    <row r="19" spans="1:53" ht="42" customHeight="1" thickBot="1">
      <c r="A19" s="769"/>
      <c r="B19" s="752"/>
      <c r="C19" s="753"/>
      <c r="D19" s="753"/>
      <c r="E19" s="755" t="str">
        <f t="shared" si="0"/>
        <v/>
      </c>
      <c r="F19" s="754"/>
      <c r="G19" s="897"/>
      <c r="H19" s="1559" t="str">
        <f t="shared" si="1"/>
        <v/>
      </c>
      <c r="I19" s="1560"/>
      <c r="J19" s="1560"/>
      <c r="K19" s="1560"/>
      <c r="L19" s="1561"/>
      <c r="M19" s="777"/>
      <c r="N19" s="781"/>
      <c r="O19" s="781"/>
      <c r="P19" s="686"/>
      <c r="Q19" s="686"/>
      <c r="R19" s="686"/>
      <c r="S19" s="689"/>
      <c r="T19" s="689"/>
      <c r="U19" s="689"/>
      <c r="V19" s="689"/>
      <c r="W19" s="689"/>
      <c r="X19" s="766"/>
      <c r="Y19" s="766"/>
      <c r="Z19" s="859"/>
      <c r="AA19" s="686"/>
      <c r="AB19" s="686"/>
      <c r="AD19" s="912">
        <f t="shared" si="2"/>
        <v>7</v>
      </c>
      <c r="AE19" s="913" t="str">
        <f t="shared" si="3"/>
        <v/>
      </c>
      <c r="AF19" s="914"/>
      <c r="AG19" s="915"/>
      <c r="AH19" s="915"/>
      <c r="AI19" s="915"/>
      <c r="AJ19" s="916"/>
      <c r="AK19" s="917"/>
    </row>
    <row r="20" spans="1:53" ht="42" customHeight="1" thickTop="1" thickBot="1">
      <c r="A20" s="769"/>
      <c r="B20" s="752"/>
      <c r="C20" s="753"/>
      <c r="D20" s="753"/>
      <c r="E20" s="755" t="str">
        <f t="shared" si="0"/>
        <v/>
      </c>
      <c r="F20" s="754"/>
      <c r="G20" s="897"/>
      <c r="H20" s="1559" t="str">
        <f t="shared" si="1"/>
        <v/>
      </c>
      <c r="I20" s="1560"/>
      <c r="J20" s="1560"/>
      <c r="K20" s="1560"/>
      <c r="L20" s="1561"/>
      <c r="M20" s="862"/>
      <c r="N20" s="1722"/>
      <c r="O20" s="1722"/>
      <c r="P20" s="1722"/>
      <c r="Q20" s="1722"/>
      <c r="R20" s="1722"/>
      <c r="S20" s="1722"/>
      <c r="T20" s="1722"/>
      <c r="U20" s="1722"/>
      <c r="V20" s="1722"/>
      <c r="W20" s="1722"/>
      <c r="X20" s="1722"/>
      <c r="Y20" s="1722"/>
      <c r="Z20" s="1747"/>
      <c r="AA20" s="686"/>
      <c r="AB20" s="686"/>
      <c r="AD20" s="912">
        <f t="shared" si="2"/>
        <v>8</v>
      </c>
      <c r="AE20" s="913" t="str">
        <f t="shared" si="3"/>
        <v/>
      </c>
      <c r="AF20" s="914"/>
      <c r="AG20" s="915"/>
      <c r="AH20" s="915"/>
      <c r="AI20" s="915"/>
      <c r="AJ20" s="916"/>
      <c r="AK20" s="917"/>
    </row>
    <row r="21" spans="1:53" ht="42" customHeight="1" thickBot="1">
      <c r="A21" s="769"/>
      <c r="B21" s="752"/>
      <c r="C21" s="753"/>
      <c r="D21" s="753"/>
      <c r="E21" s="755" t="str">
        <f t="shared" si="0"/>
        <v/>
      </c>
      <c r="F21" s="754"/>
      <c r="G21" s="897"/>
      <c r="H21" s="1559" t="str">
        <f t="shared" si="1"/>
        <v/>
      </c>
      <c r="I21" s="1560"/>
      <c r="J21" s="1560"/>
      <c r="K21" s="1560"/>
      <c r="L21" s="1561"/>
      <c r="M21" s="862"/>
      <c r="N21" s="1607" t="s">
        <v>742</v>
      </c>
      <c r="O21" s="1607"/>
      <c r="P21" s="1607"/>
      <c r="Q21" s="1607"/>
      <c r="R21" s="1607"/>
      <c r="S21" s="1607"/>
      <c r="T21" s="1607"/>
      <c r="U21" s="1607"/>
      <c r="V21" s="1607"/>
      <c r="W21" s="1607"/>
      <c r="X21" s="1607"/>
      <c r="Y21" s="1607"/>
      <c r="Z21" s="1748"/>
      <c r="AA21" s="686"/>
      <c r="AB21" s="686"/>
      <c r="AD21" s="912">
        <f t="shared" si="2"/>
        <v>9</v>
      </c>
      <c r="AE21" s="913" t="str">
        <f t="shared" si="3"/>
        <v/>
      </c>
      <c r="AF21" s="914"/>
      <c r="AG21" s="915"/>
      <c r="AH21" s="915"/>
      <c r="AI21" s="915"/>
      <c r="AJ21" s="916"/>
      <c r="AK21" s="917"/>
    </row>
    <row r="22" spans="1:53" ht="42" customHeight="1" thickBot="1">
      <c r="A22" s="769"/>
      <c r="B22" s="752"/>
      <c r="C22" s="753"/>
      <c r="D22" s="753"/>
      <c r="E22" s="755" t="str">
        <f t="shared" si="0"/>
        <v/>
      </c>
      <c r="F22" s="754"/>
      <c r="G22" s="897"/>
      <c r="H22" s="1559" t="str">
        <f t="shared" si="1"/>
        <v/>
      </c>
      <c r="I22" s="1560"/>
      <c r="J22" s="1560"/>
      <c r="K22" s="1560"/>
      <c r="L22" s="1561"/>
      <c r="M22" s="862"/>
      <c r="N22" s="782"/>
      <c r="O22" s="782"/>
      <c r="P22" s="1741"/>
      <c r="Q22" s="1742"/>
      <c r="R22" s="1742"/>
      <c r="S22" s="1742"/>
      <c r="T22" s="1742"/>
      <c r="U22" s="1742"/>
      <c r="V22" s="1742"/>
      <c r="W22" s="1742"/>
      <c r="X22" s="1742"/>
      <c r="Y22" s="766"/>
      <c r="Z22" s="859"/>
      <c r="AA22" s="686"/>
      <c r="AB22" s="686"/>
      <c r="AD22" s="930">
        <f t="shared" si="2"/>
        <v>10</v>
      </c>
      <c r="AE22" s="907" t="str">
        <f t="shared" ref="AE22" si="4">Q80</f>
        <v/>
      </c>
      <c r="AF22" s="908"/>
      <c r="AG22" s="909"/>
      <c r="AH22" s="909"/>
      <c r="AI22" s="909"/>
      <c r="AJ22" s="910"/>
      <c r="AK22" s="911"/>
    </row>
    <row r="23" spans="1:53" ht="42" customHeight="1" thickBot="1">
      <c r="A23" s="769"/>
      <c r="B23" s="752"/>
      <c r="C23" s="753"/>
      <c r="D23" s="753"/>
      <c r="E23" s="755" t="str">
        <f t="shared" si="0"/>
        <v/>
      </c>
      <c r="F23" s="754"/>
      <c r="G23" s="897"/>
      <c r="H23" s="1559" t="str">
        <f t="shared" si="1"/>
        <v/>
      </c>
      <c r="I23" s="1560"/>
      <c r="J23" s="1560"/>
      <c r="K23" s="1560"/>
      <c r="L23" s="1561"/>
      <c r="M23" s="777"/>
      <c r="N23" s="1540"/>
      <c r="O23" s="1540"/>
      <c r="P23" s="1540"/>
      <c r="Q23" s="1540"/>
      <c r="R23" s="686"/>
      <c r="S23" s="1540"/>
      <c r="T23" s="1540"/>
      <c r="U23" s="1540"/>
      <c r="V23" s="1540"/>
      <c r="W23" s="1540"/>
      <c r="X23" s="1540"/>
      <c r="Y23" s="686"/>
      <c r="Z23" s="859"/>
      <c r="AA23" s="686"/>
      <c r="AB23" s="686"/>
    </row>
    <row r="24" spans="1:53" ht="42" customHeight="1" thickTop="1" thickBot="1">
      <c r="A24" s="769"/>
      <c r="B24" s="752"/>
      <c r="C24" s="753"/>
      <c r="D24" s="753"/>
      <c r="E24" s="755" t="str">
        <f t="shared" si="0"/>
        <v/>
      </c>
      <c r="F24" s="754"/>
      <c r="G24" s="897"/>
      <c r="H24" s="1559" t="str">
        <f t="shared" si="1"/>
        <v/>
      </c>
      <c r="I24" s="1560"/>
      <c r="J24" s="1560"/>
      <c r="K24" s="1560"/>
      <c r="L24" s="1561"/>
      <c r="M24" s="862"/>
      <c r="N24" s="1744" t="s">
        <v>743</v>
      </c>
      <c r="O24" s="1744"/>
      <c r="P24" s="1745"/>
      <c r="Q24" s="1745"/>
      <c r="R24" s="1745"/>
      <c r="S24" s="1745"/>
      <c r="T24" s="1745"/>
      <c r="U24" s="1745"/>
      <c r="V24" s="1745"/>
      <c r="W24" s="1745"/>
      <c r="X24" s="1745"/>
      <c r="Y24" s="1745"/>
      <c r="Z24" s="1746"/>
      <c r="AA24" s="686"/>
      <c r="AB24" s="686"/>
    </row>
    <row r="25" spans="1:53" ht="42" customHeight="1" thickBot="1">
      <c r="A25" s="769"/>
      <c r="B25" s="752"/>
      <c r="C25" s="753"/>
      <c r="D25" s="753"/>
      <c r="E25" s="755" t="str">
        <f t="shared" si="0"/>
        <v/>
      </c>
      <c r="F25" s="754"/>
      <c r="G25" s="897"/>
      <c r="H25" s="1559" t="str">
        <f t="shared" si="1"/>
        <v/>
      </c>
      <c r="I25" s="1560"/>
      <c r="J25" s="1560"/>
      <c r="K25" s="1560"/>
      <c r="L25" s="1561"/>
      <c r="M25" s="862"/>
      <c r="N25" s="686"/>
      <c r="O25" s="686"/>
      <c r="P25" s="686"/>
      <c r="Q25" s="1580" t="s">
        <v>744</v>
      </c>
      <c r="R25" s="1580"/>
      <c r="S25" s="1581"/>
      <c r="T25" s="1582"/>
      <c r="U25" s="1582"/>
      <c r="V25" s="1582"/>
      <c r="W25" s="783"/>
      <c r="X25" s="686"/>
      <c r="Y25" s="686"/>
      <c r="Z25" s="859"/>
      <c r="AA25" s="686"/>
      <c r="AB25" s="686"/>
    </row>
    <row r="26" spans="1:53" ht="42" customHeight="1" thickBot="1">
      <c r="A26" s="769"/>
      <c r="B26" s="752"/>
      <c r="C26" s="753"/>
      <c r="D26" s="753"/>
      <c r="E26" s="755" t="str">
        <f t="shared" si="0"/>
        <v/>
      </c>
      <c r="F26" s="754"/>
      <c r="G26" s="897"/>
      <c r="H26" s="1559" t="str">
        <f t="shared" si="1"/>
        <v/>
      </c>
      <c r="I26" s="1560"/>
      <c r="J26" s="1560"/>
      <c r="K26" s="1560"/>
      <c r="L26" s="1561"/>
      <c r="M26" s="862"/>
      <c r="N26" s="686"/>
      <c r="O26" s="686"/>
      <c r="P26" s="686"/>
      <c r="Q26" s="1580"/>
      <c r="R26" s="1580"/>
      <c r="S26" s="1581"/>
      <c r="T26" s="1582"/>
      <c r="U26" s="1582"/>
      <c r="V26" s="1582"/>
      <c r="W26" s="783"/>
      <c r="X26" s="686"/>
      <c r="Y26" s="686"/>
      <c r="Z26" s="859"/>
      <c r="AA26" s="686"/>
      <c r="AB26" s="686"/>
    </row>
    <row r="27" spans="1:53" ht="42" customHeight="1" thickBot="1">
      <c r="A27" s="769"/>
      <c r="B27" s="752"/>
      <c r="C27" s="753"/>
      <c r="D27" s="753"/>
      <c r="E27" s="755" t="str">
        <f t="shared" si="0"/>
        <v/>
      </c>
      <c r="F27" s="754"/>
      <c r="G27" s="897"/>
      <c r="H27" s="1559" t="str">
        <f t="shared" si="1"/>
        <v/>
      </c>
      <c r="I27" s="1560"/>
      <c r="J27" s="1560"/>
      <c r="K27" s="1560"/>
      <c r="L27" s="1561"/>
      <c r="M27" s="862"/>
      <c r="N27" s="1562" t="s">
        <v>745</v>
      </c>
      <c r="O27" s="1562"/>
      <c r="P27" s="1563"/>
      <c r="Q27" s="1580"/>
      <c r="R27" s="1580"/>
      <c r="S27" s="1581"/>
      <c r="T27" s="1582"/>
      <c r="U27" s="1582"/>
      <c r="V27" s="1582"/>
      <c r="W27" s="783"/>
      <c r="X27" s="686"/>
      <c r="Y27" s="686"/>
      <c r="Z27" s="859"/>
      <c r="AA27" s="686"/>
      <c r="AB27" s="686"/>
    </row>
    <row r="28" spans="1:53" ht="42" customHeight="1" thickBot="1">
      <c r="A28" s="769"/>
      <c r="B28" s="752"/>
      <c r="C28" s="753"/>
      <c r="D28" s="753"/>
      <c r="E28" s="755" t="str">
        <f t="shared" si="0"/>
        <v/>
      </c>
      <c r="F28" s="754"/>
      <c r="G28" s="897"/>
      <c r="H28" s="1559" t="str">
        <f t="shared" si="1"/>
        <v/>
      </c>
      <c r="I28" s="1560"/>
      <c r="J28" s="1560"/>
      <c r="K28" s="1560"/>
      <c r="L28" s="1561"/>
      <c r="M28" s="862"/>
      <c r="N28" s="854" t="s">
        <v>746</v>
      </c>
      <c r="O28" s="1564"/>
      <c r="P28" s="1565"/>
      <c r="Q28" s="1581"/>
      <c r="R28" s="1581"/>
      <c r="S28" s="1581"/>
      <c r="T28" s="1582"/>
      <c r="U28" s="1582"/>
      <c r="V28" s="1582"/>
      <c r="W28" s="1706"/>
      <c r="X28" s="1707"/>
      <c r="Y28" s="1566" t="s">
        <v>408</v>
      </c>
      <c r="Z28" s="1567"/>
      <c r="AA28" s="686"/>
      <c r="AB28" s="686"/>
      <c r="AW28" s="1662" t="s">
        <v>1219</v>
      </c>
      <c r="AX28" s="1662"/>
      <c r="AY28" s="1322" t="s">
        <v>1216</v>
      </c>
      <c r="AZ28" s="1322" cm="1">
        <f t="array" ref="AZ28:BA28">'DS Log Pg 1'!H23:I23</f>
        <v>0</v>
      </c>
      <c r="BA28" s="1322">
        <v>0</v>
      </c>
    </row>
    <row r="29" spans="1:53" ht="42" customHeight="1" thickBot="1">
      <c r="A29" s="769"/>
      <c r="B29" s="752"/>
      <c r="C29" s="753"/>
      <c r="D29" s="753"/>
      <c r="E29" s="755" t="str">
        <f t="shared" si="0"/>
        <v/>
      </c>
      <c r="F29" s="754"/>
      <c r="G29" s="897"/>
      <c r="H29" s="1559" t="str">
        <f t="shared" si="1"/>
        <v/>
      </c>
      <c r="I29" s="1560"/>
      <c r="J29" s="1560"/>
      <c r="K29" s="1560"/>
      <c r="L29" s="1561"/>
      <c r="M29" s="862"/>
      <c r="N29" s="854" t="s">
        <v>747</v>
      </c>
      <c r="O29" s="1701"/>
      <c r="P29" s="1702"/>
      <c r="Q29" s="686"/>
      <c r="R29" s="686"/>
      <c r="S29" s="686"/>
      <c r="T29" s="686"/>
      <c r="U29" s="686"/>
      <c r="V29" s="686"/>
      <c r="W29" s="686"/>
      <c r="X29" s="686"/>
      <c r="Y29" s="686"/>
      <c r="Z29" s="1269"/>
      <c r="AA29" s="686"/>
      <c r="AB29" s="686"/>
      <c r="AY29" s="1322" t="s">
        <v>1217</v>
      </c>
      <c r="AZ29" s="1322" cm="1">
        <f t="array" ref="AZ29:BA29">'DS Log Pg 1'!C23:D23</f>
        <v>45222</v>
      </c>
      <c r="BA29" s="1322">
        <v>0</v>
      </c>
    </row>
    <row r="30" spans="1:53" ht="42" customHeight="1" thickBot="1">
      <c r="A30" s="769"/>
      <c r="B30" s="752"/>
      <c r="C30" s="753"/>
      <c r="D30" s="753"/>
      <c r="E30" s="755" t="str">
        <f t="shared" si="0"/>
        <v/>
      </c>
      <c r="F30" s="754"/>
      <c r="G30" s="897"/>
      <c r="H30" s="1559" t="str">
        <f t="shared" si="1"/>
        <v/>
      </c>
      <c r="I30" s="1560"/>
      <c r="J30" s="1560"/>
      <c r="K30" s="1560"/>
      <c r="L30" s="1561"/>
      <c r="M30" s="862"/>
      <c r="N30" s="854" t="s">
        <v>748</v>
      </c>
      <c r="O30" s="1701"/>
      <c r="P30" s="1702"/>
      <c r="Q30" s="686"/>
      <c r="R30" s="686"/>
      <c r="S30" s="686"/>
      <c r="T30" s="686"/>
      <c r="U30" s="686"/>
      <c r="V30" s="686"/>
      <c r="W30" s="686"/>
      <c r="X30" s="686"/>
      <c r="Y30" s="686"/>
      <c r="Z30" s="859"/>
      <c r="AA30" s="686"/>
      <c r="AB30" s="686"/>
    </row>
    <row r="31" spans="1:53" ht="42" customHeight="1" thickBot="1">
      <c r="A31" s="769"/>
      <c r="B31" s="752"/>
      <c r="C31" s="753"/>
      <c r="D31" s="753"/>
      <c r="E31" s="755" t="str">
        <f t="shared" si="0"/>
        <v/>
      </c>
      <c r="F31" s="754"/>
      <c r="G31" s="897"/>
      <c r="H31" s="1559" t="str">
        <f t="shared" si="1"/>
        <v/>
      </c>
      <c r="I31" s="1560"/>
      <c r="J31" s="1560"/>
      <c r="K31" s="1560"/>
      <c r="L31" s="1561"/>
      <c r="M31" s="862"/>
      <c r="N31" s="854"/>
      <c r="O31" s="854"/>
      <c r="P31" s="854"/>
      <c r="Q31" s="686"/>
      <c r="R31" s="686"/>
      <c r="S31" s="686"/>
      <c r="T31" s="686"/>
      <c r="U31" s="686"/>
      <c r="V31" s="686"/>
      <c r="W31" s="686"/>
      <c r="X31" s="686"/>
      <c r="Y31" s="686"/>
      <c r="Z31" s="859"/>
      <c r="AA31" s="686"/>
      <c r="AB31" s="686"/>
    </row>
    <row r="32" spans="1:53" ht="42" customHeight="1" thickBot="1">
      <c r="A32" s="769"/>
      <c r="B32" s="752"/>
      <c r="C32" s="753"/>
      <c r="D32" s="753"/>
      <c r="E32" s="755" t="str">
        <f t="shared" si="0"/>
        <v/>
      </c>
      <c r="F32" s="754"/>
      <c r="G32" s="897"/>
      <c r="H32" s="1559" t="str">
        <f t="shared" si="1"/>
        <v/>
      </c>
      <c r="I32" s="1560"/>
      <c r="J32" s="1560"/>
      <c r="K32" s="1560"/>
      <c r="L32" s="1561"/>
      <c r="M32" s="862"/>
      <c r="N32" s="1566" t="s">
        <v>749</v>
      </c>
      <c r="O32" s="1576"/>
      <c r="P32" s="1741"/>
      <c r="Q32" s="1742"/>
      <c r="R32" s="1742"/>
      <c r="S32" s="1742"/>
      <c r="T32" s="1742"/>
      <c r="U32" s="1742"/>
      <c r="V32" s="1742"/>
      <c r="W32" s="1742"/>
      <c r="X32" s="1742"/>
      <c r="Y32" s="785"/>
      <c r="Z32" s="859"/>
      <c r="AA32" s="686"/>
      <c r="AB32" s="686"/>
    </row>
    <row r="33" spans="1:28" ht="42" customHeight="1" thickBot="1">
      <c r="A33" s="769"/>
      <c r="B33" s="752"/>
      <c r="C33" s="753"/>
      <c r="D33" s="753"/>
      <c r="E33" s="755" t="str">
        <f t="shared" si="0"/>
        <v/>
      </c>
      <c r="F33" s="754"/>
      <c r="G33" s="897"/>
      <c r="H33" s="1559" t="str">
        <f t="shared" si="1"/>
        <v/>
      </c>
      <c r="I33" s="1560"/>
      <c r="J33" s="1560"/>
      <c r="K33" s="1560"/>
      <c r="L33" s="1561"/>
      <c r="M33" s="862"/>
      <c r="N33" s="1566" t="s">
        <v>750</v>
      </c>
      <c r="O33" s="1576"/>
      <c r="P33" s="1741"/>
      <c r="Q33" s="1742"/>
      <c r="R33" s="1742"/>
      <c r="S33" s="1742"/>
      <c r="T33" s="1742"/>
      <c r="U33" s="1742"/>
      <c r="V33" s="1742"/>
      <c r="W33" s="1742"/>
      <c r="X33" s="1742"/>
      <c r="Y33" s="785"/>
      <c r="Z33" s="859"/>
      <c r="AA33" s="686"/>
      <c r="AB33" s="686"/>
    </row>
    <row r="34" spans="1:28" ht="42" customHeight="1" thickBot="1">
      <c r="A34" s="769"/>
      <c r="B34" s="752"/>
      <c r="C34" s="753"/>
      <c r="D34" s="753"/>
      <c r="E34" s="755" t="str">
        <f t="shared" si="0"/>
        <v/>
      </c>
      <c r="F34" s="754"/>
      <c r="G34" s="897"/>
      <c r="H34" s="1559" t="str">
        <f t="shared" si="1"/>
        <v/>
      </c>
      <c r="I34" s="1560"/>
      <c r="J34" s="1560"/>
      <c r="K34" s="1560"/>
      <c r="L34" s="1561"/>
      <c r="M34" s="862"/>
      <c r="N34" s="1622"/>
      <c r="O34" s="1622"/>
      <c r="P34" s="1540"/>
      <c r="Q34" s="1540"/>
      <c r="R34" s="1540"/>
      <c r="S34" s="1540"/>
      <c r="T34" s="1540"/>
      <c r="U34" s="1540"/>
      <c r="V34" s="1540"/>
      <c r="W34" s="1540"/>
      <c r="X34" s="1540"/>
      <c r="Y34" s="1540"/>
      <c r="Z34" s="1743"/>
      <c r="AA34" s="686"/>
      <c r="AB34" s="686"/>
    </row>
    <row r="35" spans="1:28" ht="42" customHeight="1" thickBot="1">
      <c r="A35" s="769"/>
      <c r="B35" s="752"/>
      <c r="C35" s="753"/>
      <c r="D35" s="753"/>
      <c r="E35" s="755" t="str">
        <f t="shared" si="0"/>
        <v/>
      </c>
      <c r="F35" s="754"/>
      <c r="G35" s="897"/>
      <c r="H35" s="1559" t="str">
        <f t="shared" si="1"/>
        <v/>
      </c>
      <c r="I35" s="1560"/>
      <c r="J35" s="1560"/>
      <c r="K35" s="1560"/>
      <c r="L35" s="1561"/>
      <c r="M35" s="862"/>
      <c r="N35" s="854"/>
      <c r="O35" s="854"/>
      <c r="P35" s="854"/>
      <c r="Q35" s="686"/>
      <c r="R35" s="686"/>
      <c r="S35" s="686"/>
      <c r="T35" s="686"/>
      <c r="U35" s="686"/>
      <c r="V35" s="686"/>
      <c r="W35" s="686"/>
      <c r="X35" s="686"/>
      <c r="Y35" s="686"/>
      <c r="Z35" s="859"/>
      <c r="AA35" s="686"/>
      <c r="AB35" s="686"/>
    </row>
    <row r="36" spans="1:28" ht="42" customHeight="1" thickBot="1">
      <c r="A36" s="769"/>
      <c r="B36" s="752"/>
      <c r="C36" s="753"/>
      <c r="D36" s="753"/>
      <c r="E36" s="755" t="str">
        <f t="shared" si="0"/>
        <v/>
      </c>
      <c r="F36" s="754"/>
      <c r="G36" s="897"/>
      <c r="H36" s="1559" t="str">
        <f t="shared" si="1"/>
        <v/>
      </c>
      <c r="I36" s="1560"/>
      <c r="J36" s="1560"/>
      <c r="K36" s="1560"/>
      <c r="L36" s="1561"/>
      <c r="M36" s="862"/>
      <c r="N36" s="686"/>
      <c r="O36" s="686"/>
      <c r="P36" s="686"/>
      <c r="Q36" s="686"/>
      <c r="R36" s="686"/>
      <c r="S36" s="686"/>
      <c r="T36" s="686"/>
      <c r="U36" s="686"/>
      <c r="V36" s="686"/>
      <c r="W36" s="686"/>
      <c r="X36" s="686"/>
      <c r="Y36" s="686"/>
      <c r="Z36" s="859"/>
      <c r="AA36" s="686"/>
      <c r="AB36" s="686"/>
    </row>
    <row r="37" spans="1:28" ht="42" customHeight="1" thickBot="1">
      <c r="A37" s="769"/>
      <c r="B37" s="752"/>
      <c r="C37" s="753"/>
      <c r="D37" s="753"/>
      <c r="E37" s="755" t="str">
        <f t="shared" si="0"/>
        <v/>
      </c>
      <c r="F37" s="754"/>
      <c r="G37" s="897"/>
      <c r="H37" s="1559" t="str">
        <f t="shared" si="1"/>
        <v/>
      </c>
      <c r="I37" s="1560"/>
      <c r="J37" s="1560"/>
      <c r="K37" s="1560"/>
      <c r="L37" s="1561"/>
      <c r="M37" s="862"/>
      <c r="O37" s="781" t="s">
        <v>751</v>
      </c>
      <c r="P37" s="860"/>
      <c r="Q37" s="854" t="s">
        <v>408</v>
      </c>
      <c r="R37" s="854"/>
      <c r="S37" s="787" t="s">
        <v>751</v>
      </c>
      <c r="T37" s="598"/>
      <c r="U37" s="598"/>
      <c r="V37" s="598"/>
      <c r="W37" s="788" t="s">
        <v>752</v>
      </c>
      <c r="X37" s="1624"/>
      <c r="Y37" s="1625"/>
      <c r="Z37" s="784" t="s">
        <v>408</v>
      </c>
      <c r="AA37" s="686"/>
      <c r="AB37" s="686"/>
    </row>
    <row r="38" spans="1:28" ht="42" customHeight="1" thickBot="1">
      <c r="A38" s="769"/>
      <c r="B38" s="752"/>
      <c r="C38" s="753"/>
      <c r="D38" s="753"/>
      <c r="E38" s="755" t="str">
        <f t="shared" si="0"/>
        <v/>
      </c>
      <c r="F38" s="754"/>
      <c r="G38" s="897"/>
      <c r="H38" s="1559" t="str">
        <f t="shared" si="1"/>
        <v/>
      </c>
      <c r="I38" s="1560"/>
      <c r="J38" s="1560"/>
      <c r="K38" s="1560"/>
      <c r="L38" s="1561"/>
      <c r="M38" s="862"/>
      <c r="N38" s="686"/>
      <c r="O38" s="686"/>
      <c r="P38" s="861"/>
      <c r="Q38" s="854" t="s">
        <v>950</v>
      </c>
      <c r="R38" s="854"/>
      <c r="S38" s="686"/>
      <c r="T38" s="686"/>
      <c r="U38" s="686"/>
      <c r="V38" s="686"/>
      <c r="W38" s="686"/>
      <c r="X38" s="1626"/>
      <c r="Y38" s="1627"/>
      <c r="Z38" s="852" t="s">
        <v>950</v>
      </c>
      <c r="AA38" s="686"/>
      <c r="AB38" s="686"/>
    </row>
    <row r="39" spans="1:28" ht="42" customHeight="1" thickBot="1">
      <c r="A39" s="769"/>
      <c r="B39" s="752"/>
      <c r="C39" s="753"/>
      <c r="D39" s="753"/>
      <c r="E39" s="755" t="str">
        <f t="shared" si="0"/>
        <v/>
      </c>
      <c r="F39" s="754"/>
      <c r="G39" s="897"/>
      <c r="H39" s="1559" t="str">
        <f t="shared" si="1"/>
        <v/>
      </c>
      <c r="I39" s="1560"/>
      <c r="J39" s="1560"/>
      <c r="K39" s="1560"/>
      <c r="L39" s="1561"/>
      <c r="M39" s="862"/>
      <c r="N39" s="686"/>
      <c r="O39" s="686"/>
      <c r="P39" s="789" t="s">
        <v>753</v>
      </c>
      <c r="Q39" s="854"/>
      <c r="R39" s="854"/>
      <c r="S39" s="686"/>
      <c r="T39" s="686"/>
      <c r="U39" s="686"/>
      <c r="V39" s="686"/>
      <c r="W39" s="686"/>
      <c r="X39" s="773"/>
      <c r="Y39" s="773"/>
      <c r="Z39" s="784"/>
      <c r="AA39" s="686"/>
      <c r="AB39" s="686"/>
    </row>
    <row r="40" spans="1:28" ht="42" customHeight="1" thickBot="1">
      <c r="A40" s="769"/>
      <c r="B40" s="752"/>
      <c r="C40" s="753"/>
      <c r="D40" s="753"/>
      <c r="E40" s="755" t="str">
        <f t="shared" si="0"/>
        <v/>
      </c>
      <c r="F40" s="754"/>
      <c r="G40" s="897"/>
      <c r="H40" s="1559" t="str">
        <f t="shared" si="1"/>
        <v/>
      </c>
      <c r="I40" s="1560"/>
      <c r="J40" s="1560"/>
      <c r="K40" s="1560"/>
      <c r="L40" s="1561"/>
      <c r="M40" s="862"/>
      <c r="N40" s="686"/>
      <c r="O40" s="686"/>
      <c r="P40" s="686"/>
      <c r="Q40" s="686"/>
      <c r="R40" s="686"/>
      <c r="S40" s="790" t="s">
        <v>752</v>
      </c>
      <c r="T40" s="686"/>
      <c r="U40" s="686"/>
      <c r="V40" s="791" t="s">
        <v>754</v>
      </c>
      <c r="W40" s="788" t="s">
        <v>754</v>
      </c>
      <c r="X40" s="1624"/>
      <c r="Y40" s="1625"/>
      <c r="Z40" s="784" t="s">
        <v>408</v>
      </c>
      <c r="AA40" s="686"/>
      <c r="AB40" s="686"/>
    </row>
    <row r="41" spans="1:28" ht="42" customHeight="1" thickBot="1">
      <c r="A41" s="769"/>
      <c r="B41" s="752"/>
      <c r="C41" s="753"/>
      <c r="D41" s="753"/>
      <c r="E41" s="755" t="str">
        <f t="shared" si="0"/>
        <v/>
      </c>
      <c r="F41" s="754"/>
      <c r="G41" s="897"/>
      <c r="H41" s="1559" t="str">
        <f t="shared" si="1"/>
        <v/>
      </c>
      <c r="I41" s="1560"/>
      <c r="J41" s="1560"/>
      <c r="K41" s="1560"/>
      <c r="L41" s="1561"/>
      <c r="M41" s="862"/>
      <c r="N41" s="686"/>
      <c r="O41" s="686"/>
      <c r="P41" s="686"/>
      <c r="Q41" s="686"/>
      <c r="R41" s="686"/>
      <c r="S41" s="686"/>
      <c r="T41" s="686"/>
      <c r="U41" s="686"/>
      <c r="V41" s="686"/>
      <c r="W41" s="686"/>
      <c r="X41" s="1626"/>
      <c r="Y41" s="1627"/>
      <c r="Z41" s="784" t="s">
        <v>950</v>
      </c>
      <c r="AA41" s="686"/>
      <c r="AB41" s="686"/>
    </row>
    <row r="42" spans="1:28" ht="42" customHeight="1" thickBot="1">
      <c r="A42" s="769"/>
      <c r="B42" s="752"/>
      <c r="C42" s="753"/>
      <c r="D42" s="753"/>
      <c r="E42" s="755" t="str">
        <f t="shared" si="0"/>
        <v/>
      </c>
      <c r="F42" s="754"/>
      <c r="G42" s="897"/>
      <c r="H42" s="1559" t="str">
        <f t="shared" si="1"/>
        <v/>
      </c>
      <c r="I42" s="1560"/>
      <c r="J42" s="1560"/>
      <c r="K42" s="1560"/>
      <c r="L42" s="1561"/>
      <c r="M42" s="862"/>
      <c r="O42" s="792" t="s">
        <v>753</v>
      </c>
      <c r="P42" s="860"/>
      <c r="Q42" s="854" t="s">
        <v>408</v>
      </c>
      <c r="R42" s="854"/>
      <c r="S42" s="789" t="s">
        <v>755</v>
      </c>
      <c r="T42" s="598"/>
      <c r="U42" s="598"/>
      <c r="V42" s="598"/>
      <c r="W42" s="788" t="s">
        <v>755</v>
      </c>
      <c r="X42" s="1624"/>
      <c r="Y42" s="1625"/>
      <c r="Z42" s="784" t="s">
        <v>408</v>
      </c>
      <c r="AA42" s="686"/>
      <c r="AB42" s="686"/>
    </row>
    <row r="43" spans="1:28" ht="42" customHeight="1" thickBot="1">
      <c r="A43" s="769"/>
      <c r="B43" s="752"/>
      <c r="C43" s="753"/>
      <c r="D43" s="753"/>
      <c r="E43" s="755" t="str">
        <f t="shared" si="0"/>
        <v/>
      </c>
      <c r="F43" s="754"/>
      <c r="G43" s="897"/>
      <c r="H43" s="1559" t="str">
        <f t="shared" si="1"/>
        <v/>
      </c>
      <c r="I43" s="1560"/>
      <c r="J43" s="1560"/>
      <c r="K43" s="1560"/>
      <c r="L43" s="1561"/>
      <c r="M43" s="862"/>
      <c r="N43" s="686"/>
      <c r="O43" s="686"/>
      <c r="P43" s="861"/>
      <c r="Q43" s="854" t="s">
        <v>950</v>
      </c>
      <c r="R43" s="854"/>
      <c r="S43" s="686"/>
      <c r="T43" s="686"/>
      <c r="U43" s="686"/>
      <c r="V43" s="686"/>
      <c r="W43" s="686"/>
      <c r="X43" s="1626"/>
      <c r="Y43" s="1627"/>
      <c r="Z43" s="784" t="s">
        <v>950</v>
      </c>
      <c r="AA43" s="686"/>
      <c r="AB43" s="686"/>
    </row>
    <row r="44" spans="1:28" ht="42" customHeight="1" thickBot="1">
      <c r="A44" s="769"/>
      <c r="B44" s="752"/>
      <c r="C44" s="753"/>
      <c r="D44" s="753"/>
      <c r="E44" s="755" t="str">
        <f t="shared" si="0"/>
        <v/>
      </c>
      <c r="F44" s="754"/>
      <c r="G44" s="897"/>
      <c r="H44" s="1559" t="str">
        <f t="shared" si="1"/>
        <v/>
      </c>
      <c r="I44" s="1560"/>
      <c r="J44" s="1560"/>
      <c r="K44" s="1560"/>
      <c r="L44" s="1561"/>
      <c r="M44" s="862"/>
      <c r="N44" s="686"/>
      <c r="O44" s="686"/>
      <c r="P44" s="773"/>
      <c r="Q44" s="854"/>
      <c r="R44" s="854"/>
      <c r="S44" s="686"/>
      <c r="T44" s="686"/>
      <c r="U44" s="686"/>
      <c r="V44" s="686"/>
      <c r="W44" s="686"/>
      <c r="X44" s="773"/>
      <c r="Y44" s="773"/>
      <c r="Z44" s="784"/>
      <c r="AA44" s="686"/>
      <c r="AB44" s="686"/>
    </row>
    <row r="45" spans="1:28" ht="42" customHeight="1" thickBot="1">
      <c r="A45" s="769"/>
      <c r="B45" s="752"/>
      <c r="C45" s="753"/>
      <c r="D45" s="753"/>
      <c r="E45" s="755" t="str">
        <f t="shared" si="0"/>
        <v/>
      </c>
      <c r="F45" s="754"/>
      <c r="G45" s="897"/>
      <c r="H45" s="1559" t="str">
        <f t="shared" si="1"/>
        <v/>
      </c>
      <c r="I45" s="1560"/>
      <c r="J45" s="1560"/>
      <c r="K45" s="1560"/>
      <c r="L45" s="1561"/>
      <c r="M45" s="862"/>
      <c r="N45" s="1628" t="s">
        <v>951</v>
      </c>
      <c r="O45" s="1628"/>
      <c r="P45" s="1628"/>
      <c r="Q45" s="1628"/>
      <c r="R45" s="1628"/>
      <c r="S45" s="1628"/>
      <c r="T45" s="1628"/>
      <c r="U45" s="1628"/>
      <c r="V45" s="1628"/>
      <c r="W45" s="1628"/>
      <c r="X45" s="1628"/>
      <c r="Y45" s="686"/>
      <c r="Z45" s="859"/>
      <c r="AA45" s="686"/>
      <c r="AB45" s="686"/>
    </row>
    <row r="46" spans="1:28" ht="42" customHeight="1" thickTop="1" thickBot="1">
      <c r="A46" s="769"/>
      <c r="B46" s="752"/>
      <c r="C46" s="753"/>
      <c r="D46" s="753"/>
      <c r="E46" s="755" t="str">
        <f t="shared" si="0"/>
        <v/>
      </c>
      <c r="F46" s="754"/>
      <c r="G46" s="897"/>
      <c r="H46" s="1559" t="str">
        <f t="shared" si="1"/>
        <v/>
      </c>
      <c r="I46" s="1560"/>
      <c r="J46" s="1560"/>
      <c r="K46" s="1560"/>
      <c r="L46" s="1561"/>
      <c r="M46" s="793"/>
      <c r="N46" s="1634" t="s">
        <v>756</v>
      </c>
      <c r="O46" s="1635"/>
      <c r="P46" s="1638" t="str">
        <f>IF(ISBLANK($X$37),"",$W$28-SUM($P$37+$P$42+$X$37+$X$40+$X$42)/5)</f>
        <v/>
      </c>
      <c r="Q46" s="1639"/>
      <c r="R46" s="1639"/>
      <c r="S46" s="1639"/>
      <c r="T46" s="1639"/>
      <c r="U46" s="1639"/>
      <c r="V46" s="1639"/>
      <c r="W46" s="1639"/>
      <c r="X46" s="1640"/>
      <c r="Y46" s="595"/>
      <c r="Z46" s="859"/>
      <c r="AA46" s="686"/>
      <c r="AB46" s="686"/>
    </row>
    <row r="47" spans="1:28" ht="42" customHeight="1" thickBot="1">
      <c r="A47" s="769"/>
      <c r="B47" s="752"/>
      <c r="C47" s="753"/>
      <c r="D47" s="753"/>
      <c r="E47" s="755" t="str">
        <f t="shared" si="0"/>
        <v/>
      </c>
      <c r="F47" s="754"/>
      <c r="G47" s="897"/>
      <c r="H47" s="1559" t="str">
        <f t="shared" si="1"/>
        <v/>
      </c>
      <c r="I47" s="1560"/>
      <c r="J47" s="1560"/>
      <c r="K47" s="1560"/>
      <c r="L47" s="1561"/>
      <c r="M47" s="794"/>
      <c r="N47" s="1636"/>
      <c r="O47" s="1637"/>
      <c r="P47" s="1651"/>
      <c r="Q47" s="1651"/>
      <c r="R47" s="1651"/>
      <c r="S47" s="1651"/>
      <c r="T47" s="1651"/>
      <c r="U47" s="1651"/>
      <c r="V47" s="1651"/>
      <c r="W47" s="1651"/>
      <c r="X47" s="1652"/>
      <c r="Y47" s="595"/>
      <c r="Z47" s="859"/>
      <c r="AA47" s="686"/>
      <c r="AB47" s="686"/>
    </row>
    <row r="48" spans="1:28" ht="42" customHeight="1" thickTop="1" thickBot="1">
      <c r="A48" s="769"/>
      <c r="B48" s="752"/>
      <c r="C48" s="753"/>
      <c r="D48" s="753"/>
      <c r="E48" s="755" t="str">
        <f t="shared" si="0"/>
        <v/>
      </c>
      <c r="F48" s="754"/>
      <c r="G48" s="897"/>
      <c r="H48" s="1559" t="str">
        <f t="shared" si="1"/>
        <v/>
      </c>
      <c r="I48" s="1560"/>
      <c r="J48" s="1560"/>
      <c r="K48" s="1560"/>
      <c r="L48" s="1561"/>
      <c r="M48" s="795"/>
      <c r="N48" s="1643" t="s">
        <v>757</v>
      </c>
      <c r="O48" s="1714"/>
      <c r="P48" s="1732" t="str">
        <f>IF(ISBLANK($X$37),"",($P$37+$P$42+$X$37+$X$40+$X$42)/5)</f>
        <v/>
      </c>
      <c r="Q48" s="1733"/>
      <c r="R48" s="1733"/>
      <c r="S48" s="1733"/>
      <c r="T48" s="1733"/>
      <c r="U48" s="1733"/>
      <c r="V48" s="1733"/>
      <c r="W48" s="1733"/>
      <c r="X48" s="1734"/>
      <c r="Y48" s="595"/>
      <c r="Z48" s="859"/>
      <c r="AA48" s="686"/>
      <c r="AB48" s="686"/>
    </row>
    <row r="49" spans="1:28" ht="42" customHeight="1" thickBot="1">
      <c r="A49" s="769"/>
      <c r="B49" s="752"/>
      <c r="C49" s="753"/>
      <c r="D49" s="753"/>
      <c r="E49" s="755" t="str">
        <f t="shared" si="0"/>
        <v/>
      </c>
      <c r="F49" s="754"/>
      <c r="G49" s="897"/>
      <c r="H49" s="1559" t="str">
        <f t="shared" si="1"/>
        <v/>
      </c>
      <c r="I49" s="1560"/>
      <c r="J49" s="1560"/>
      <c r="K49" s="1560"/>
      <c r="L49" s="1561"/>
      <c r="M49" s="777"/>
      <c r="N49" s="1645"/>
      <c r="O49" s="1715"/>
      <c r="P49" s="1735"/>
      <c r="Q49" s="1736"/>
      <c r="R49" s="1736"/>
      <c r="S49" s="1736"/>
      <c r="T49" s="1736"/>
      <c r="U49" s="1736"/>
      <c r="V49" s="1736"/>
      <c r="W49" s="1736"/>
      <c r="X49" s="1737"/>
      <c r="Y49" s="595"/>
      <c r="Z49" s="859"/>
      <c r="AA49" s="686"/>
      <c r="AB49" s="686"/>
    </row>
    <row r="50" spans="1:28" ht="42" customHeight="1" thickTop="1" thickBot="1">
      <c r="A50" s="769"/>
      <c r="B50" s="752"/>
      <c r="C50" s="753"/>
      <c r="D50" s="753"/>
      <c r="E50" s="755" t="str">
        <f t="shared" si="0"/>
        <v/>
      </c>
      <c r="F50" s="754"/>
      <c r="G50" s="897"/>
      <c r="H50" s="1559" t="str">
        <f t="shared" si="1"/>
        <v/>
      </c>
      <c r="I50" s="1560"/>
      <c r="J50" s="1560"/>
      <c r="K50" s="1560"/>
      <c r="L50" s="1561"/>
      <c r="M50" s="796"/>
      <c r="N50" s="1738" t="s">
        <v>758</v>
      </c>
      <c r="O50" s="1738"/>
      <c r="P50" s="1738"/>
      <c r="Q50" s="1738"/>
      <c r="R50" s="1738"/>
      <c r="S50" s="1738"/>
      <c r="T50" s="1738"/>
      <c r="U50" s="1738"/>
      <c r="V50" s="1738"/>
      <c r="W50" s="1738"/>
      <c r="X50" s="1738"/>
      <c r="Y50" s="1738"/>
      <c r="Z50" s="1739"/>
      <c r="AA50" s="686"/>
      <c r="AB50" s="686"/>
    </row>
    <row r="51" spans="1:28" ht="42" customHeight="1" thickBot="1">
      <c r="A51" s="769"/>
      <c r="B51" s="752"/>
      <c r="C51" s="753"/>
      <c r="D51" s="753"/>
      <c r="E51" s="755" t="str">
        <f t="shared" si="0"/>
        <v/>
      </c>
      <c r="F51" s="754"/>
      <c r="G51" s="897"/>
      <c r="H51" s="1559" t="str">
        <f t="shared" si="1"/>
        <v/>
      </c>
      <c r="I51" s="1560"/>
      <c r="J51" s="1560"/>
      <c r="K51" s="1560"/>
      <c r="L51" s="1561"/>
      <c r="M51" s="794"/>
      <c r="N51" s="1708"/>
      <c r="O51" s="1708"/>
      <c r="P51" s="1708"/>
      <c r="Q51" s="1708"/>
      <c r="R51" s="1708"/>
      <c r="S51" s="1708"/>
      <c r="T51" s="1708"/>
      <c r="U51" s="1708"/>
      <c r="V51" s="1708"/>
      <c r="W51" s="1708"/>
      <c r="X51" s="1708"/>
      <c r="Y51" s="1708"/>
      <c r="Z51" s="1740"/>
      <c r="AA51" s="686"/>
      <c r="AB51" s="686"/>
    </row>
    <row r="52" spans="1:28" ht="42" customHeight="1" thickBot="1">
      <c r="A52" s="769"/>
      <c r="B52" s="752"/>
      <c r="C52" s="753"/>
      <c r="D52" s="753"/>
      <c r="E52" s="755" t="str">
        <f t="shared" si="0"/>
        <v/>
      </c>
      <c r="F52" s="754"/>
      <c r="G52" s="897"/>
      <c r="H52" s="1559" t="str">
        <f t="shared" si="1"/>
        <v/>
      </c>
      <c r="I52" s="1560"/>
      <c r="J52" s="1560"/>
      <c r="K52" s="1560"/>
      <c r="L52" s="1561"/>
      <c r="M52" s="1710" t="s">
        <v>679</v>
      </c>
      <c r="N52" s="1728"/>
      <c r="O52" s="1728"/>
      <c r="P52" s="1728"/>
      <c r="Q52" s="1712"/>
      <c r="R52" s="1729"/>
      <c r="S52" s="1729"/>
      <c r="T52" s="1729"/>
      <c r="U52" s="1729"/>
      <c r="V52" s="1729"/>
      <c r="W52" s="1729"/>
      <c r="X52" s="1729"/>
      <c r="Y52" s="1729"/>
      <c r="Z52" s="1730"/>
      <c r="AA52" s="686"/>
      <c r="AB52" s="686"/>
    </row>
    <row r="53" spans="1:28" ht="42" customHeight="1" thickBot="1">
      <c r="A53" s="769"/>
      <c r="B53" s="752"/>
      <c r="C53" s="753"/>
      <c r="D53" s="753"/>
      <c r="E53" s="755" t="str">
        <f t="shared" si="0"/>
        <v/>
      </c>
      <c r="F53" s="754"/>
      <c r="G53" s="897"/>
      <c r="H53" s="1559" t="str">
        <f t="shared" si="1"/>
        <v/>
      </c>
      <c r="I53" s="1560"/>
      <c r="J53" s="1560"/>
      <c r="K53" s="1560"/>
      <c r="L53" s="1561"/>
      <c r="M53" s="1653"/>
      <c r="N53" s="1654"/>
      <c r="O53" s="1654"/>
      <c r="P53" s="1654"/>
      <c r="Q53" s="1654"/>
      <c r="R53" s="1654"/>
      <c r="S53" s="1654"/>
      <c r="T53" s="1654"/>
      <c r="U53" s="1654"/>
      <c r="V53" s="1654"/>
      <c r="W53" s="1654"/>
      <c r="X53" s="1654"/>
      <c r="Y53" s="1654"/>
      <c r="Z53" s="1723"/>
      <c r="AA53" s="686"/>
      <c r="AB53" s="686"/>
    </row>
    <row r="54" spans="1:28" ht="42" customHeight="1" thickBot="1">
      <c r="A54" s="769"/>
      <c r="B54" s="752"/>
      <c r="C54" s="753"/>
      <c r="D54" s="753"/>
      <c r="E54" s="755" t="str">
        <f t="shared" si="0"/>
        <v/>
      </c>
      <c r="F54" s="754"/>
      <c r="G54" s="897"/>
      <c r="H54" s="1559" t="str">
        <f t="shared" si="1"/>
        <v/>
      </c>
      <c r="I54" s="1560"/>
      <c r="J54" s="1560"/>
      <c r="K54" s="1560"/>
      <c r="L54" s="1561"/>
      <c r="M54" s="1656"/>
      <c r="N54" s="1657"/>
      <c r="O54" s="1657"/>
      <c r="P54" s="1657"/>
      <c r="Q54" s="1657"/>
      <c r="R54" s="1657"/>
      <c r="S54" s="1657"/>
      <c r="T54" s="1657"/>
      <c r="U54" s="1657"/>
      <c r="V54" s="1657"/>
      <c r="W54" s="1657"/>
      <c r="X54" s="1657"/>
      <c r="Y54" s="1657"/>
      <c r="Z54" s="1724"/>
      <c r="AA54" s="686"/>
      <c r="AB54" s="686"/>
    </row>
    <row r="55" spans="1:28" ht="42" customHeight="1" thickBot="1">
      <c r="A55" s="769"/>
      <c r="B55" s="752"/>
      <c r="C55" s="753"/>
      <c r="D55" s="753"/>
      <c r="E55" s="755" t="str">
        <f t="shared" si="0"/>
        <v/>
      </c>
      <c r="F55" s="754"/>
      <c r="G55" s="897"/>
      <c r="H55" s="1559" t="str">
        <f t="shared" si="1"/>
        <v/>
      </c>
      <c r="I55" s="1560"/>
      <c r="J55" s="1560"/>
      <c r="K55" s="1560"/>
      <c r="L55" s="1561"/>
      <c r="M55" s="1656"/>
      <c r="N55" s="1657"/>
      <c r="O55" s="1657"/>
      <c r="P55" s="1657"/>
      <c r="Q55" s="1657"/>
      <c r="R55" s="1657"/>
      <c r="S55" s="1657"/>
      <c r="T55" s="1657"/>
      <c r="U55" s="1657"/>
      <c r="V55" s="1657"/>
      <c r="W55" s="1657"/>
      <c r="X55" s="1657"/>
      <c r="Y55" s="1657"/>
      <c r="Z55" s="1724"/>
      <c r="AA55" s="686"/>
      <c r="AB55" s="686"/>
    </row>
    <row r="56" spans="1:28" ht="42" customHeight="1" thickBot="1">
      <c r="A56" s="769"/>
      <c r="B56" s="752"/>
      <c r="C56" s="753"/>
      <c r="D56" s="753"/>
      <c r="E56" s="755" t="str">
        <f t="shared" si="0"/>
        <v/>
      </c>
      <c r="F56" s="754"/>
      <c r="G56" s="897"/>
      <c r="H56" s="1559" t="str">
        <f t="shared" si="1"/>
        <v/>
      </c>
      <c r="I56" s="1560"/>
      <c r="J56" s="1560"/>
      <c r="K56" s="1560"/>
      <c r="L56" s="1561"/>
      <c r="M56" s="1656"/>
      <c r="N56" s="1657"/>
      <c r="O56" s="1657"/>
      <c r="P56" s="1657"/>
      <c r="Q56" s="1657"/>
      <c r="R56" s="1657"/>
      <c r="S56" s="1657"/>
      <c r="T56" s="1657"/>
      <c r="U56" s="1657"/>
      <c r="V56" s="1657"/>
      <c r="W56" s="1657"/>
      <c r="X56" s="1657"/>
      <c r="Y56" s="1657"/>
      <c r="Z56" s="1724"/>
      <c r="AA56" s="797"/>
      <c r="AB56" s="686"/>
    </row>
    <row r="57" spans="1:28" ht="42" customHeight="1" thickBot="1">
      <c r="A57" s="769"/>
      <c r="B57" s="752"/>
      <c r="C57" s="753"/>
      <c r="D57" s="753"/>
      <c r="E57" s="755" t="str">
        <f t="shared" si="0"/>
        <v/>
      </c>
      <c r="F57" s="754"/>
      <c r="G57" s="897"/>
      <c r="H57" s="1559" t="str">
        <f t="shared" si="1"/>
        <v/>
      </c>
      <c r="I57" s="1560"/>
      <c r="J57" s="1560"/>
      <c r="K57" s="1560"/>
      <c r="L57" s="1561"/>
      <c r="M57" s="1656"/>
      <c r="N57" s="1657"/>
      <c r="O57" s="1657"/>
      <c r="P57" s="1657"/>
      <c r="Q57" s="1657"/>
      <c r="R57" s="1657"/>
      <c r="S57" s="1657"/>
      <c r="T57" s="1657"/>
      <c r="U57" s="1657"/>
      <c r="V57" s="1657"/>
      <c r="W57" s="1657"/>
      <c r="X57" s="1657"/>
      <c r="Y57" s="1657"/>
      <c r="Z57" s="1724"/>
      <c r="AA57" s="686"/>
      <c r="AB57" s="686"/>
    </row>
    <row r="58" spans="1:28" ht="42" customHeight="1" thickBot="1">
      <c r="A58" s="769"/>
      <c r="B58" s="752"/>
      <c r="C58" s="753"/>
      <c r="D58" s="753"/>
      <c r="E58" s="755" t="str">
        <f t="shared" si="0"/>
        <v/>
      </c>
      <c r="F58" s="754"/>
      <c r="G58" s="897"/>
      <c r="H58" s="1559" t="str">
        <f t="shared" si="1"/>
        <v/>
      </c>
      <c r="I58" s="1560"/>
      <c r="J58" s="1560"/>
      <c r="K58" s="1560"/>
      <c r="L58" s="1561"/>
      <c r="M58" s="1656"/>
      <c r="N58" s="1657"/>
      <c r="O58" s="1657"/>
      <c r="P58" s="1657"/>
      <c r="Q58" s="1657"/>
      <c r="R58" s="1657"/>
      <c r="S58" s="1657"/>
      <c r="T58" s="1657"/>
      <c r="U58" s="1657"/>
      <c r="V58" s="1657"/>
      <c r="W58" s="1657"/>
      <c r="X58" s="1657"/>
      <c r="Y58" s="1657"/>
      <c r="Z58" s="1724"/>
      <c r="AA58" s="686"/>
      <c r="AB58" s="686"/>
    </row>
    <row r="59" spans="1:28" ht="42" customHeight="1" thickBot="1">
      <c r="A59" s="769"/>
      <c r="B59" s="752"/>
      <c r="C59" s="753"/>
      <c r="D59" s="753"/>
      <c r="E59" s="755" t="str">
        <f t="shared" si="0"/>
        <v/>
      </c>
      <c r="F59" s="754"/>
      <c r="G59" s="897"/>
      <c r="H59" s="1559" t="str">
        <f t="shared" si="1"/>
        <v/>
      </c>
      <c r="I59" s="1560"/>
      <c r="J59" s="1560"/>
      <c r="K59" s="1560"/>
      <c r="L59" s="1561"/>
      <c r="M59" s="1659"/>
      <c r="N59" s="1660"/>
      <c r="O59" s="1660"/>
      <c r="P59" s="1660"/>
      <c r="Q59" s="1660"/>
      <c r="R59" s="1660"/>
      <c r="S59" s="1660"/>
      <c r="T59" s="1660"/>
      <c r="U59" s="1660"/>
      <c r="V59" s="1660"/>
      <c r="W59" s="1660"/>
      <c r="X59" s="1660"/>
      <c r="Y59" s="1660"/>
      <c r="Z59" s="1725"/>
      <c r="AA59" s="686"/>
      <c r="AB59" s="686"/>
    </row>
    <row r="60" spans="1:28" ht="39.9" customHeight="1" thickTop="1" thickBot="1">
      <c r="A60" s="769"/>
      <c r="B60" s="1721" t="s">
        <v>759</v>
      </c>
      <c r="C60" s="1722"/>
      <c r="D60" s="864"/>
      <c r="E60" s="756" t="s">
        <v>677</v>
      </c>
      <c r="F60" s="757"/>
      <c r="G60" s="757"/>
      <c r="H60" s="757" t="s">
        <v>760</v>
      </c>
      <c r="I60" s="1676"/>
      <c r="J60" s="1677"/>
      <c r="K60" s="1677"/>
      <c r="L60" s="1677"/>
      <c r="M60" s="1677"/>
      <c r="N60" s="1677"/>
      <c r="O60" s="803"/>
      <c r="P60" s="866"/>
      <c r="Q60" s="1668" t="s">
        <v>761</v>
      </c>
      <c r="R60" s="1668"/>
      <c r="S60" s="765"/>
      <c r="T60" s="765"/>
      <c r="U60" s="765"/>
      <c r="V60" s="1670"/>
      <c r="W60" s="1671"/>
      <c r="X60" s="1668" t="s">
        <v>762</v>
      </c>
      <c r="Y60" s="1669"/>
      <c r="Z60" s="859"/>
      <c r="AA60" s="686"/>
      <c r="AB60" s="686"/>
    </row>
    <row r="61" spans="1:28" ht="36.75" customHeight="1" thickTop="1" thickBot="1">
      <c r="A61" s="769"/>
      <c r="B61" s="685"/>
      <c r="C61" s="686"/>
      <c r="D61" s="865"/>
      <c r="E61" s="757" t="s">
        <v>678</v>
      </c>
      <c r="F61" s="757"/>
      <c r="G61" s="757"/>
      <c r="H61" s="757" t="s">
        <v>763</v>
      </c>
      <c r="I61" s="1731"/>
      <c r="J61" s="1731"/>
      <c r="K61" s="1731"/>
      <c r="L61" s="1731"/>
      <c r="M61" s="1731"/>
      <c r="N61" s="1731"/>
      <c r="O61" s="757"/>
      <c r="P61" s="855" t="s">
        <v>705</v>
      </c>
      <c r="Q61" s="1672"/>
      <c r="R61" s="1673"/>
      <c r="S61" s="1679" t="s">
        <v>683</v>
      </c>
      <c r="T61" s="1680"/>
      <c r="U61" s="855"/>
      <c r="V61" s="1672"/>
      <c r="W61" s="1673"/>
      <c r="X61" s="1674"/>
      <c r="Y61" s="798"/>
      <c r="Z61" s="859"/>
      <c r="AA61" s="686"/>
      <c r="AB61" s="686"/>
    </row>
    <row r="62" spans="1:28" ht="29.25" customHeight="1" thickTop="1" thickBot="1">
      <c r="A62" s="769"/>
      <c r="B62" s="799"/>
      <c r="C62" s="771"/>
      <c r="D62" s="800"/>
      <c r="E62" s="771"/>
      <c r="F62" s="771"/>
      <c r="G62" s="771"/>
      <c r="H62" s="771"/>
      <c r="I62" s="771"/>
      <c r="J62" s="771"/>
      <c r="K62" s="771"/>
      <c r="L62" s="771"/>
      <c r="M62" s="771"/>
      <c r="N62" s="771"/>
      <c r="O62" s="771"/>
      <c r="P62" s="771"/>
      <c r="Q62" s="771"/>
      <c r="R62" s="771"/>
      <c r="S62" s="771"/>
      <c r="T62" s="771"/>
      <c r="U62" s="771"/>
      <c r="V62" s="771"/>
      <c r="W62" s="771"/>
      <c r="X62" s="771"/>
      <c r="Y62" s="771"/>
      <c r="Z62" s="801"/>
      <c r="AA62" s="686"/>
      <c r="AB62" s="686"/>
    </row>
    <row r="63" spans="1:28" ht="21.6" thickTop="1">
      <c r="A63" s="769"/>
      <c r="B63" s="686"/>
      <c r="C63" s="686"/>
      <c r="D63" s="686"/>
      <c r="E63" s="686"/>
      <c r="F63" s="686"/>
      <c r="G63" s="686"/>
      <c r="H63" s="686"/>
      <c r="I63" s="686"/>
      <c r="J63" s="686"/>
      <c r="K63" s="686"/>
      <c r="L63" s="686"/>
      <c r="M63" s="686"/>
      <c r="N63" s="686"/>
      <c r="O63" s="686"/>
      <c r="P63" s="686"/>
      <c r="Q63" s="686"/>
      <c r="R63" s="686"/>
      <c r="S63" s="686"/>
      <c r="T63" s="686"/>
      <c r="U63" s="686"/>
      <c r="V63" s="686"/>
      <c r="W63" s="686"/>
      <c r="X63" s="686"/>
      <c r="Y63" s="686"/>
      <c r="Z63" s="686"/>
      <c r="AA63" s="686"/>
      <c r="AB63" s="686"/>
    </row>
    <row r="67" spans="12:28" ht="21.6" thickBot="1"/>
    <row r="68" spans="12:28">
      <c r="O68" s="1541"/>
      <c r="P68" s="1726"/>
      <c r="Q68" s="1726"/>
      <c r="R68" s="1726"/>
      <c r="S68" s="1726"/>
      <c r="T68" s="1726"/>
      <c r="U68" s="1726"/>
      <c r="V68" s="1726"/>
      <c r="W68" s="1726"/>
      <c r="X68" s="1726"/>
      <c r="Y68" s="1726"/>
      <c r="Z68" s="1726"/>
      <c r="AA68" s="1726"/>
      <c r="AB68" s="1543"/>
    </row>
    <row r="69" spans="12:28">
      <c r="O69" s="1727" t="s">
        <v>959</v>
      </c>
      <c r="P69" s="1545"/>
      <c r="Q69" s="1545"/>
      <c r="R69" s="1545"/>
      <c r="S69" s="1545"/>
      <c r="T69" s="1545"/>
      <c r="U69" s="1545"/>
      <c r="V69" s="1545"/>
      <c r="W69" s="1545"/>
      <c r="X69" s="1545"/>
      <c r="Y69" s="1545"/>
      <c r="Z69" s="1545"/>
      <c r="AA69" s="1545"/>
      <c r="AB69" s="1546"/>
    </row>
    <row r="70" spans="12:28" ht="21.6" thickBot="1">
      <c r="O70" s="1547"/>
      <c r="P70" s="1548"/>
      <c r="Q70" s="1548"/>
      <c r="R70" s="1548"/>
      <c r="S70" s="1548"/>
      <c r="T70" s="1548"/>
      <c r="U70" s="1548"/>
      <c r="V70" s="1548"/>
      <c r="W70" s="1548"/>
      <c r="X70" s="1548"/>
      <c r="Y70" s="1548"/>
      <c r="Z70" s="1548"/>
      <c r="AA70" s="1548"/>
      <c r="AB70" s="1549"/>
    </row>
    <row r="71" spans="12:28" ht="29.4" thickBot="1">
      <c r="L71" s="1663"/>
      <c r="M71" s="1663"/>
      <c r="N71" s="1664"/>
      <c r="O71" s="1550">
        <v>1</v>
      </c>
      <c r="P71" s="1551"/>
      <c r="Q71" s="1552" t="str">
        <f>IF('DS Log Pg 1'!Q72="","",'DS Log Pg 1'!Q72)</f>
        <v/>
      </c>
      <c r="R71" s="1553"/>
      <c r="S71" s="1553"/>
      <c r="T71" s="1553"/>
      <c r="U71" s="1553"/>
      <c r="V71" s="1553"/>
      <c r="W71" s="1553"/>
      <c r="X71" s="1553"/>
      <c r="Y71" s="1553"/>
      <c r="Z71" s="1553"/>
      <c r="AA71" s="1553"/>
      <c r="AB71" s="1554"/>
    </row>
    <row r="72" spans="12:28" ht="29.4" thickBot="1">
      <c r="O72" s="1570">
        <v>2</v>
      </c>
      <c r="P72" s="1571"/>
      <c r="Q72" s="1552" t="str">
        <f>IF('DS Log Pg 1'!Q73="","",'DS Log Pg 1'!Q73)</f>
        <v/>
      </c>
      <c r="R72" s="1553"/>
      <c r="S72" s="1553"/>
      <c r="T72" s="1553"/>
      <c r="U72" s="1553"/>
      <c r="V72" s="1553"/>
      <c r="W72" s="1553"/>
      <c r="X72" s="1553"/>
      <c r="Y72" s="1553"/>
      <c r="Z72" s="1553"/>
      <c r="AA72" s="1553"/>
      <c r="AB72" s="1554"/>
    </row>
    <row r="73" spans="12:28" ht="29.4" thickBot="1">
      <c r="O73" s="1570">
        <v>3</v>
      </c>
      <c r="P73" s="1571"/>
      <c r="Q73" s="1552" t="str">
        <f>IF('DS Log Pg 1'!Q74="","",'DS Log Pg 1'!Q74)</f>
        <v/>
      </c>
      <c r="R73" s="1553"/>
      <c r="S73" s="1553"/>
      <c r="T73" s="1553"/>
      <c r="U73" s="1553"/>
      <c r="V73" s="1553"/>
      <c r="W73" s="1553"/>
      <c r="X73" s="1553"/>
      <c r="Y73" s="1553"/>
      <c r="Z73" s="1553"/>
      <c r="AA73" s="1553"/>
      <c r="AB73" s="1554"/>
    </row>
    <row r="74" spans="12:28" ht="29.4" thickBot="1">
      <c r="O74" s="1570">
        <v>4</v>
      </c>
      <c r="P74" s="1571"/>
      <c r="Q74" s="1552" t="str">
        <f>IF('DS Log Pg 1'!Q75="","",'DS Log Pg 1'!Q75)</f>
        <v/>
      </c>
      <c r="R74" s="1553"/>
      <c r="S74" s="1553"/>
      <c r="T74" s="1553"/>
      <c r="U74" s="1553"/>
      <c r="V74" s="1553"/>
      <c r="W74" s="1553"/>
      <c r="X74" s="1553"/>
      <c r="Y74" s="1553"/>
      <c r="Z74" s="1553"/>
      <c r="AA74" s="1553"/>
      <c r="AB74" s="1554"/>
    </row>
    <row r="75" spans="12:28" ht="29.4" thickBot="1">
      <c r="O75" s="1570">
        <v>5</v>
      </c>
      <c r="P75" s="1571"/>
      <c r="Q75" s="1552" t="str">
        <f>IF('DS Log Pg 1'!Q76="","",'DS Log Pg 1'!Q76)</f>
        <v/>
      </c>
      <c r="R75" s="1553"/>
      <c r="S75" s="1553"/>
      <c r="T75" s="1553"/>
      <c r="U75" s="1553"/>
      <c r="V75" s="1553"/>
      <c r="W75" s="1553"/>
      <c r="X75" s="1553"/>
      <c r="Y75" s="1553"/>
      <c r="Z75" s="1553"/>
      <c r="AA75" s="1553"/>
      <c r="AB75" s="1554"/>
    </row>
    <row r="76" spans="12:28" ht="29.4" thickBot="1">
      <c r="O76" s="1570">
        <v>6</v>
      </c>
      <c r="P76" s="1571"/>
      <c r="Q76" s="1552" t="str">
        <f>IF('DS Log Pg 1'!Q77="","",'DS Log Pg 1'!Q77)</f>
        <v/>
      </c>
      <c r="R76" s="1553"/>
      <c r="S76" s="1553"/>
      <c r="T76" s="1553"/>
      <c r="U76" s="1553"/>
      <c r="V76" s="1553"/>
      <c r="W76" s="1553"/>
      <c r="X76" s="1553"/>
      <c r="Y76" s="1553"/>
      <c r="Z76" s="1553"/>
      <c r="AA76" s="1553"/>
      <c r="AB76" s="1554"/>
    </row>
    <row r="77" spans="12:28" ht="29.4" thickBot="1">
      <c r="O77" s="1570">
        <v>7</v>
      </c>
      <c r="P77" s="1571"/>
      <c r="Q77" s="1552" t="str">
        <f>IF('DS Log Pg 1'!Q78="","",'DS Log Pg 1'!Q78)</f>
        <v/>
      </c>
      <c r="R77" s="1553"/>
      <c r="S77" s="1553"/>
      <c r="T77" s="1553"/>
      <c r="U77" s="1553"/>
      <c r="V77" s="1553"/>
      <c r="W77" s="1553"/>
      <c r="X77" s="1553"/>
      <c r="Y77" s="1553"/>
      <c r="Z77" s="1553"/>
      <c r="AA77" s="1553"/>
      <c r="AB77" s="1554"/>
    </row>
    <row r="78" spans="12:28" ht="29.4" thickBot="1">
      <c r="O78" s="1570">
        <v>8</v>
      </c>
      <c r="P78" s="1571"/>
      <c r="Q78" s="1552" t="str">
        <f>IF('DS Log Pg 1'!Q79="","",'DS Log Pg 1'!Q79)</f>
        <v/>
      </c>
      <c r="R78" s="1553"/>
      <c r="S78" s="1553"/>
      <c r="T78" s="1553"/>
      <c r="U78" s="1553"/>
      <c r="V78" s="1553"/>
      <c r="W78" s="1553"/>
      <c r="X78" s="1553"/>
      <c r="Y78" s="1553"/>
      <c r="Z78" s="1553"/>
      <c r="AA78" s="1553"/>
      <c r="AB78" s="1554"/>
    </row>
    <row r="79" spans="12:28" ht="29.4" thickBot="1">
      <c r="O79" s="1570">
        <v>9</v>
      </c>
      <c r="P79" s="1571"/>
      <c r="Q79" s="1552" t="str">
        <f>IF('DS Log Pg 1'!Q80="","",'DS Log Pg 1'!Q80)</f>
        <v/>
      </c>
      <c r="R79" s="1553"/>
      <c r="S79" s="1553"/>
      <c r="T79" s="1553"/>
      <c r="U79" s="1553"/>
      <c r="V79" s="1553"/>
      <c r="W79" s="1553"/>
      <c r="X79" s="1553"/>
      <c r="Y79" s="1553"/>
      <c r="Z79" s="1553"/>
      <c r="AA79" s="1553"/>
      <c r="AB79" s="1554"/>
    </row>
    <row r="80" spans="12:28" ht="29.4" thickBot="1">
      <c r="O80" s="1583">
        <v>10</v>
      </c>
      <c r="P80" s="1584"/>
      <c r="Q80" s="1585" t="str">
        <f>IF('DS Log Pg 1'!Q81="","",'DS Log Pg 1'!Q81)</f>
        <v/>
      </c>
      <c r="R80" s="1586"/>
      <c r="S80" s="1586"/>
      <c r="T80" s="1586"/>
      <c r="U80" s="1586"/>
      <c r="V80" s="1586"/>
      <c r="W80" s="1586"/>
      <c r="X80" s="1586"/>
      <c r="Y80" s="1586"/>
      <c r="Z80" s="1586"/>
      <c r="AA80" s="1586"/>
      <c r="AB80" s="1587"/>
    </row>
  </sheetData>
  <sheetProtection algorithmName="SHA-512" hashValue="3dy6iF1aCMQ9SLD4OKzlIkkasQ6fyZof0n8o0j7189KaEiTFV3YD1Oy5obsQ7dl0yYM+ToleLSSMs3CoWTsmJg==" saltValue="P9gxpS7IGGoF5Wtm4t4OtQ==" spinCount="100000" sheet="1" objects="1" scenarios="1" selectLockedCells="1"/>
  <mergeCells count="160">
    <mergeCell ref="H10:L10"/>
    <mergeCell ref="N10:P10"/>
    <mergeCell ref="R10:S10"/>
    <mergeCell ref="X10:Y10"/>
    <mergeCell ref="B7:B8"/>
    <mergeCell ref="C7:D7"/>
    <mergeCell ref="E7:E8"/>
    <mergeCell ref="F7:F8"/>
    <mergeCell ref="H7:L8"/>
    <mergeCell ref="N7:Z7"/>
    <mergeCell ref="N8:P8"/>
    <mergeCell ref="R8:S8"/>
    <mergeCell ref="X1:Z1"/>
    <mergeCell ref="W2:Z2"/>
    <mergeCell ref="C3:W3"/>
    <mergeCell ref="B4:Z4"/>
    <mergeCell ref="Q5:S5"/>
    <mergeCell ref="T5:V5"/>
    <mergeCell ref="H9:L9"/>
    <mergeCell ref="N9:P9"/>
    <mergeCell ref="R9:S9"/>
    <mergeCell ref="X9:Y9"/>
    <mergeCell ref="Y3:Z3"/>
    <mergeCell ref="A2:V2"/>
    <mergeCell ref="X5:Y5"/>
    <mergeCell ref="G7:G8"/>
    <mergeCell ref="I5:J5"/>
    <mergeCell ref="L5:N5"/>
    <mergeCell ref="H13:L13"/>
    <mergeCell ref="N13:P13"/>
    <mergeCell ref="R13:S13"/>
    <mergeCell ref="X13:Y13"/>
    <mergeCell ref="H14:L14"/>
    <mergeCell ref="H15:L15"/>
    <mergeCell ref="N15:Z15"/>
    <mergeCell ref="H11:L11"/>
    <mergeCell ref="N11:P11"/>
    <mergeCell ref="R11:S11"/>
    <mergeCell ref="X11:Y11"/>
    <mergeCell ref="H12:L12"/>
    <mergeCell ref="N12:P12"/>
    <mergeCell ref="R12:S12"/>
    <mergeCell ref="X12:Y12"/>
    <mergeCell ref="H19:L19"/>
    <mergeCell ref="H20:L20"/>
    <mergeCell ref="N20:Z20"/>
    <mergeCell ref="H21:L21"/>
    <mergeCell ref="N21:Z21"/>
    <mergeCell ref="H22:L22"/>
    <mergeCell ref="P22:X22"/>
    <mergeCell ref="H16:L16"/>
    <mergeCell ref="N16:Z16"/>
    <mergeCell ref="H17:L17"/>
    <mergeCell ref="N17:O17"/>
    <mergeCell ref="H18:L18"/>
    <mergeCell ref="N18:O18"/>
    <mergeCell ref="Q18:R18"/>
    <mergeCell ref="S18:T18"/>
    <mergeCell ref="V18:X18"/>
    <mergeCell ref="Y18:Z18"/>
    <mergeCell ref="H28:L28"/>
    <mergeCell ref="O28:P28"/>
    <mergeCell ref="W28:X28"/>
    <mergeCell ref="Y28:Z28"/>
    <mergeCell ref="H29:L29"/>
    <mergeCell ref="O29:P29"/>
    <mergeCell ref="H23:L23"/>
    <mergeCell ref="N23:Q23"/>
    <mergeCell ref="S23:X23"/>
    <mergeCell ref="H24:L24"/>
    <mergeCell ref="N24:Z24"/>
    <mergeCell ref="H25:L25"/>
    <mergeCell ref="Q25:V28"/>
    <mergeCell ref="H26:L26"/>
    <mergeCell ref="H27:L27"/>
    <mergeCell ref="N27:P27"/>
    <mergeCell ref="H33:L33"/>
    <mergeCell ref="N33:O33"/>
    <mergeCell ref="P33:X33"/>
    <mergeCell ref="H34:L34"/>
    <mergeCell ref="N34:Z34"/>
    <mergeCell ref="H35:L35"/>
    <mergeCell ref="H30:L30"/>
    <mergeCell ref="O30:P30"/>
    <mergeCell ref="H31:L31"/>
    <mergeCell ref="H32:L32"/>
    <mergeCell ref="N32:O32"/>
    <mergeCell ref="P32:X32"/>
    <mergeCell ref="H40:L40"/>
    <mergeCell ref="X40:Y40"/>
    <mergeCell ref="H41:L41"/>
    <mergeCell ref="X41:Y41"/>
    <mergeCell ref="H42:L42"/>
    <mergeCell ref="X42:Y42"/>
    <mergeCell ref="H36:L36"/>
    <mergeCell ref="H37:L37"/>
    <mergeCell ref="X37:Y37"/>
    <mergeCell ref="H38:L38"/>
    <mergeCell ref="X38:Y38"/>
    <mergeCell ref="H39:L39"/>
    <mergeCell ref="H48:L48"/>
    <mergeCell ref="N48:O49"/>
    <mergeCell ref="P48:X49"/>
    <mergeCell ref="H49:L49"/>
    <mergeCell ref="H50:L50"/>
    <mergeCell ref="N50:Z51"/>
    <mergeCell ref="H51:L51"/>
    <mergeCell ref="H43:L43"/>
    <mergeCell ref="X43:Y43"/>
    <mergeCell ref="H44:L44"/>
    <mergeCell ref="H45:L45"/>
    <mergeCell ref="N45:X45"/>
    <mergeCell ref="H46:L46"/>
    <mergeCell ref="N46:O47"/>
    <mergeCell ref="P46:X47"/>
    <mergeCell ref="H47:L47"/>
    <mergeCell ref="L71:N71"/>
    <mergeCell ref="O68:AB68"/>
    <mergeCell ref="O69:AB70"/>
    <mergeCell ref="O71:P71"/>
    <mergeCell ref="Q71:AB71"/>
    <mergeCell ref="O72:P72"/>
    <mergeCell ref="Q72:AB72"/>
    <mergeCell ref="O73:P73"/>
    <mergeCell ref="H52:L52"/>
    <mergeCell ref="M52:P52"/>
    <mergeCell ref="Q52:Z52"/>
    <mergeCell ref="H53:L53"/>
    <mergeCell ref="H54:L54"/>
    <mergeCell ref="I61:N61"/>
    <mergeCell ref="Q61:R61"/>
    <mergeCell ref="S61:T61"/>
    <mergeCell ref="V61:X61"/>
    <mergeCell ref="H58:L58"/>
    <mergeCell ref="H59:L59"/>
    <mergeCell ref="Q73:AB73"/>
    <mergeCell ref="B60:C60"/>
    <mergeCell ref="I60:N60"/>
    <mergeCell ref="Q60:R60"/>
    <mergeCell ref="V60:W60"/>
    <mergeCell ref="X60:Y60"/>
    <mergeCell ref="M53:Z59"/>
    <mergeCell ref="H55:L55"/>
    <mergeCell ref="H56:L56"/>
    <mergeCell ref="H57:L57"/>
    <mergeCell ref="AW28:AX28"/>
    <mergeCell ref="O74:P74"/>
    <mergeCell ref="O80:P80"/>
    <mergeCell ref="Q80:AB80"/>
    <mergeCell ref="O75:P75"/>
    <mergeCell ref="Q75:AB75"/>
    <mergeCell ref="O76:P76"/>
    <mergeCell ref="Q76:AB76"/>
    <mergeCell ref="O77:P77"/>
    <mergeCell ref="Q77:AB77"/>
    <mergeCell ref="O78:P78"/>
    <mergeCell ref="Q78:AB78"/>
    <mergeCell ref="O79:P79"/>
    <mergeCell ref="Q79:AB79"/>
    <mergeCell ref="Q74:AB74"/>
  </mergeCells>
  <conditionalFormatting sqref="I5:J5">
    <cfRule type="expression" dxfId="136" priority="3">
      <formula>$I$5=0</formula>
    </cfRule>
  </conditionalFormatting>
  <conditionalFormatting sqref="L5">
    <cfRule type="expression" dxfId="135" priority="2">
      <formula>$I$5=0</formula>
    </cfRule>
  </conditionalFormatting>
  <conditionalFormatting sqref="W28:X28">
    <cfRule type="expression" dxfId="134" priority="1">
      <formula>AND((AZ28)&lt;&gt;(W28),(AZ29)&lt;&gt;(W28))</formula>
    </cfRule>
  </conditionalFormatting>
  <dataValidations count="1">
    <dataValidation type="list" allowBlank="1" showInputMessage="1" showErrorMessage="1" sqref="G9:G59" xr:uid="{00000000-0002-0000-0400-000000000000}">
      <formula1>$O$71:$O$81</formula1>
    </dataValidation>
  </dataValidations>
  <printOptions horizontalCentered="1"/>
  <pageMargins left="0.25" right="0.25" top="0.5" bottom="0.5" header="0" footer="0"/>
  <pageSetup scale="29" orientation="portrait" r:id="rId1"/>
  <drawing r:id="rId2"/>
  <extLst>
    <ext xmlns:x14="http://schemas.microsoft.com/office/spreadsheetml/2009/9/main" uri="{CCE6A557-97BC-4b89-ADB6-D9C93CAAB3DF}">
      <x14:dataValidations xmlns:xm="http://schemas.microsoft.com/office/excel/2006/main" count="2">
        <x14:dataValidation type="list" showInputMessage="1" xr:uid="{00000000-0002-0000-0400-000001000000}">
          <x14:formula1>
            <xm:f>List!$F$12:$F$16</xm:f>
          </x14:formula1>
          <xm:sqref>T5:V5</xm:sqref>
        </x14:dataValidation>
        <x14:dataValidation type="list" showInputMessage="1" xr:uid="{00000000-0002-0000-0400-000002000000}">
          <x14:formula1>
            <xm:f>List!$F$37:$F$43</xm:f>
          </x14:formula1>
          <xm:sqref>X5:Y5</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EBFCF7-E9C7-488A-AE3A-5160F425B33B}">
  <sheetPr>
    <tabColor rgb="FFFFFF00"/>
    <pageSetUpPr fitToPage="1"/>
  </sheetPr>
  <dimension ref="B1:JB63"/>
  <sheetViews>
    <sheetView showGridLines="0" topLeftCell="A12" zoomScaleNormal="100" workbookViewId="0">
      <selection activeCell="F14" sqref="F14:M14"/>
    </sheetView>
  </sheetViews>
  <sheetFormatPr defaultColWidth="10.88671875" defaultRowHeight="15" customHeight="1"/>
  <cols>
    <col min="1" max="1" width="5.6640625" style="648" customWidth="1"/>
    <col min="2" max="2" width="1.88671875" style="599" customWidth="1"/>
    <col min="3" max="3" width="1.33203125" style="599" customWidth="1"/>
    <col min="4" max="4" width="9.5546875" style="599" customWidth="1"/>
    <col min="5" max="5" width="4.33203125" style="599" customWidth="1"/>
    <col min="6" max="6" width="9.5546875" style="599" customWidth="1"/>
    <col min="7" max="7" width="5.33203125" style="599" customWidth="1"/>
    <col min="8" max="8" width="7.5546875" style="599" customWidth="1"/>
    <col min="9" max="9" width="5.33203125" style="599" customWidth="1"/>
    <col min="10" max="11" width="1" style="599" customWidth="1"/>
    <col min="12" max="12" width="7.33203125" style="599" customWidth="1"/>
    <col min="13" max="13" width="4.33203125" style="599" customWidth="1"/>
    <col min="14" max="14" width="6.88671875" style="599" customWidth="1"/>
    <col min="15" max="15" width="4.33203125" style="599" customWidth="1"/>
    <col min="16" max="16" width="8.44140625" style="599" customWidth="1"/>
    <col min="17" max="17" width="2.5546875" style="599" customWidth="1"/>
    <col min="18" max="18" width="1" style="599" customWidth="1"/>
    <col min="19" max="19" width="7.109375" style="599" customWidth="1"/>
    <col min="20" max="20" width="1.6640625" style="599" customWidth="1"/>
    <col min="21" max="21" width="2.109375" style="599" customWidth="1"/>
    <col min="22" max="22" width="1.109375" style="599" customWidth="1"/>
    <col min="23" max="23" width="7.44140625" style="599" customWidth="1"/>
    <col min="24" max="24" width="2.33203125" style="599" customWidth="1"/>
    <col min="25" max="25" width="5.33203125" style="599" customWidth="1"/>
    <col min="26" max="26" width="3.33203125" style="599" customWidth="1"/>
    <col min="27" max="27" width="5.33203125" style="599" customWidth="1"/>
    <col min="28" max="28" width="2.5546875" style="599" customWidth="1"/>
    <col min="29" max="29" width="6.44140625" style="599" customWidth="1"/>
    <col min="30" max="30" width="7.88671875" style="599" customWidth="1"/>
    <col min="31" max="31" width="4.88671875" style="599" customWidth="1"/>
    <col min="32" max="32" width="4.6640625" style="599" customWidth="1"/>
    <col min="33" max="33" width="8.6640625" style="599" customWidth="1"/>
    <col min="34" max="34" width="3.44140625" style="599" customWidth="1"/>
    <col min="35" max="35" width="1.6640625" style="599" customWidth="1"/>
    <col min="36" max="36" width="2.33203125" style="599" customWidth="1"/>
    <col min="37" max="48" width="10.88671875" style="599"/>
    <col min="49" max="53" width="0" style="599" hidden="1" customWidth="1"/>
    <col min="54" max="262" width="10.88671875" style="599"/>
    <col min="263" max="16384" width="10.88671875" style="648"/>
  </cols>
  <sheetData>
    <row r="1" spans="2:36" ht="15" customHeight="1">
      <c r="AF1" s="1768" t="str">
        <f>'DS Log Pg 1'!U1</f>
        <v>700-010-84</v>
      </c>
      <c r="AG1" s="1768"/>
      <c r="AH1" s="1768"/>
    </row>
    <row r="2" spans="2:36" ht="12" customHeight="1">
      <c r="B2" s="600"/>
      <c r="C2" s="600"/>
      <c r="D2" s="600"/>
      <c r="E2" s="600"/>
      <c r="F2" s="600"/>
      <c r="G2" s="600"/>
      <c r="H2" s="600"/>
      <c r="I2" s="600"/>
      <c r="J2" s="600"/>
      <c r="K2" s="600"/>
      <c r="L2" s="600"/>
      <c r="M2" s="600"/>
      <c r="N2" s="601"/>
      <c r="O2" s="601"/>
      <c r="P2" s="600"/>
      <c r="Q2" s="600"/>
      <c r="R2" s="600"/>
      <c r="S2" s="600"/>
      <c r="T2" s="600"/>
      <c r="U2" s="600"/>
      <c r="V2" s="600"/>
      <c r="W2" s="602"/>
      <c r="X2" s="602"/>
      <c r="Y2" s="602"/>
      <c r="Z2" s="600"/>
      <c r="AA2" s="600"/>
      <c r="AB2" s="600"/>
      <c r="AC2" s="603"/>
      <c r="AD2" s="603"/>
      <c r="AE2" s="603"/>
      <c r="AF2" s="1769" t="s">
        <v>8</v>
      </c>
      <c r="AG2" s="1769"/>
      <c r="AH2" s="1769"/>
      <c r="AI2" s="603"/>
      <c r="AJ2" s="604"/>
    </row>
    <row r="3" spans="2:36" ht="12.75" customHeight="1">
      <c r="B3" s="600"/>
      <c r="C3" s="600"/>
      <c r="D3" s="600"/>
      <c r="E3" s="600"/>
      <c r="F3" s="600"/>
      <c r="G3" s="600"/>
      <c r="H3" s="600"/>
      <c r="I3" s="600"/>
      <c r="J3" s="600"/>
      <c r="K3" s="600"/>
      <c r="L3" s="1770" t="s">
        <v>98</v>
      </c>
      <c r="M3" s="1771"/>
      <c r="N3" s="1771"/>
      <c r="O3" s="1771"/>
      <c r="P3" s="1771"/>
      <c r="Q3" s="1771"/>
      <c r="R3" s="1771"/>
      <c r="S3" s="1771"/>
      <c r="T3" s="1771"/>
      <c r="U3" s="1771"/>
      <c r="V3" s="1771"/>
      <c r="W3" s="1771"/>
      <c r="X3" s="1771"/>
      <c r="Y3" s="603"/>
      <c r="Z3" s="600"/>
      <c r="AA3" s="600"/>
      <c r="AB3" s="600"/>
      <c r="AC3" s="603"/>
      <c r="AD3" s="603"/>
      <c r="AE3" s="603"/>
      <c r="AF3" s="605"/>
      <c r="AG3" s="1772">
        <f>'DS Log Pg 1'!U3</f>
        <v>45222</v>
      </c>
      <c r="AH3" s="1772"/>
      <c r="AI3" s="603"/>
      <c r="AJ3" s="604"/>
    </row>
    <row r="4" spans="2:36" ht="23.1" customHeight="1">
      <c r="B4" s="600"/>
      <c r="C4" s="600"/>
      <c r="D4" s="600"/>
      <c r="E4" s="600"/>
      <c r="F4" s="600"/>
      <c r="G4" s="600"/>
      <c r="H4" s="1773" t="s">
        <v>990</v>
      </c>
      <c r="I4" s="1774"/>
      <c r="J4" s="1774"/>
      <c r="K4" s="1774"/>
      <c r="L4" s="1774"/>
      <c r="M4" s="1774"/>
      <c r="N4" s="1774"/>
      <c r="O4" s="1774"/>
      <c r="P4" s="1774"/>
      <c r="Q4" s="1774"/>
      <c r="R4" s="1774"/>
      <c r="S4" s="1774"/>
      <c r="T4" s="1774"/>
      <c r="U4" s="1774"/>
      <c r="V4" s="1774"/>
      <c r="W4" s="1774"/>
      <c r="X4" s="1774"/>
      <c r="Y4" s="1774"/>
      <c r="Z4" s="1774"/>
      <c r="AA4" s="1774"/>
      <c r="AB4" s="606"/>
      <c r="AC4" s="607"/>
      <c r="AD4" s="607"/>
      <c r="AE4" s="607"/>
      <c r="AF4" s="607"/>
      <c r="AG4" s="600"/>
      <c r="AH4" s="600"/>
      <c r="AI4" s="603"/>
      <c r="AJ4" s="604"/>
    </row>
    <row r="5" spans="2:36" ht="14.1" customHeight="1" thickBot="1">
      <c r="B5" s="1766"/>
      <c r="C5" s="1767"/>
      <c r="D5" s="1767"/>
      <c r="E5" s="1767"/>
      <c r="F5" s="600"/>
      <c r="G5" s="600"/>
      <c r="H5" s="600"/>
      <c r="I5" s="600"/>
      <c r="J5" s="600"/>
      <c r="K5" s="600"/>
      <c r="L5" s="608"/>
      <c r="M5" s="609"/>
      <c r="N5" s="609"/>
      <c r="O5" s="609"/>
      <c r="P5" s="609"/>
      <c r="Q5" s="609"/>
      <c r="R5" s="609"/>
      <c r="S5" s="609"/>
      <c r="T5" s="609"/>
      <c r="U5" s="609"/>
      <c r="V5" s="609"/>
      <c r="W5" s="609"/>
      <c r="X5" s="609"/>
      <c r="Y5" s="609"/>
      <c r="Z5" s="600"/>
      <c r="AA5" s="600"/>
      <c r="AB5" s="600"/>
      <c r="AC5" s="610"/>
      <c r="AD5" s="610"/>
      <c r="AE5" s="610"/>
      <c r="AF5" s="610"/>
      <c r="AG5" s="600"/>
      <c r="AH5" s="600"/>
      <c r="AI5" s="603"/>
      <c r="AJ5" s="604"/>
    </row>
    <row r="6" spans="2:36" ht="21.75" customHeight="1" thickTop="1" thickBot="1">
      <c r="B6" s="611"/>
      <c r="C6" s="612"/>
      <c r="D6" s="612"/>
      <c r="E6" s="612"/>
      <c r="F6" s="612"/>
      <c r="G6" s="612"/>
      <c r="H6" s="612"/>
      <c r="I6" s="612"/>
      <c r="J6" s="612"/>
      <c r="K6" s="612"/>
      <c r="L6" s="613"/>
      <c r="M6" s="613"/>
      <c r="N6" s="613"/>
      <c r="O6" s="613"/>
      <c r="P6" s="613"/>
      <c r="Q6" s="613"/>
      <c r="R6" s="613"/>
      <c r="S6" s="613"/>
      <c r="T6" s="614"/>
      <c r="U6" s="614"/>
      <c r="V6" s="614"/>
      <c r="W6" s="614"/>
      <c r="X6" s="614"/>
      <c r="Y6" s="1775" t="s">
        <v>687</v>
      </c>
      <c r="Z6" s="1776"/>
      <c r="AA6" s="1776"/>
      <c r="AB6" s="1776"/>
      <c r="AC6" s="1776"/>
      <c r="AD6" s="1777"/>
      <c r="AE6" s="1778"/>
      <c r="AF6" s="935" t="s">
        <v>981</v>
      </c>
      <c r="AG6" s="938"/>
      <c r="AH6" s="615"/>
      <c r="AI6" s="603"/>
      <c r="AJ6" s="604"/>
    </row>
    <row r="7" spans="2:36" ht="23.1" customHeight="1" thickBot="1">
      <c r="B7" s="616"/>
      <c r="C7" s="1779" t="s">
        <v>669</v>
      </c>
      <c r="D7" s="1779"/>
      <c r="E7" s="1779"/>
      <c r="F7" s="1779"/>
      <c r="G7" s="1780"/>
      <c r="H7" s="1780"/>
      <c r="I7" s="1780"/>
      <c r="J7" s="1780"/>
      <c r="K7" s="1780"/>
      <c r="L7" s="1780"/>
      <c r="M7" s="1780"/>
      <c r="N7" s="1781"/>
      <c r="O7" s="1781"/>
      <c r="P7" s="1781"/>
      <c r="Q7" s="1781"/>
      <c r="R7" s="1781"/>
      <c r="S7" s="1781"/>
      <c r="T7" s="1781"/>
      <c r="U7" s="1781"/>
      <c r="V7" s="1781"/>
      <c r="W7" s="1781"/>
      <c r="X7" s="617"/>
      <c r="Y7" s="1782" t="s">
        <v>670</v>
      </c>
      <c r="Z7" s="1783"/>
      <c r="AA7" s="1783"/>
      <c r="AB7" s="1783"/>
      <c r="AC7" s="1783"/>
      <c r="AD7" s="1784"/>
      <c r="AE7" s="1784"/>
      <c r="AF7" s="1784"/>
      <c r="AG7" s="1784"/>
      <c r="AH7" s="618"/>
      <c r="AI7" s="604"/>
      <c r="AJ7" s="604"/>
    </row>
    <row r="8" spans="2:36" ht="23.1" customHeight="1" thickBot="1">
      <c r="B8" s="616"/>
      <c r="C8" s="1786" t="s">
        <v>688</v>
      </c>
      <c r="D8" s="1786"/>
      <c r="E8" s="1786"/>
      <c r="F8" s="1786"/>
      <c r="G8" s="1780"/>
      <c r="H8" s="1780"/>
      <c r="I8" s="1780"/>
      <c r="J8" s="1780"/>
      <c r="K8" s="1780"/>
      <c r="L8" s="1780"/>
      <c r="M8" s="1780"/>
      <c r="N8" s="1781"/>
      <c r="O8" s="1781"/>
      <c r="P8" s="1781"/>
      <c r="Q8" s="1781"/>
      <c r="R8" s="1781"/>
      <c r="S8" s="1781"/>
      <c r="T8" s="1781"/>
      <c r="U8" s="1781"/>
      <c r="V8" s="1781"/>
      <c r="W8" s="1781"/>
      <c r="X8" s="617"/>
      <c r="Y8" s="1782" t="s">
        <v>671</v>
      </c>
      <c r="Z8" s="1783"/>
      <c r="AA8" s="1783"/>
      <c r="AB8" s="1783"/>
      <c r="AC8" s="1783"/>
      <c r="AD8" s="1787"/>
      <c r="AE8" s="1787"/>
      <c r="AF8" s="1787"/>
      <c r="AG8" s="1787"/>
      <c r="AH8" s="618"/>
      <c r="AI8" s="619"/>
      <c r="AJ8" s="619"/>
    </row>
    <row r="9" spans="2:36" ht="23.1" customHeight="1" thickBot="1">
      <c r="B9" s="616"/>
      <c r="C9" s="1788" t="s">
        <v>689</v>
      </c>
      <c r="D9" s="1789"/>
      <c r="E9" s="1789"/>
      <c r="F9" s="1789"/>
      <c r="G9" s="1780"/>
      <c r="H9" s="1780"/>
      <c r="I9" s="1780"/>
      <c r="J9" s="1780"/>
      <c r="K9" s="1780"/>
      <c r="L9" s="1780"/>
      <c r="M9" s="1780"/>
      <c r="N9" s="620" t="s">
        <v>690</v>
      </c>
      <c r="O9" s="1790"/>
      <c r="P9" s="1791"/>
      <c r="Q9" s="1791"/>
      <c r="R9" s="1791"/>
      <c r="S9" s="619" t="s">
        <v>675</v>
      </c>
      <c r="T9" s="1792"/>
      <c r="U9" s="1793"/>
      <c r="V9" s="1793"/>
      <c r="W9" s="1793"/>
      <c r="X9" s="617"/>
      <c r="Y9" s="1782" t="s">
        <v>673</v>
      </c>
      <c r="Z9" s="1783"/>
      <c r="AA9" s="1783"/>
      <c r="AB9" s="1783"/>
      <c r="AC9" s="1783"/>
      <c r="AD9" s="1785"/>
      <c r="AE9" s="1785"/>
      <c r="AF9" s="1785"/>
      <c r="AG9" s="1785"/>
      <c r="AH9" s="618"/>
      <c r="AI9" s="619"/>
      <c r="AJ9" s="619"/>
    </row>
    <row r="10" spans="2:36" ht="23.1" customHeight="1" thickBot="1">
      <c r="B10" s="616"/>
      <c r="C10" s="1788" t="s">
        <v>691</v>
      </c>
      <c r="D10" s="1789"/>
      <c r="E10" s="1789"/>
      <c r="F10" s="1789"/>
      <c r="G10" s="1780"/>
      <c r="H10" s="1780"/>
      <c r="I10" s="1780"/>
      <c r="J10" s="1780"/>
      <c r="K10" s="1780"/>
      <c r="L10" s="1780"/>
      <c r="M10" s="1780"/>
      <c r="N10" s="621" t="s">
        <v>690</v>
      </c>
      <c r="O10" s="1790"/>
      <c r="P10" s="1791"/>
      <c r="Q10" s="1791"/>
      <c r="R10" s="1791"/>
      <c r="S10" s="619" t="s">
        <v>675</v>
      </c>
      <c r="T10" s="1792"/>
      <c r="U10" s="1793"/>
      <c r="V10" s="1793"/>
      <c r="W10" s="1793"/>
      <c r="X10" s="617"/>
      <c r="Y10" s="1782" t="s">
        <v>151</v>
      </c>
      <c r="Z10" s="1783"/>
      <c r="AA10" s="1783"/>
      <c r="AB10" s="1783"/>
      <c r="AC10" s="1783"/>
      <c r="AD10" s="1785"/>
      <c r="AE10" s="1785"/>
      <c r="AF10" s="1785"/>
      <c r="AG10" s="1785"/>
      <c r="AH10" s="618"/>
      <c r="AI10" s="619"/>
      <c r="AJ10" s="619"/>
    </row>
    <row r="11" spans="2:36" ht="25.5" customHeight="1" thickBot="1">
      <c r="B11" s="616"/>
      <c r="C11" s="622"/>
      <c r="D11" s="622"/>
      <c r="E11" s="622"/>
      <c r="F11" s="623"/>
      <c r="G11" s="624"/>
      <c r="H11" s="624"/>
      <c r="I11" s="624"/>
      <c r="J11" s="624"/>
      <c r="K11" s="624"/>
      <c r="L11" s="624"/>
      <c r="M11" s="624"/>
      <c r="N11" s="621"/>
      <c r="O11" s="625"/>
      <c r="P11" s="624"/>
      <c r="Q11" s="624"/>
      <c r="R11" s="624"/>
      <c r="S11" s="600"/>
      <c r="T11" s="626"/>
      <c r="U11" s="617"/>
      <c r="V11" s="617"/>
      <c r="W11" s="617"/>
      <c r="X11" s="617"/>
      <c r="Y11" s="1782" t="s">
        <v>685</v>
      </c>
      <c r="Z11" s="1783"/>
      <c r="AA11" s="1783"/>
      <c r="AB11" s="1783"/>
      <c r="AC11" s="1783"/>
      <c r="AD11" s="1787"/>
      <c r="AE11" s="1787"/>
      <c r="AF11" s="1787"/>
      <c r="AG11" s="1787"/>
      <c r="AH11" s="618"/>
      <c r="AI11" s="619"/>
      <c r="AJ11" s="619"/>
    </row>
    <row r="12" spans="2:36" ht="18" customHeight="1" thickBot="1">
      <c r="B12" s="627"/>
      <c r="C12" s="628"/>
      <c r="D12" s="628"/>
      <c r="E12" s="628"/>
      <c r="F12" s="629"/>
      <c r="G12" s="630"/>
      <c r="H12" s="630"/>
      <c r="I12" s="630"/>
      <c r="J12" s="630"/>
      <c r="K12" s="630"/>
      <c r="L12" s="630"/>
      <c r="M12" s="630"/>
      <c r="N12" s="630"/>
      <c r="O12" s="630"/>
      <c r="P12" s="631"/>
      <c r="Q12" s="631"/>
      <c r="R12" s="632"/>
      <c r="S12" s="633"/>
      <c r="T12" s="633"/>
      <c r="U12" s="634"/>
      <c r="V12" s="634"/>
      <c r="W12" s="635"/>
      <c r="X12" s="636"/>
      <c r="Y12" s="637"/>
      <c r="Z12" s="637"/>
      <c r="AA12" s="637"/>
      <c r="AB12" s="637"/>
      <c r="AC12" s="637"/>
      <c r="AD12" s="637"/>
      <c r="AE12" s="637"/>
      <c r="AF12" s="637"/>
      <c r="AG12" s="637"/>
      <c r="AH12" s="638"/>
      <c r="AI12" s="619"/>
      <c r="AJ12" s="619"/>
    </row>
    <row r="13" spans="2:36" ht="10.199999999999999" customHeight="1">
      <c r="B13" s="616"/>
      <c r="C13" s="622"/>
      <c r="D13" s="622"/>
      <c r="E13" s="622"/>
      <c r="F13" s="639"/>
      <c r="G13" s="640"/>
      <c r="H13" s="640"/>
      <c r="I13" s="640"/>
      <c r="J13" s="640"/>
      <c r="K13" s="640"/>
      <c r="L13" s="640"/>
      <c r="M13" s="640"/>
      <c r="N13" s="640"/>
      <c r="O13" s="640"/>
      <c r="P13" s="641"/>
      <c r="Q13" s="641"/>
      <c r="R13" s="642"/>
      <c r="S13" s="600"/>
      <c r="T13" s="600"/>
      <c r="U13" s="626"/>
      <c r="V13" s="626"/>
      <c r="W13" s="643"/>
      <c r="X13" s="644"/>
      <c r="Y13" s="645"/>
      <c r="Z13" s="645"/>
      <c r="AA13" s="645"/>
      <c r="AB13" s="645"/>
      <c r="AC13" s="645"/>
      <c r="AD13" s="645"/>
      <c r="AE13" s="645"/>
      <c r="AF13" s="645"/>
      <c r="AG13" s="645"/>
      <c r="AH13" s="618"/>
      <c r="AI13" s="619"/>
      <c r="AJ13" s="619"/>
    </row>
    <row r="14" spans="2:36" ht="31.95" customHeight="1" thickBot="1">
      <c r="B14" s="1795" t="s">
        <v>692</v>
      </c>
      <c r="C14" s="1796"/>
      <c r="D14" s="1796"/>
      <c r="E14" s="1796"/>
      <c r="F14" s="1797"/>
      <c r="G14" s="1797"/>
      <c r="H14" s="1797"/>
      <c r="I14" s="1797"/>
      <c r="J14" s="1797"/>
      <c r="K14" s="1797"/>
      <c r="L14" s="1797"/>
      <c r="M14" s="1797"/>
      <c r="N14" s="1798" t="s">
        <v>693</v>
      </c>
      <c r="O14" s="1798"/>
      <c r="P14" s="1782"/>
      <c r="Q14" s="1782"/>
      <c r="R14" s="1782"/>
      <c r="S14" s="1782"/>
      <c r="T14" s="1782"/>
      <c r="U14" s="1782"/>
      <c r="V14" s="1782"/>
      <c r="W14" s="1782"/>
      <c r="X14" s="1782"/>
      <c r="Y14" s="1782"/>
      <c r="Z14" s="1782"/>
      <c r="AA14" s="1782"/>
      <c r="AB14" s="626"/>
      <c r="AC14" s="646" t="s">
        <v>677</v>
      </c>
      <c r="AD14" s="867"/>
      <c r="AE14" s="804"/>
      <c r="AF14" s="868" t="s">
        <v>678</v>
      </c>
      <c r="AG14" s="867"/>
      <c r="AH14" s="649"/>
      <c r="AI14" s="619"/>
      <c r="AJ14" s="619"/>
    </row>
    <row r="15" spans="2:36" ht="10.199999999999999" customHeight="1">
      <c r="B15" s="650"/>
      <c r="C15" s="1794"/>
      <c r="D15" s="1794"/>
      <c r="E15" s="1794"/>
      <c r="F15" s="1794"/>
      <c r="G15" s="651"/>
      <c r="H15" s="651"/>
      <c r="I15" s="651"/>
      <c r="J15" s="651"/>
      <c r="K15" s="651"/>
      <c r="L15" s="651"/>
      <c r="M15" s="651"/>
      <c r="N15" s="652" t="s">
        <v>694</v>
      </c>
      <c r="O15" s="652"/>
      <c r="P15" s="651"/>
      <c r="Q15" s="651"/>
      <c r="R15" s="651"/>
      <c r="S15" s="600"/>
      <c r="T15" s="600"/>
      <c r="U15" s="600"/>
      <c r="V15" s="600"/>
      <c r="W15" s="602"/>
      <c r="X15" s="653"/>
      <c r="Y15" s="653"/>
      <c r="Z15" s="651"/>
      <c r="AA15" s="619"/>
      <c r="AB15" s="619"/>
      <c r="AC15" s="647"/>
      <c r="AD15" s="647"/>
      <c r="AE15" s="647"/>
      <c r="AF15" s="647"/>
      <c r="AG15" s="647"/>
      <c r="AH15" s="649"/>
      <c r="AI15" s="619"/>
      <c r="AJ15" s="619"/>
    </row>
    <row r="16" spans="2:36" ht="18" customHeight="1">
      <c r="B16" s="650"/>
      <c r="C16" s="654"/>
      <c r="H16" s="651"/>
      <c r="I16" s="651"/>
      <c r="J16" s="651"/>
      <c r="K16" s="651"/>
      <c r="L16" s="651"/>
      <c r="M16" s="651"/>
      <c r="N16" s="651"/>
      <c r="O16" s="651"/>
      <c r="P16" s="651"/>
      <c r="Q16" s="651"/>
      <c r="R16" s="651"/>
      <c r="S16" s="653"/>
      <c r="T16" s="653"/>
      <c r="U16" s="653"/>
      <c r="V16" s="653"/>
      <c r="W16" s="653" t="s">
        <v>695</v>
      </c>
      <c r="X16" s="651"/>
      <c r="Y16" s="651"/>
      <c r="Z16" s="619"/>
      <c r="AA16" s="619"/>
      <c r="AB16" s="619"/>
      <c r="AC16" s="619"/>
      <c r="AD16" s="619"/>
      <c r="AE16" s="619"/>
      <c r="AF16" s="619"/>
      <c r="AG16" s="619"/>
      <c r="AH16" s="649"/>
      <c r="AI16" s="619"/>
      <c r="AJ16" s="619"/>
    </row>
    <row r="17" spans="2:55" ht="15" customHeight="1">
      <c r="B17" s="650"/>
      <c r="C17" s="626" t="s">
        <v>696</v>
      </c>
      <c r="D17" s="626"/>
      <c r="E17" s="619"/>
      <c r="F17" s="619"/>
      <c r="G17" s="619"/>
      <c r="H17" s="619"/>
      <c r="I17" s="619"/>
      <c r="J17" s="619"/>
      <c r="K17" s="619"/>
      <c r="L17" s="619"/>
      <c r="M17" s="619"/>
      <c r="N17" s="619"/>
      <c r="O17" s="619"/>
      <c r="P17" s="619"/>
      <c r="Q17" s="619"/>
      <c r="R17" s="619"/>
      <c r="S17" s="619"/>
      <c r="T17" s="619"/>
      <c r="U17" s="619"/>
      <c r="V17" s="619"/>
      <c r="W17" s="643"/>
      <c r="X17" s="643"/>
      <c r="Y17" s="643"/>
      <c r="Z17" s="619"/>
      <c r="AA17" s="619"/>
      <c r="AB17" s="619"/>
      <c r="AC17" s="619"/>
      <c r="AD17" s="1799" t="s">
        <v>1218</v>
      </c>
      <c r="AE17" s="1799"/>
      <c r="AF17" s="1800"/>
      <c r="AG17" s="1800"/>
      <c r="AH17" s="649"/>
      <c r="AI17" s="604"/>
      <c r="AJ17" s="604"/>
      <c r="AR17" s="1801" t="s">
        <v>1220</v>
      </c>
      <c r="AS17" s="1801"/>
      <c r="AT17" s="599" cm="1">
        <f t="array" ref="AT17:AU17">'DS Log Pg 2'!W28:X28</f>
        <v>0</v>
      </c>
      <c r="AU17" s="599">
        <v>0</v>
      </c>
    </row>
    <row r="18" spans="2:55" ht="19.95" customHeight="1" thickBot="1">
      <c r="B18" s="650"/>
      <c r="C18" s="1802" t="s">
        <v>1301</v>
      </c>
      <c r="D18" s="1802"/>
      <c r="E18" s="1802"/>
      <c r="F18" s="1802"/>
      <c r="G18" s="762"/>
      <c r="H18" s="619"/>
      <c r="I18" s="619"/>
      <c r="J18" s="619"/>
      <c r="K18" s="619"/>
      <c r="L18" s="619"/>
      <c r="M18" s="619"/>
      <c r="N18" s="619"/>
      <c r="O18" s="619"/>
      <c r="P18" s="619"/>
      <c r="Q18" s="619"/>
      <c r="R18" s="619"/>
      <c r="S18" s="619"/>
      <c r="T18" s="619"/>
      <c r="U18" s="619"/>
      <c r="V18" s="619"/>
      <c r="W18" s="643"/>
      <c r="X18" s="643"/>
      <c r="Y18" s="643"/>
      <c r="Z18" s="619"/>
      <c r="AA18" s="619"/>
      <c r="AB18" s="619"/>
      <c r="AC18" s="619"/>
      <c r="AD18" s="619"/>
      <c r="AE18" s="619"/>
      <c r="AF18" s="619"/>
      <c r="AG18" s="619"/>
      <c r="AH18" s="649"/>
      <c r="AI18" s="604"/>
      <c r="AJ18" s="604"/>
    </row>
    <row r="19" spans="2:55" ht="4.95" customHeight="1">
      <c r="B19" s="650"/>
      <c r="H19" s="619"/>
      <c r="I19" s="619"/>
      <c r="J19" s="619"/>
      <c r="K19" s="619"/>
      <c r="L19" s="619"/>
      <c r="M19" s="619"/>
      <c r="N19" s="655"/>
      <c r="O19" s="619"/>
      <c r="P19" s="619"/>
      <c r="Q19" s="619"/>
      <c r="R19" s="619"/>
      <c r="S19" s="619"/>
      <c r="T19" s="619"/>
      <c r="U19" s="619"/>
      <c r="V19" s="619"/>
      <c r="W19" s="643"/>
      <c r="X19" s="643"/>
      <c r="Y19" s="643"/>
      <c r="Z19" s="619"/>
      <c r="AA19" s="619"/>
      <c r="AB19" s="619"/>
      <c r="AC19" s="619"/>
      <c r="AD19" s="619"/>
      <c r="AE19" s="619"/>
      <c r="AF19" s="619"/>
      <c r="AG19" s="619"/>
      <c r="AH19" s="649"/>
      <c r="AI19" s="604"/>
      <c r="AJ19" s="604"/>
    </row>
    <row r="20" spans="2:55" ht="17.399999999999999" customHeight="1" thickBot="1">
      <c r="B20" s="650"/>
      <c r="C20" s="1803" t="s">
        <v>697</v>
      </c>
      <c r="D20" s="1803"/>
      <c r="E20" s="1803"/>
      <c r="F20" s="1803"/>
      <c r="G20" s="1369" t="str">
        <f>IF(OR(F14="Natural Slurry",F14="Water"),"",IF(F14="","",IF(G18="","",IF(AV21=30, AP30,AP31))))</f>
        <v/>
      </c>
      <c r="H20" s="663" t="s">
        <v>698</v>
      </c>
      <c r="I20" s="1369" t="str">
        <f>IF(OR(F14="Natural Slurry",F14="Water"),AP35,IF(F14="","",IF(G18="","",IF(AV21=30, AP33,AP34))))</f>
        <v/>
      </c>
      <c r="J20" s="805"/>
      <c r="K20" s="1804" t="s">
        <v>699</v>
      </c>
      <c r="L20" s="1804"/>
      <c r="M20" s="1804"/>
      <c r="N20" s="762"/>
      <c r="O20" s="663" t="s">
        <v>698</v>
      </c>
      <c r="P20" s="762"/>
      <c r="Q20" s="806"/>
      <c r="R20" s="1805" t="s">
        <v>700</v>
      </c>
      <c r="S20" s="1806"/>
      <c r="T20" s="1806"/>
      <c r="U20" s="1806"/>
      <c r="V20" s="1806"/>
      <c r="W20" s="1806"/>
      <c r="X20" s="1806"/>
      <c r="Y20" s="1369" t="str">
        <f>IF(F14="Water","",IF(F14="Natural Slurry","",AV21))</f>
        <v/>
      </c>
      <c r="Z20" s="807" t="s">
        <v>698</v>
      </c>
      <c r="AA20" s="762" t="str">
        <f>IF(OR(F14="Natural Slurry",F14="water"),"",IF(OR(F14=bent,F14=att),40, ""))</f>
        <v/>
      </c>
      <c r="AB20" s="805"/>
      <c r="AC20" s="1807" t="s">
        <v>887</v>
      </c>
      <c r="AD20" s="1808"/>
      <c r="AE20" s="1808"/>
      <c r="AF20" s="1808"/>
      <c r="AG20" s="1369" t="str">
        <f>IF(F14="Natural Slurry","",IF(F14="Water","",BC21))</f>
        <v/>
      </c>
      <c r="AH20" s="656" t="s">
        <v>701</v>
      </c>
      <c r="AI20" s="604"/>
      <c r="AJ20" s="604"/>
      <c r="AP20" s="1368" t="s">
        <v>1304</v>
      </c>
      <c r="AR20" s="1368" t="s">
        <v>1303</v>
      </c>
      <c r="AV20" s="599" t="s">
        <v>1298</v>
      </c>
      <c r="BC20" s="599" t="s">
        <v>1300</v>
      </c>
    </row>
    <row r="21" spans="2:55" ht="16.5" customHeight="1">
      <c r="B21" s="650"/>
      <c r="C21" s="600"/>
      <c r="D21" s="600"/>
      <c r="E21" s="600"/>
      <c r="F21" s="600"/>
      <c r="G21" s="600"/>
      <c r="H21" s="600"/>
      <c r="I21" s="600"/>
      <c r="J21" s="600"/>
      <c r="K21" s="600"/>
      <c r="L21" s="600"/>
      <c r="M21" s="600"/>
      <c r="N21" s="600"/>
      <c r="O21" s="600"/>
      <c r="P21" s="600"/>
      <c r="Q21" s="600"/>
      <c r="R21" s="600"/>
      <c r="S21" s="600"/>
      <c r="T21" s="600"/>
      <c r="U21" s="602"/>
      <c r="V21" s="602"/>
      <c r="W21" s="602"/>
      <c r="X21" s="602"/>
      <c r="Y21" s="600"/>
      <c r="Z21" s="600"/>
      <c r="AA21" s="600"/>
      <c r="AB21" s="600"/>
      <c r="AC21" s="600"/>
      <c r="AD21" s="600"/>
      <c r="AE21" s="600"/>
      <c r="AF21" s="600"/>
      <c r="AG21" s="600"/>
      <c r="AH21" s="657"/>
      <c r="AI21" s="604"/>
      <c r="AJ21" s="604"/>
      <c r="AP21" s="599" t="s">
        <v>1302</v>
      </c>
      <c r="AR21" s="599" t="s">
        <v>1288</v>
      </c>
      <c r="AV21" s="599" t="str">
        <f>IF(F14="","",IF(F14=cetco,50,IF(F14=PB,50,IF(F14=PM,50,IF(F14=PK,50,30)))))</f>
        <v/>
      </c>
      <c r="BC21" s="599" t="str">
        <f>IF(F14="","",IF(AV21=50,0.5,4))</f>
        <v/>
      </c>
    </row>
    <row r="22" spans="2:55" ht="17.100000000000001" customHeight="1" thickBot="1">
      <c r="B22" s="650"/>
      <c r="C22" s="890" t="s">
        <v>702</v>
      </c>
      <c r="D22" s="891"/>
      <c r="E22" s="1811" t="s">
        <v>1138</v>
      </c>
      <c r="F22" s="1811"/>
      <c r="G22" s="1811"/>
      <c r="H22" s="1811"/>
      <c r="I22" s="1811"/>
      <c r="J22" s="1811"/>
      <c r="K22" s="1811"/>
      <c r="L22" s="1811"/>
      <c r="M22" s="1811"/>
      <c r="N22" s="1811"/>
      <c r="O22" s="1811"/>
      <c r="P22" s="1811"/>
      <c r="Q22" s="1811"/>
      <c r="R22" s="1811"/>
      <c r="S22" s="1811"/>
      <c r="T22" s="1811"/>
      <c r="U22" s="1811"/>
      <c r="V22" s="1811"/>
      <c r="W22" s="1811"/>
      <c r="X22" s="1811"/>
      <c r="Y22" s="1811"/>
      <c r="Z22" s="1811"/>
      <c r="AA22" s="1811"/>
      <c r="AB22" s="1794" t="s">
        <v>1137</v>
      </c>
      <c r="AC22" s="1794"/>
      <c r="AD22" s="1794"/>
      <c r="AE22" s="1812"/>
      <c r="AF22" s="1812"/>
      <c r="AG22" s="1812"/>
      <c r="AH22" s="657"/>
      <c r="AI22" s="604"/>
      <c r="AJ22" s="604"/>
      <c r="AP22" s="599" t="s">
        <v>1305</v>
      </c>
      <c r="AR22" s="599" t="s">
        <v>1286</v>
      </c>
      <c r="AV22" s="599" t="s">
        <v>1298</v>
      </c>
    </row>
    <row r="23" spans="2:55" ht="15" customHeight="1">
      <c r="B23" s="650"/>
      <c r="C23" s="600"/>
      <c r="D23" s="600"/>
      <c r="E23" s="602"/>
      <c r="F23" s="643"/>
      <c r="G23" s="643"/>
      <c r="H23" s="643"/>
      <c r="I23" s="643"/>
      <c r="J23" s="643"/>
      <c r="K23" s="643"/>
      <c r="L23" s="643"/>
      <c r="M23" s="1799" t="s">
        <v>703</v>
      </c>
      <c r="N23" s="1813"/>
      <c r="O23" s="1813"/>
      <c r="P23" s="1814" t="s">
        <v>704</v>
      </c>
      <c r="Q23" s="1815"/>
      <c r="R23" s="659"/>
      <c r="S23" s="643"/>
      <c r="T23" s="643"/>
      <c r="U23" s="643"/>
      <c r="V23" s="643"/>
      <c r="W23" s="643"/>
      <c r="X23" s="643"/>
      <c r="Y23" s="619"/>
      <c r="Z23" s="619"/>
      <c r="AA23" s="619"/>
      <c r="AB23" s="619"/>
      <c r="AC23" s="1794"/>
      <c r="AD23" s="1794"/>
      <c r="AE23" s="1794"/>
      <c r="AF23" s="1794"/>
      <c r="AG23" s="1794"/>
      <c r="AH23" s="657"/>
      <c r="AI23" s="604"/>
      <c r="AJ23" s="604"/>
      <c r="AP23" s="1370" t="s">
        <v>196</v>
      </c>
      <c r="AR23" s="599" t="s">
        <v>1287</v>
      </c>
      <c r="AV23" s="599" t="str">
        <f>IF(F14="","",IF(F14=PC,50,IF(F14=PB,50,IF(F14=PM,50,IF(F14=PK,119,40)))))</f>
        <v/>
      </c>
    </row>
    <row r="24" spans="2:55" ht="15" customHeight="1">
      <c r="B24" s="650"/>
      <c r="C24" s="600"/>
      <c r="D24" s="646" t="s">
        <v>705</v>
      </c>
      <c r="E24" s="602"/>
      <c r="F24" s="646" t="s">
        <v>1153</v>
      </c>
      <c r="G24" s="660"/>
      <c r="H24" s="646" t="s">
        <v>706</v>
      </c>
      <c r="I24" s="660"/>
      <c r="J24" s="660"/>
      <c r="K24" s="660"/>
      <c r="L24" s="646" t="s">
        <v>707</v>
      </c>
      <c r="M24" s="1782"/>
      <c r="N24" s="1782"/>
      <c r="O24" s="1782"/>
      <c r="P24" s="1815"/>
      <c r="Q24" s="1815"/>
      <c r="R24" s="659"/>
      <c r="S24" s="646" t="s">
        <v>708</v>
      </c>
      <c r="T24" s="646"/>
      <c r="U24" s="643"/>
      <c r="V24" s="643"/>
      <c r="W24" s="646" t="s">
        <v>709</v>
      </c>
      <c r="X24" s="643"/>
      <c r="Y24" s="1816" t="s">
        <v>710</v>
      </c>
      <c r="Z24" s="1817"/>
      <c r="AA24" s="1817"/>
      <c r="AB24" s="1817"/>
      <c r="AC24" s="1817"/>
      <c r="AD24" s="661"/>
      <c r="AE24" s="661"/>
      <c r="AF24" s="661"/>
      <c r="AG24" s="619"/>
      <c r="AH24" s="657"/>
      <c r="AI24" s="604"/>
      <c r="AJ24" s="604"/>
      <c r="AR24" s="599" t="s">
        <v>1285</v>
      </c>
    </row>
    <row r="25" spans="2:55" ht="18.899999999999999" customHeight="1" thickBot="1">
      <c r="B25" s="650"/>
      <c r="C25" s="600"/>
      <c r="D25" s="643"/>
      <c r="E25" s="600"/>
      <c r="F25" s="643" t="s">
        <v>13</v>
      </c>
      <c r="G25" s="662"/>
      <c r="H25" s="646" t="s">
        <v>711</v>
      </c>
      <c r="I25" s="660"/>
      <c r="J25" s="660"/>
      <c r="K25" s="660"/>
      <c r="L25" s="643"/>
      <c r="M25" s="660"/>
      <c r="N25" s="646" t="s">
        <v>712</v>
      </c>
      <c r="O25" s="663"/>
      <c r="P25" s="1815"/>
      <c r="Q25" s="1815"/>
      <c r="R25" s="659"/>
      <c r="S25" s="643"/>
      <c r="T25" s="660"/>
      <c r="U25" s="660"/>
      <c r="V25" s="660"/>
      <c r="W25" s="643"/>
      <c r="X25" s="643"/>
      <c r="Y25" s="1818"/>
      <c r="Z25" s="1818"/>
      <c r="AA25" s="1818"/>
      <c r="AB25" s="1818"/>
      <c r="AC25" s="1818"/>
      <c r="AD25" s="1818"/>
      <c r="AE25" s="1818"/>
      <c r="AF25" s="1818"/>
      <c r="AG25" s="1818"/>
      <c r="AH25" s="657"/>
      <c r="AI25" s="604"/>
      <c r="AJ25" s="604"/>
      <c r="AR25" s="599" t="s">
        <v>1297</v>
      </c>
    </row>
    <row r="26" spans="2:55" ht="24" customHeight="1" thickBot="1">
      <c r="B26" s="650"/>
      <c r="C26" s="600"/>
      <c r="D26" s="1262"/>
      <c r="E26" s="600"/>
      <c r="F26" s="1323"/>
      <c r="G26" s="664"/>
      <c r="H26" s="763"/>
      <c r="I26" s="664"/>
      <c r="J26" s="664"/>
      <c r="K26" s="664"/>
      <c r="L26" s="763"/>
      <c r="M26" s="664"/>
      <c r="N26" s="763"/>
      <c r="O26" s="664"/>
      <c r="P26" s="763"/>
      <c r="Q26" s="665"/>
      <c r="R26" s="666"/>
      <c r="S26" s="763"/>
      <c r="T26" s="665"/>
      <c r="U26" s="665"/>
      <c r="V26" s="665"/>
      <c r="W26" s="763"/>
      <c r="X26" s="666"/>
      <c r="Y26" s="1819"/>
      <c r="Z26" s="1819"/>
      <c r="AA26" s="1819"/>
      <c r="AB26" s="1819"/>
      <c r="AC26" s="1819"/>
      <c r="AD26" s="1819"/>
      <c r="AE26" s="1819"/>
      <c r="AF26" s="1819"/>
      <c r="AG26" s="1819"/>
      <c r="AH26" s="657"/>
      <c r="AI26" s="604"/>
      <c r="AJ26" s="604"/>
      <c r="AR26" s="599" t="s">
        <v>1296</v>
      </c>
    </row>
    <row r="27" spans="2:55" ht="24" customHeight="1" thickBot="1">
      <c r="B27" s="650"/>
      <c r="C27" s="600"/>
      <c r="D27" s="1262"/>
      <c r="E27" s="600"/>
      <c r="F27" s="1323"/>
      <c r="G27" s="664"/>
      <c r="H27" s="763"/>
      <c r="I27" s="664"/>
      <c r="J27" s="664"/>
      <c r="K27" s="664"/>
      <c r="L27" s="763"/>
      <c r="M27" s="664"/>
      <c r="N27" s="763"/>
      <c r="O27" s="664"/>
      <c r="P27" s="763"/>
      <c r="Q27" s="665"/>
      <c r="R27" s="666"/>
      <c r="S27" s="763"/>
      <c r="T27" s="665"/>
      <c r="U27" s="665"/>
      <c r="V27" s="665"/>
      <c r="W27" s="763"/>
      <c r="X27" s="666"/>
      <c r="Y27" s="1324"/>
      <c r="Z27" s="1324"/>
      <c r="AA27" s="1324"/>
      <c r="AB27" s="1324"/>
      <c r="AC27" s="1324"/>
      <c r="AD27" s="1324"/>
      <c r="AE27" s="1324"/>
      <c r="AF27" s="1324"/>
      <c r="AG27" s="1324"/>
      <c r="AH27" s="1325"/>
      <c r="AI27" s="604"/>
      <c r="AJ27" s="604"/>
      <c r="AR27" s="599" t="s">
        <v>1313</v>
      </c>
    </row>
    <row r="28" spans="2:55" ht="24" customHeight="1" thickBot="1">
      <c r="B28" s="650"/>
      <c r="C28" s="600"/>
      <c r="D28" s="1262"/>
      <c r="E28" s="600"/>
      <c r="F28" s="1323"/>
      <c r="G28" s="664"/>
      <c r="H28" s="763"/>
      <c r="I28" s="664"/>
      <c r="J28" s="664"/>
      <c r="K28" s="664"/>
      <c r="L28" s="763"/>
      <c r="M28" s="664"/>
      <c r="N28" s="763"/>
      <c r="O28" s="664"/>
      <c r="P28" s="763"/>
      <c r="Q28" s="665"/>
      <c r="R28" s="666"/>
      <c r="S28" s="763"/>
      <c r="T28" s="665"/>
      <c r="U28" s="665"/>
      <c r="V28" s="665"/>
      <c r="W28" s="763"/>
      <c r="X28" s="666"/>
      <c r="Y28" s="1324"/>
      <c r="Z28" s="1324"/>
      <c r="AA28" s="1324"/>
      <c r="AB28" s="1324"/>
      <c r="AC28" s="1324"/>
      <c r="AD28" s="1324"/>
      <c r="AE28" s="1324"/>
      <c r="AF28" s="1324"/>
      <c r="AG28" s="1324"/>
      <c r="AH28" s="1325"/>
      <c r="AI28" s="604"/>
      <c r="AJ28" s="604"/>
      <c r="AR28" s="599" t="s">
        <v>1314</v>
      </c>
    </row>
    <row r="29" spans="2:55" ht="24" customHeight="1" thickBot="1">
      <c r="B29" s="650"/>
      <c r="C29" s="600"/>
      <c r="D29" s="1262"/>
      <c r="E29" s="600"/>
      <c r="F29" s="1323"/>
      <c r="G29" s="664"/>
      <c r="H29" s="763"/>
      <c r="I29" s="664"/>
      <c r="J29" s="664"/>
      <c r="K29" s="664"/>
      <c r="L29" s="763"/>
      <c r="M29" s="664"/>
      <c r="N29" s="763"/>
      <c r="O29" s="664"/>
      <c r="P29" s="763"/>
      <c r="Q29" s="665"/>
      <c r="R29" s="666"/>
      <c r="S29" s="763"/>
      <c r="T29" s="665"/>
      <c r="U29" s="665"/>
      <c r="V29" s="665"/>
      <c r="W29" s="763"/>
      <c r="X29" s="666"/>
      <c r="Y29" s="1324"/>
      <c r="Z29" s="1324"/>
      <c r="AA29" s="1324"/>
      <c r="AB29" s="1324"/>
      <c r="AC29" s="1324"/>
      <c r="AD29" s="1324"/>
      <c r="AE29" s="1324"/>
      <c r="AF29" s="1324"/>
      <c r="AG29" s="1324"/>
      <c r="AH29" s="1325"/>
      <c r="AI29" s="604"/>
      <c r="AJ29" s="604"/>
      <c r="AP29" s="1368" t="s">
        <v>1306</v>
      </c>
      <c r="AQ29" s="1368"/>
      <c r="AR29" s="1368" t="s">
        <v>1298</v>
      </c>
    </row>
    <row r="30" spans="2:55" ht="24" customHeight="1" thickBot="1">
      <c r="B30" s="650"/>
      <c r="C30" s="600"/>
      <c r="D30" s="1262"/>
      <c r="E30" s="600"/>
      <c r="F30" s="1323"/>
      <c r="G30" s="664"/>
      <c r="H30" s="763"/>
      <c r="I30" s="664"/>
      <c r="J30" s="664"/>
      <c r="K30" s="664"/>
      <c r="L30" s="763"/>
      <c r="M30" s="664"/>
      <c r="N30" s="763"/>
      <c r="O30" s="664"/>
      <c r="P30" s="763"/>
      <c r="Q30" s="665"/>
      <c r="R30" s="666"/>
      <c r="S30" s="763"/>
      <c r="T30" s="665"/>
      <c r="U30" s="665"/>
      <c r="V30" s="665"/>
      <c r="W30" s="763"/>
      <c r="X30" s="666"/>
      <c r="Y30" s="1324"/>
      <c r="Z30" s="1324"/>
      <c r="AA30" s="1324"/>
      <c r="AB30" s="1324"/>
      <c r="AC30" s="1324"/>
      <c r="AD30" s="1324"/>
      <c r="AE30" s="1324"/>
      <c r="AF30" s="1324"/>
      <c r="AG30" s="1324"/>
      <c r="AH30" s="1325"/>
      <c r="AI30" s="604"/>
      <c r="AJ30" s="604"/>
      <c r="AO30" s="599" t="s">
        <v>1307</v>
      </c>
      <c r="AP30" s="599">
        <f>IF(AND(G18="Y",Y20=30),64,66)</f>
        <v>66</v>
      </c>
      <c r="AR30" s="599">
        <v>30</v>
      </c>
    </row>
    <row r="31" spans="2:55" ht="24" customHeight="1" thickBot="1">
      <c r="B31" s="650"/>
      <c r="C31" s="600"/>
      <c r="D31" s="1262"/>
      <c r="E31" s="600"/>
      <c r="F31" s="1323"/>
      <c r="G31" s="664"/>
      <c r="H31" s="763"/>
      <c r="I31" s="664"/>
      <c r="J31" s="664"/>
      <c r="K31" s="664"/>
      <c r="L31" s="763"/>
      <c r="M31" s="664"/>
      <c r="N31" s="763"/>
      <c r="O31" s="664"/>
      <c r="P31" s="763"/>
      <c r="Q31" s="665"/>
      <c r="R31" s="666"/>
      <c r="S31" s="763"/>
      <c r="T31" s="665"/>
      <c r="U31" s="665"/>
      <c r="V31" s="665"/>
      <c r="W31" s="763"/>
      <c r="X31" s="666"/>
      <c r="Y31" s="1324"/>
      <c r="Z31" s="1324"/>
      <c r="AA31" s="1324"/>
      <c r="AB31" s="1324"/>
      <c r="AC31" s="1324"/>
      <c r="AD31" s="1324"/>
      <c r="AE31" s="1324"/>
      <c r="AF31" s="1324"/>
      <c r="AG31" s="1324"/>
      <c r="AH31" s="1325"/>
      <c r="AI31" s="604"/>
      <c r="AJ31" s="604"/>
      <c r="AO31" s="599" t="s">
        <v>1308</v>
      </c>
      <c r="AP31" s="599">
        <f>IF(AND(G18="Y",Y20=50),62,64)</f>
        <v>64</v>
      </c>
      <c r="AR31" s="599">
        <v>50</v>
      </c>
    </row>
    <row r="32" spans="2:55" ht="24" customHeight="1" thickBot="1">
      <c r="B32" s="650"/>
      <c r="C32" s="600"/>
      <c r="D32" s="1262"/>
      <c r="E32" s="600"/>
      <c r="F32" s="1323"/>
      <c r="G32" s="664"/>
      <c r="H32" s="763"/>
      <c r="I32" s="664"/>
      <c r="J32" s="664"/>
      <c r="K32" s="664"/>
      <c r="L32" s="763"/>
      <c r="M32" s="664"/>
      <c r="N32" s="763"/>
      <c r="O32" s="664"/>
      <c r="P32" s="763"/>
      <c r="Q32" s="665"/>
      <c r="R32" s="666"/>
      <c r="S32" s="763"/>
      <c r="T32" s="665"/>
      <c r="U32" s="665"/>
      <c r="V32" s="665"/>
      <c r="W32" s="763"/>
      <c r="X32" s="666"/>
      <c r="Y32" s="1324"/>
      <c r="Z32" s="1324"/>
      <c r="AA32" s="1324"/>
      <c r="AB32" s="1324"/>
      <c r="AC32" s="1324"/>
      <c r="AD32" s="1324"/>
      <c r="AE32" s="1324"/>
      <c r="AF32" s="1324"/>
      <c r="AG32" s="1324"/>
      <c r="AH32" s="1325"/>
      <c r="AI32" s="604"/>
      <c r="AJ32" s="604"/>
      <c r="AP32" s="1368" t="s">
        <v>1309</v>
      </c>
      <c r="AQ32" s="1368"/>
      <c r="AR32" s="1368" t="s">
        <v>1299</v>
      </c>
    </row>
    <row r="33" spans="2:262" ht="24" customHeight="1" thickBot="1">
      <c r="B33" s="650"/>
      <c r="C33" s="600"/>
      <c r="D33" s="1262"/>
      <c r="E33" s="600"/>
      <c r="F33" s="1323"/>
      <c r="G33" s="664"/>
      <c r="H33" s="763"/>
      <c r="I33" s="664"/>
      <c r="J33" s="664"/>
      <c r="K33" s="664"/>
      <c r="L33" s="763"/>
      <c r="M33" s="664"/>
      <c r="N33" s="763"/>
      <c r="O33" s="664"/>
      <c r="P33" s="763"/>
      <c r="Q33" s="665"/>
      <c r="R33" s="666"/>
      <c r="S33" s="763"/>
      <c r="T33" s="665"/>
      <c r="U33" s="665"/>
      <c r="V33" s="665"/>
      <c r="W33" s="763"/>
      <c r="X33" s="666"/>
      <c r="Y33" s="1324"/>
      <c r="Z33" s="1324"/>
      <c r="AA33" s="1324"/>
      <c r="AB33" s="1324"/>
      <c r="AC33" s="1324"/>
      <c r="AD33" s="1324"/>
      <c r="AE33" s="1324"/>
      <c r="AF33" s="1324"/>
      <c r="AG33" s="1324"/>
      <c r="AH33" s="1325"/>
      <c r="AI33" s="604"/>
      <c r="AJ33" s="604"/>
      <c r="AO33" s="599" t="s">
        <v>1307</v>
      </c>
      <c r="AP33" s="599">
        <f>IF(AND(G18="Y",Y20=30),73,75)</f>
        <v>75</v>
      </c>
      <c r="AR33" s="599">
        <v>40</v>
      </c>
    </row>
    <row r="34" spans="2:262" ht="24" customHeight="1" thickBot="1">
      <c r="B34" s="650"/>
      <c r="C34" s="600"/>
      <c r="D34" s="1262"/>
      <c r="E34" s="600"/>
      <c r="F34" s="1323"/>
      <c r="G34" s="664"/>
      <c r="H34" s="763"/>
      <c r="I34" s="664"/>
      <c r="J34" s="664"/>
      <c r="K34" s="664"/>
      <c r="L34" s="763"/>
      <c r="M34" s="664"/>
      <c r="N34" s="763"/>
      <c r="O34" s="664"/>
      <c r="P34" s="763"/>
      <c r="Q34" s="665"/>
      <c r="R34" s="666"/>
      <c r="S34" s="763"/>
      <c r="T34" s="665"/>
      <c r="U34" s="665"/>
      <c r="V34" s="665"/>
      <c r="W34" s="763"/>
      <c r="X34" s="666"/>
      <c r="Y34" s="1324"/>
      <c r="Z34" s="1324"/>
      <c r="AA34" s="1324"/>
      <c r="AB34" s="1324"/>
      <c r="AC34" s="1324"/>
      <c r="AD34" s="1324"/>
      <c r="AE34" s="1324"/>
      <c r="AF34" s="1324"/>
      <c r="AG34" s="1324"/>
      <c r="AH34" s="1325"/>
      <c r="AI34" s="604"/>
      <c r="AJ34" s="604"/>
      <c r="AO34" s="599" t="s">
        <v>1308</v>
      </c>
      <c r="AP34" s="599">
        <f>IF(AND(G18="Y",Y20=50),65,67)</f>
        <v>67</v>
      </c>
      <c r="AR34" s="599">
        <v>70</v>
      </c>
    </row>
    <row r="35" spans="2:262" ht="24" customHeight="1" thickBot="1">
      <c r="B35" s="650"/>
      <c r="C35" s="600"/>
      <c r="D35" s="1262"/>
      <c r="E35" s="600"/>
      <c r="F35" s="1323"/>
      <c r="G35" s="664"/>
      <c r="H35" s="763"/>
      <c r="I35" s="664"/>
      <c r="J35" s="664"/>
      <c r="K35" s="664"/>
      <c r="L35" s="763"/>
      <c r="M35" s="664"/>
      <c r="N35" s="763"/>
      <c r="O35" s="664"/>
      <c r="P35" s="763"/>
      <c r="Q35" s="665"/>
      <c r="R35" s="666"/>
      <c r="S35" s="763"/>
      <c r="T35" s="665"/>
      <c r="U35" s="665"/>
      <c r="V35" s="665"/>
      <c r="W35" s="763"/>
      <c r="X35" s="666"/>
      <c r="Y35" s="1324"/>
      <c r="Z35" s="1324"/>
      <c r="AA35" s="1324"/>
      <c r="AB35" s="1324"/>
      <c r="AC35" s="1324"/>
      <c r="AD35" s="1324"/>
      <c r="AE35" s="1324"/>
      <c r="AF35" s="1324"/>
      <c r="AG35" s="1324"/>
      <c r="AH35" s="1325"/>
      <c r="AI35" s="604"/>
      <c r="AJ35" s="604"/>
      <c r="AO35" s="599" t="s">
        <v>1315</v>
      </c>
      <c r="AP35" s="599">
        <f>IF(AND(G18="Y",F14="water"),73,IF(AND(G18="Y",F14="Natural Slurry"),73,75))</f>
        <v>75</v>
      </c>
    </row>
    <row r="36" spans="2:262" ht="24" customHeight="1" thickBot="1">
      <c r="B36" s="650"/>
      <c r="C36" s="600"/>
      <c r="D36" s="1262"/>
      <c r="E36" s="600"/>
      <c r="F36" s="1323"/>
      <c r="G36" s="664"/>
      <c r="H36" s="763"/>
      <c r="I36" s="664"/>
      <c r="J36" s="664"/>
      <c r="K36" s="664"/>
      <c r="L36" s="763"/>
      <c r="M36" s="664"/>
      <c r="N36" s="763"/>
      <c r="O36" s="664"/>
      <c r="P36" s="763"/>
      <c r="Q36" s="665"/>
      <c r="R36" s="666"/>
      <c r="S36" s="763"/>
      <c r="T36" s="665"/>
      <c r="U36" s="665"/>
      <c r="V36" s="665"/>
      <c r="W36" s="763"/>
      <c r="X36" s="666"/>
      <c r="Y36" s="1324"/>
      <c r="Z36" s="1324"/>
      <c r="AA36" s="1324"/>
      <c r="AB36" s="1324"/>
      <c r="AC36" s="1324"/>
      <c r="AD36" s="1324"/>
      <c r="AE36" s="1324"/>
      <c r="AF36" s="1324"/>
      <c r="AG36" s="1324"/>
      <c r="AH36" s="1325"/>
      <c r="AI36" s="604"/>
      <c r="AJ36" s="604"/>
      <c r="AP36" s="1368" t="s">
        <v>1310</v>
      </c>
      <c r="AR36" s="599">
        <v>85</v>
      </c>
    </row>
    <row r="37" spans="2:262" ht="24" customHeight="1" thickBot="1">
      <c r="B37" s="650"/>
      <c r="C37" s="600"/>
      <c r="D37" s="1262"/>
      <c r="E37" s="600"/>
      <c r="F37" s="1323"/>
      <c r="G37" s="664"/>
      <c r="H37" s="763"/>
      <c r="I37" s="664"/>
      <c r="J37" s="664"/>
      <c r="K37" s="664"/>
      <c r="L37" s="763"/>
      <c r="M37" s="664"/>
      <c r="N37" s="763"/>
      <c r="O37" s="664"/>
      <c r="P37" s="763"/>
      <c r="Q37" s="665"/>
      <c r="R37" s="666"/>
      <c r="S37" s="763"/>
      <c r="T37" s="665"/>
      <c r="U37" s="665"/>
      <c r="V37" s="665"/>
      <c r="W37" s="763"/>
      <c r="X37" s="666"/>
      <c r="Y37" s="1324"/>
      <c r="Z37" s="1324"/>
      <c r="AA37" s="1324"/>
      <c r="AB37" s="1324"/>
      <c r="AC37" s="1324"/>
      <c r="AD37" s="1324"/>
      <c r="AE37" s="1324"/>
      <c r="AF37" s="1324"/>
      <c r="AG37" s="1324"/>
      <c r="AH37" s="1325"/>
      <c r="AI37" s="604"/>
      <c r="AJ37" s="604"/>
      <c r="AO37" s="599" t="s">
        <v>1307</v>
      </c>
      <c r="AP37" s="599">
        <v>8</v>
      </c>
      <c r="AR37" s="599">
        <v>109</v>
      </c>
    </row>
    <row r="38" spans="2:262" ht="24" customHeight="1" thickBot="1">
      <c r="B38" s="650"/>
      <c r="C38" s="600"/>
      <c r="D38" s="1262"/>
      <c r="E38" s="600"/>
      <c r="F38" s="1323"/>
      <c r="G38" s="664"/>
      <c r="H38" s="763"/>
      <c r="I38" s="664"/>
      <c r="J38" s="664"/>
      <c r="K38" s="664"/>
      <c r="L38" s="763"/>
      <c r="M38" s="664"/>
      <c r="N38" s="763"/>
      <c r="O38" s="664"/>
      <c r="P38" s="763"/>
      <c r="Q38" s="665"/>
      <c r="R38" s="666"/>
      <c r="S38" s="763"/>
      <c r="T38" s="665"/>
      <c r="U38" s="665"/>
      <c r="V38" s="665"/>
      <c r="W38" s="763"/>
      <c r="X38" s="666"/>
      <c r="Y38" s="1819"/>
      <c r="Z38" s="1819"/>
      <c r="AA38" s="1819"/>
      <c r="AB38" s="1819"/>
      <c r="AC38" s="1819"/>
      <c r="AD38" s="1819"/>
      <c r="AE38" s="1819"/>
      <c r="AF38" s="1819"/>
      <c r="AG38" s="1819"/>
      <c r="AH38" s="657"/>
      <c r="AI38" s="604"/>
      <c r="AJ38" s="604"/>
      <c r="AO38" s="599" t="s">
        <v>1308</v>
      </c>
      <c r="AP38" s="599" t="str">
        <f>""</f>
        <v/>
      </c>
      <c r="AR38" s="599">
        <v>120</v>
      </c>
    </row>
    <row r="39" spans="2:262" ht="24" customHeight="1" thickBot="1">
      <c r="B39" s="650"/>
      <c r="C39" s="600"/>
      <c r="D39" s="1262"/>
      <c r="E39" s="600"/>
      <c r="F39" s="1323"/>
      <c r="G39" s="664"/>
      <c r="H39" s="763"/>
      <c r="I39" s="664"/>
      <c r="J39" s="664"/>
      <c r="K39" s="664"/>
      <c r="L39" s="763"/>
      <c r="M39" s="664"/>
      <c r="N39" s="763"/>
      <c r="O39" s="664"/>
      <c r="P39" s="763"/>
      <c r="Q39" s="665"/>
      <c r="R39" s="666"/>
      <c r="S39" s="763"/>
      <c r="T39" s="665"/>
      <c r="U39" s="665"/>
      <c r="V39" s="665"/>
      <c r="W39" s="763"/>
      <c r="X39" s="666"/>
      <c r="Y39" s="1819"/>
      <c r="Z39" s="1819"/>
      <c r="AA39" s="1819"/>
      <c r="AB39" s="1819"/>
      <c r="AC39" s="1819"/>
      <c r="AD39" s="1819"/>
      <c r="AE39" s="1819"/>
      <c r="AF39" s="1819"/>
      <c r="AG39" s="1819"/>
      <c r="AH39" s="657"/>
      <c r="AI39" s="604"/>
      <c r="AJ39" s="604"/>
      <c r="AP39" s="1368" t="s">
        <v>1311</v>
      </c>
    </row>
    <row r="40" spans="2:262" ht="24" customHeight="1" thickBot="1">
      <c r="B40" s="650"/>
      <c r="C40" s="600"/>
      <c r="D40" s="1262"/>
      <c r="E40" s="600"/>
      <c r="F40" s="1323"/>
      <c r="G40" s="664"/>
      <c r="H40" s="763"/>
      <c r="I40" s="808"/>
      <c r="J40" s="808"/>
      <c r="K40" s="664"/>
      <c r="L40" s="763"/>
      <c r="M40" s="664"/>
      <c r="N40" s="763"/>
      <c r="O40" s="664"/>
      <c r="P40" s="763"/>
      <c r="Q40" s="665"/>
      <c r="R40" s="666"/>
      <c r="S40" s="763"/>
      <c r="T40" s="665"/>
      <c r="U40" s="665"/>
      <c r="V40" s="665"/>
      <c r="W40" s="763"/>
      <c r="X40" s="666"/>
      <c r="Y40" s="1819"/>
      <c r="Z40" s="1819"/>
      <c r="AA40" s="1819"/>
      <c r="AB40" s="1819"/>
      <c r="AC40" s="1819"/>
      <c r="AD40" s="1819"/>
      <c r="AE40" s="1819"/>
      <c r="AF40" s="1819"/>
      <c r="AG40" s="1819"/>
      <c r="AH40" s="657"/>
      <c r="AI40" s="604"/>
      <c r="AJ40" s="604"/>
      <c r="AO40" s="599" t="s">
        <v>1307</v>
      </c>
      <c r="AP40" s="599">
        <v>11</v>
      </c>
    </row>
    <row r="41" spans="2:262" ht="24" customHeight="1" thickBot="1">
      <c r="B41" s="650"/>
      <c r="C41" s="600"/>
      <c r="D41" s="1262"/>
      <c r="E41" s="600"/>
      <c r="F41" s="1323"/>
      <c r="G41" s="664"/>
      <c r="H41" s="763"/>
      <c r="I41" s="664"/>
      <c r="J41" s="664"/>
      <c r="K41" s="808"/>
      <c r="L41" s="763"/>
      <c r="M41" s="664"/>
      <c r="N41" s="763"/>
      <c r="O41" s="664"/>
      <c r="P41" s="763"/>
      <c r="Q41" s="665"/>
      <c r="R41" s="666"/>
      <c r="S41" s="763"/>
      <c r="T41" s="665"/>
      <c r="U41" s="665"/>
      <c r="V41" s="665"/>
      <c r="W41" s="763"/>
      <c r="X41" s="666"/>
      <c r="Y41" s="1819"/>
      <c r="Z41" s="1819"/>
      <c r="AA41" s="1819"/>
      <c r="AB41" s="1819"/>
      <c r="AC41" s="1819"/>
      <c r="AD41" s="1819"/>
      <c r="AE41" s="1819"/>
      <c r="AF41" s="1819"/>
      <c r="AG41" s="1819"/>
      <c r="AH41" s="657"/>
      <c r="AI41" s="604"/>
      <c r="AJ41" s="604"/>
      <c r="AO41" s="599" t="s">
        <v>1308</v>
      </c>
      <c r="AP41" s="599" t="str">
        <f>""</f>
        <v/>
      </c>
    </row>
    <row r="42" spans="2:262" s="672" customFormat="1" ht="24" customHeight="1">
      <c r="B42" s="667"/>
      <c r="C42" s="668"/>
      <c r="D42" s="668"/>
      <c r="E42" s="668"/>
      <c r="F42" s="664"/>
      <c r="G42" s="664"/>
      <c r="H42" s="664"/>
      <c r="I42" s="664"/>
      <c r="J42" s="664"/>
      <c r="K42" s="664"/>
      <c r="L42" s="664"/>
      <c r="M42" s="664"/>
      <c r="N42" s="664"/>
      <c r="O42" s="664"/>
      <c r="P42" s="664"/>
      <c r="Q42" s="664"/>
      <c r="R42" s="666"/>
      <c r="S42" s="665"/>
      <c r="T42" s="665"/>
      <c r="U42" s="665"/>
      <c r="V42" s="665"/>
      <c r="W42" s="669"/>
      <c r="X42" s="666"/>
      <c r="Y42" s="670"/>
      <c r="Z42" s="671"/>
      <c r="AA42" s="671"/>
      <c r="AB42" s="671"/>
      <c r="AC42" s="671"/>
      <c r="AD42" s="671"/>
      <c r="AE42" s="671"/>
      <c r="AF42" s="671"/>
      <c r="AG42" s="671"/>
      <c r="AH42" s="657"/>
      <c r="AI42" s="604"/>
      <c r="AJ42" s="604"/>
      <c r="AK42" s="603"/>
      <c r="AL42" s="603"/>
      <c r="AM42" s="603"/>
      <c r="AN42" s="603"/>
      <c r="AO42" s="603"/>
      <c r="AP42" s="603"/>
      <c r="AQ42" s="603"/>
      <c r="AR42" s="603"/>
      <c r="AS42" s="603"/>
      <c r="AT42" s="603"/>
      <c r="AU42" s="603"/>
      <c r="AV42" s="603"/>
      <c r="AW42" s="603"/>
      <c r="AX42" s="603"/>
      <c r="AY42" s="603"/>
      <c r="AZ42" s="603"/>
      <c r="BA42" s="603"/>
      <c r="BB42" s="603"/>
      <c r="BC42" s="603"/>
      <c r="BD42" s="603"/>
      <c r="BE42" s="603"/>
      <c r="BF42" s="603"/>
      <c r="BG42" s="603"/>
      <c r="BH42" s="603"/>
      <c r="BI42" s="603"/>
      <c r="BJ42" s="603"/>
      <c r="BK42" s="603"/>
      <c r="BL42" s="603"/>
      <c r="BM42" s="603"/>
      <c r="BN42" s="603"/>
      <c r="BO42" s="603"/>
      <c r="BP42" s="603"/>
      <c r="BQ42" s="603"/>
      <c r="BR42" s="603"/>
      <c r="BS42" s="603"/>
      <c r="BT42" s="603"/>
      <c r="BU42" s="603"/>
      <c r="BV42" s="603"/>
      <c r="BW42" s="603"/>
      <c r="BX42" s="603"/>
      <c r="BY42" s="603"/>
      <c r="BZ42" s="603"/>
      <c r="CA42" s="603"/>
      <c r="CB42" s="603"/>
      <c r="CC42" s="603"/>
      <c r="CD42" s="603"/>
      <c r="CE42" s="603"/>
      <c r="CF42" s="603"/>
      <c r="CG42" s="603"/>
      <c r="CH42" s="603"/>
      <c r="CI42" s="603"/>
      <c r="CJ42" s="603"/>
      <c r="CK42" s="603"/>
      <c r="CL42" s="603"/>
      <c r="CM42" s="603"/>
      <c r="CN42" s="603"/>
      <c r="CO42" s="603"/>
      <c r="CP42" s="603"/>
      <c r="CQ42" s="603"/>
      <c r="CR42" s="603"/>
      <c r="CS42" s="603"/>
      <c r="CT42" s="603"/>
      <c r="CU42" s="603"/>
      <c r="CV42" s="603"/>
      <c r="CW42" s="603"/>
      <c r="CX42" s="603"/>
      <c r="CY42" s="603"/>
      <c r="CZ42" s="603"/>
      <c r="DA42" s="603"/>
      <c r="DB42" s="603"/>
      <c r="DC42" s="603"/>
      <c r="DD42" s="603"/>
      <c r="DE42" s="603"/>
      <c r="DF42" s="603"/>
      <c r="DG42" s="603"/>
      <c r="DH42" s="603"/>
      <c r="DI42" s="603"/>
      <c r="DJ42" s="603"/>
      <c r="DK42" s="603"/>
      <c r="DL42" s="603"/>
      <c r="DM42" s="603"/>
      <c r="DN42" s="603"/>
      <c r="DO42" s="603"/>
      <c r="DP42" s="603"/>
      <c r="DQ42" s="603"/>
      <c r="DR42" s="603"/>
      <c r="DS42" s="603"/>
      <c r="DT42" s="603"/>
      <c r="DU42" s="603"/>
      <c r="DV42" s="603"/>
      <c r="DW42" s="603"/>
      <c r="DX42" s="603"/>
      <c r="DY42" s="603"/>
      <c r="DZ42" s="603"/>
      <c r="EA42" s="603"/>
      <c r="EB42" s="603"/>
      <c r="EC42" s="603"/>
      <c r="ED42" s="603"/>
      <c r="EE42" s="603"/>
      <c r="EF42" s="603"/>
      <c r="EG42" s="603"/>
      <c r="EH42" s="603"/>
      <c r="EI42" s="603"/>
      <c r="EJ42" s="603"/>
      <c r="EK42" s="603"/>
      <c r="EL42" s="603"/>
      <c r="EM42" s="603"/>
      <c r="EN42" s="603"/>
      <c r="EO42" s="603"/>
      <c r="EP42" s="603"/>
      <c r="EQ42" s="603"/>
      <c r="ER42" s="603"/>
      <c r="ES42" s="603"/>
      <c r="ET42" s="603"/>
      <c r="EU42" s="603"/>
      <c r="EV42" s="603"/>
      <c r="EW42" s="603"/>
      <c r="EX42" s="603"/>
      <c r="EY42" s="603"/>
      <c r="EZ42" s="603"/>
      <c r="FA42" s="603"/>
      <c r="FB42" s="603"/>
      <c r="FC42" s="603"/>
      <c r="FD42" s="603"/>
      <c r="FE42" s="603"/>
      <c r="FF42" s="603"/>
      <c r="FG42" s="603"/>
      <c r="FH42" s="603"/>
      <c r="FI42" s="603"/>
      <c r="FJ42" s="603"/>
      <c r="FK42" s="603"/>
      <c r="FL42" s="603"/>
      <c r="FM42" s="603"/>
      <c r="FN42" s="603"/>
      <c r="FO42" s="603"/>
      <c r="FP42" s="603"/>
      <c r="FQ42" s="603"/>
      <c r="FR42" s="603"/>
      <c r="FS42" s="603"/>
      <c r="FT42" s="603"/>
      <c r="FU42" s="603"/>
      <c r="FV42" s="603"/>
      <c r="FW42" s="603"/>
      <c r="FX42" s="603"/>
      <c r="FY42" s="603"/>
      <c r="FZ42" s="603"/>
      <c r="GA42" s="603"/>
      <c r="GB42" s="603"/>
      <c r="GC42" s="603"/>
      <c r="GD42" s="603"/>
      <c r="GE42" s="603"/>
      <c r="GF42" s="603"/>
      <c r="GG42" s="603"/>
      <c r="GH42" s="603"/>
      <c r="GI42" s="603"/>
      <c r="GJ42" s="603"/>
      <c r="GK42" s="603"/>
      <c r="GL42" s="603"/>
      <c r="GM42" s="603"/>
      <c r="GN42" s="603"/>
      <c r="GO42" s="603"/>
      <c r="GP42" s="603"/>
      <c r="GQ42" s="603"/>
      <c r="GR42" s="603"/>
      <c r="GS42" s="603"/>
      <c r="GT42" s="603"/>
      <c r="GU42" s="603"/>
      <c r="GV42" s="603"/>
      <c r="GW42" s="603"/>
      <c r="GX42" s="603"/>
      <c r="GY42" s="603"/>
      <c r="GZ42" s="603"/>
      <c r="HA42" s="603"/>
      <c r="HB42" s="603"/>
      <c r="HC42" s="603"/>
      <c r="HD42" s="603"/>
      <c r="HE42" s="603"/>
      <c r="HF42" s="603"/>
      <c r="HG42" s="603"/>
      <c r="HH42" s="603"/>
      <c r="HI42" s="603"/>
      <c r="HJ42" s="603"/>
      <c r="HK42" s="603"/>
      <c r="HL42" s="603"/>
      <c r="HM42" s="603"/>
      <c r="HN42" s="603"/>
      <c r="HO42" s="603"/>
      <c r="HP42" s="603"/>
      <c r="HQ42" s="603"/>
      <c r="HR42" s="603"/>
      <c r="HS42" s="603"/>
      <c r="HT42" s="603"/>
      <c r="HU42" s="603"/>
      <c r="HV42" s="603"/>
      <c r="HW42" s="603"/>
      <c r="HX42" s="603"/>
      <c r="HY42" s="603"/>
      <c r="HZ42" s="603"/>
      <c r="IA42" s="603"/>
      <c r="IB42" s="603"/>
      <c r="IC42" s="603"/>
      <c r="ID42" s="603"/>
      <c r="IE42" s="603"/>
      <c r="IF42" s="603"/>
      <c r="IG42" s="603"/>
      <c r="IH42" s="603"/>
      <c r="II42" s="603"/>
      <c r="IJ42" s="603"/>
      <c r="IK42" s="603"/>
      <c r="IL42" s="603"/>
      <c r="IM42" s="603"/>
      <c r="IN42" s="603"/>
      <c r="IO42" s="603"/>
      <c r="IP42" s="603"/>
      <c r="IQ42" s="603"/>
      <c r="IR42" s="603"/>
      <c r="IS42" s="603"/>
      <c r="IT42" s="603"/>
      <c r="IU42" s="603"/>
      <c r="IV42" s="603"/>
      <c r="IW42" s="603"/>
      <c r="IX42" s="603"/>
      <c r="IY42" s="603"/>
      <c r="IZ42" s="603"/>
      <c r="JA42" s="603"/>
      <c r="JB42" s="603"/>
    </row>
    <row r="43" spans="2:262" s="672" customFormat="1" ht="24" customHeight="1">
      <c r="B43" s="667"/>
      <c r="C43" s="668"/>
      <c r="D43" s="668"/>
      <c r="E43" s="668"/>
      <c r="F43" s="1809" t="s">
        <v>713</v>
      </c>
      <c r="G43" s="1810"/>
      <c r="H43" s="1810"/>
      <c r="I43" s="1810"/>
      <c r="J43" s="1810"/>
      <c r="K43" s="1810"/>
      <c r="L43" s="1810"/>
      <c r="M43" s="1810"/>
      <c r="N43" s="1810"/>
      <c r="O43" s="1810"/>
      <c r="P43" s="1810"/>
      <c r="Q43" s="1810"/>
      <c r="R43" s="1810"/>
      <c r="S43" s="1810"/>
      <c r="T43" s="1810"/>
      <c r="U43" s="1810"/>
      <c r="V43" s="1810"/>
      <c r="W43" s="1810"/>
      <c r="X43" s="1810"/>
      <c r="Y43" s="1810"/>
      <c r="Z43" s="1810"/>
      <c r="AA43" s="1810"/>
      <c r="AB43" s="1810"/>
      <c r="AC43" s="1810"/>
      <c r="AD43" s="1810"/>
      <c r="AE43" s="1810"/>
      <c r="AF43" s="1810"/>
      <c r="AG43" s="1810"/>
      <c r="AH43" s="657"/>
      <c r="AI43" s="604"/>
      <c r="AJ43" s="604"/>
      <c r="AK43" s="603"/>
      <c r="AL43" s="603"/>
      <c r="AM43" s="603"/>
      <c r="AN43" s="603"/>
      <c r="AO43" s="603"/>
      <c r="AP43" s="603"/>
      <c r="AQ43" s="603"/>
      <c r="AR43" s="603"/>
      <c r="AS43" s="603"/>
      <c r="AT43" s="603"/>
      <c r="AU43" s="603"/>
      <c r="AV43" s="603"/>
      <c r="AW43" s="603"/>
      <c r="AX43" s="603"/>
      <c r="AY43" s="603"/>
      <c r="AZ43" s="603"/>
      <c r="BA43" s="603"/>
      <c r="BB43" s="603"/>
      <c r="BC43" s="603"/>
      <c r="BD43" s="603"/>
      <c r="BE43" s="603"/>
      <c r="BF43" s="603"/>
      <c r="BG43" s="603"/>
      <c r="BH43" s="603"/>
      <c r="BI43" s="603"/>
      <c r="BJ43" s="603"/>
      <c r="BK43" s="603"/>
      <c r="BL43" s="603"/>
      <c r="BM43" s="603"/>
      <c r="BN43" s="603"/>
      <c r="BO43" s="603"/>
      <c r="BP43" s="603"/>
      <c r="BQ43" s="603"/>
      <c r="BR43" s="603"/>
      <c r="BS43" s="603"/>
      <c r="BT43" s="603"/>
      <c r="BU43" s="603"/>
      <c r="BV43" s="603"/>
      <c r="BW43" s="603"/>
      <c r="BX43" s="603"/>
      <c r="BY43" s="603"/>
      <c r="BZ43" s="603"/>
      <c r="CA43" s="603"/>
      <c r="CB43" s="603"/>
      <c r="CC43" s="603"/>
      <c r="CD43" s="603"/>
      <c r="CE43" s="603"/>
      <c r="CF43" s="603"/>
      <c r="CG43" s="603"/>
      <c r="CH43" s="603"/>
      <c r="CI43" s="603"/>
      <c r="CJ43" s="603"/>
      <c r="CK43" s="603"/>
      <c r="CL43" s="603"/>
      <c r="CM43" s="603"/>
      <c r="CN43" s="603"/>
      <c r="CO43" s="603"/>
      <c r="CP43" s="603"/>
      <c r="CQ43" s="603"/>
      <c r="CR43" s="603"/>
      <c r="CS43" s="603"/>
      <c r="CT43" s="603"/>
      <c r="CU43" s="603"/>
      <c r="CV43" s="603"/>
      <c r="CW43" s="603"/>
      <c r="CX43" s="603"/>
      <c r="CY43" s="603"/>
      <c r="CZ43" s="603"/>
      <c r="DA43" s="603"/>
      <c r="DB43" s="603"/>
      <c r="DC43" s="603"/>
      <c r="DD43" s="603"/>
      <c r="DE43" s="603"/>
      <c r="DF43" s="603"/>
      <c r="DG43" s="603"/>
      <c r="DH43" s="603"/>
      <c r="DI43" s="603"/>
      <c r="DJ43" s="603"/>
      <c r="DK43" s="603"/>
      <c r="DL43" s="603"/>
      <c r="DM43" s="603"/>
      <c r="DN43" s="603"/>
      <c r="DO43" s="603"/>
      <c r="DP43" s="603"/>
      <c r="DQ43" s="603"/>
      <c r="DR43" s="603"/>
      <c r="DS43" s="603"/>
      <c r="DT43" s="603"/>
      <c r="DU43" s="603"/>
      <c r="DV43" s="603"/>
      <c r="DW43" s="603"/>
      <c r="DX43" s="603"/>
      <c r="DY43" s="603"/>
      <c r="DZ43" s="603"/>
      <c r="EA43" s="603"/>
      <c r="EB43" s="603"/>
      <c r="EC43" s="603"/>
      <c r="ED43" s="603"/>
      <c r="EE43" s="603"/>
      <c r="EF43" s="603"/>
      <c r="EG43" s="603"/>
      <c r="EH43" s="603"/>
      <c r="EI43" s="603"/>
      <c r="EJ43" s="603"/>
      <c r="EK43" s="603"/>
      <c r="EL43" s="603"/>
      <c r="EM43" s="603"/>
      <c r="EN43" s="603"/>
      <c r="EO43" s="603"/>
      <c r="EP43" s="603"/>
      <c r="EQ43" s="603"/>
      <c r="ER43" s="603"/>
      <c r="ES43" s="603"/>
      <c r="ET43" s="603"/>
      <c r="EU43" s="603"/>
      <c r="EV43" s="603"/>
      <c r="EW43" s="603"/>
      <c r="EX43" s="603"/>
      <c r="EY43" s="603"/>
      <c r="EZ43" s="603"/>
      <c r="FA43" s="603"/>
      <c r="FB43" s="603"/>
      <c r="FC43" s="603"/>
      <c r="FD43" s="603"/>
      <c r="FE43" s="603"/>
      <c r="FF43" s="603"/>
      <c r="FG43" s="603"/>
      <c r="FH43" s="603"/>
      <c r="FI43" s="603"/>
      <c r="FJ43" s="603"/>
      <c r="FK43" s="603"/>
      <c r="FL43" s="603"/>
      <c r="FM43" s="603"/>
      <c r="FN43" s="603"/>
      <c r="FO43" s="603"/>
      <c r="FP43" s="603"/>
      <c r="FQ43" s="603"/>
      <c r="FR43" s="603"/>
      <c r="FS43" s="603"/>
      <c r="FT43" s="603"/>
      <c r="FU43" s="603"/>
      <c r="FV43" s="603"/>
      <c r="FW43" s="603"/>
      <c r="FX43" s="603"/>
      <c r="FY43" s="603"/>
      <c r="FZ43" s="603"/>
      <c r="GA43" s="603"/>
      <c r="GB43" s="603"/>
      <c r="GC43" s="603"/>
      <c r="GD43" s="603"/>
      <c r="GE43" s="603"/>
      <c r="GF43" s="603"/>
      <c r="GG43" s="603"/>
      <c r="GH43" s="603"/>
      <c r="GI43" s="603"/>
      <c r="GJ43" s="603"/>
      <c r="GK43" s="603"/>
      <c r="GL43" s="603"/>
      <c r="GM43" s="603"/>
      <c r="GN43" s="603"/>
      <c r="GO43" s="603"/>
      <c r="GP43" s="603"/>
      <c r="GQ43" s="603"/>
      <c r="GR43" s="603"/>
      <c r="GS43" s="603"/>
      <c r="GT43" s="603"/>
      <c r="GU43" s="603"/>
      <c r="GV43" s="603"/>
      <c r="GW43" s="603"/>
      <c r="GX43" s="603"/>
      <c r="GY43" s="603"/>
      <c r="GZ43" s="603"/>
      <c r="HA43" s="603"/>
      <c r="HB43" s="603"/>
      <c r="HC43" s="603"/>
      <c r="HD43" s="603"/>
      <c r="HE43" s="603"/>
      <c r="HF43" s="603"/>
      <c r="HG43" s="603"/>
      <c r="HH43" s="603"/>
      <c r="HI43" s="603"/>
      <c r="HJ43" s="603"/>
      <c r="HK43" s="603"/>
      <c r="HL43" s="603"/>
      <c r="HM43" s="603"/>
      <c r="HN43" s="603"/>
      <c r="HO43" s="603"/>
      <c r="HP43" s="603"/>
      <c r="HQ43" s="603"/>
      <c r="HR43" s="603"/>
      <c r="HS43" s="603"/>
      <c r="HT43" s="603"/>
      <c r="HU43" s="603"/>
      <c r="HV43" s="603"/>
      <c r="HW43" s="603"/>
      <c r="HX43" s="603"/>
      <c r="HY43" s="603"/>
      <c r="HZ43" s="603"/>
      <c r="IA43" s="603"/>
      <c r="IB43" s="603"/>
      <c r="IC43" s="603"/>
      <c r="ID43" s="603"/>
      <c r="IE43" s="603"/>
      <c r="IF43" s="603"/>
      <c r="IG43" s="603"/>
      <c r="IH43" s="603"/>
      <c r="II43" s="603"/>
      <c r="IJ43" s="603"/>
      <c r="IK43" s="603"/>
      <c r="IL43" s="603"/>
      <c r="IM43" s="603"/>
      <c r="IN43" s="603"/>
      <c r="IO43" s="603"/>
      <c r="IP43" s="603"/>
      <c r="IQ43" s="603"/>
      <c r="IR43" s="603"/>
      <c r="IS43" s="603"/>
      <c r="IT43" s="603"/>
      <c r="IU43" s="603"/>
      <c r="IV43" s="603"/>
      <c r="IW43" s="603"/>
      <c r="IX43" s="603"/>
      <c r="IY43" s="603"/>
      <c r="IZ43" s="603"/>
      <c r="JA43" s="603"/>
      <c r="JB43" s="603"/>
    </row>
    <row r="44" spans="2:262" ht="18" customHeight="1" thickBot="1">
      <c r="B44" s="673"/>
      <c r="C44" s="633"/>
      <c r="D44" s="633"/>
      <c r="E44" s="633"/>
      <c r="F44" s="674"/>
      <c r="G44" s="674"/>
      <c r="H44" s="674"/>
      <c r="I44" s="674"/>
      <c r="J44" s="674"/>
      <c r="K44" s="674"/>
      <c r="L44" s="674"/>
      <c r="M44" s="674"/>
      <c r="N44" s="674"/>
      <c r="O44" s="674"/>
      <c r="P44" s="674"/>
      <c r="Q44" s="674"/>
      <c r="R44" s="674"/>
      <c r="S44" s="674"/>
      <c r="T44" s="674"/>
      <c r="U44" s="674"/>
      <c r="V44" s="674"/>
      <c r="W44" s="674"/>
      <c r="X44" s="674"/>
      <c r="Y44" s="674"/>
      <c r="Z44" s="674"/>
      <c r="AA44" s="674"/>
      <c r="AB44" s="674"/>
      <c r="AC44" s="674"/>
      <c r="AD44" s="674"/>
      <c r="AE44" s="674"/>
      <c r="AF44" s="674"/>
      <c r="AG44" s="674"/>
      <c r="AH44" s="675"/>
      <c r="AI44" s="604"/>
      <c r="AJ44" s="604"/>
    </row>
    <row r="45" spans="2:262" ht="14.25" customHeight="1">
      <c r="B45" s="650"/>
      <c r="C45" s="600"/>
      <c r="D45" s="600"/>
      <c r="E45" s="600"/>
      <c r="F45" s="602"/>
      <c r="G45" s="602"/>
      <c r="H45" s="602"/>
      <c r="I45" s="602"/>
      <c r="J45" s="602"/>
      <c r="K45" s="602"/>
      <c r="L45" s="602"/>
      <c r="M45" s="602"/>
      <c r="N45" s="602"/>
      <c r="O45" s="602"/>
      <c r="P45" s="602"/>
      <c r="Q45" s="602"/>
      <c r="R45" s="602"/>
      <c r="S45" s="602"/>
      <c r="T45" s="602"/>
      <c r="U45" s="602"/>
      <c r="V45" s="602"/>
      <c r="W45" s="602"/>
      <c r="X45" s="602"/>
      <c r="Y45" s="658"/>
      <c r="Z45" s="658"/>
      <c r="AA45" s="658"/>
      <c r="AB45" s="658"/>
      <c r="AC45" s="602"/>
      <c r="AD45" s="602"/>
      <c r="AE45" s="602"/>
      <c r="AF45" s="602"/>
      <c r="AG45" s="602"/>
      <c r="AH45" s="657"/>
      <c r="AI45" s="604"/>
      <c r="AJ45" s="604"/>
    </row>
    <row r="46" spans="2:262" ht="17.100000000000001" customHeight="1" thickBot="1">
      <c r="B46" s="650"/>
      <c r="C46" s="892" t="s">
        <v>714</v>
      </c>
      <c r="D46" s="892"/>
      <c r="E46" s="1821" t="s">
        <v>715</v>
      </c>
      <c r="F46" s="1821"/>
      <c r="G46" s="1821"/>
      <c r="H46" s="1821"/>
      <c r="I46" s="1798" t="s">
        <v>716</v>
      </c>
      <c r="J46" s="1798"/>
      <c r="K46" s="1822"/>
      <c r="L46" s="1822"/>
      <c r="M46" s="1822"/>
      <c r="N46" s="1822"/>
      <c r="O46" s="1822"/>
      <c r="P46" s="1822"/>
      <c r="Q46" s="1823"/>
      <c r="R46" s="1824"/>
      <c r="S46" s="676" t="s">
        <v>717</v>
      </c>
      <c r="T46" s="602"/>
      <c r="U46" s="1816" t="s">
        <v>718</v>
      </c>
      <c r="V46" s="1816"/>
      <c r="W46" s="1822"/>
      <c r="X46" s="1822"/>
      <c r="Y46" s="1822"/>
      <c r="Z46" s="1822"/>
      <c r="AA46" s="1822"/>
      <c r="AB46" s="617"/>
      <c r="AC46" s="809"/>
      <c r="AD46" s="647" t="s">
        <v>719</v>
      </c>
      <c r="AE46" s="664"/>
      <c r="AF46" s="664"/>
      <c r="AG46" s="668"/>
      <c r="AH46" s="657"/>
      <c r="AI46" s="604"/>
      <c r="AJ46" s="604"/>
    </row>
    <row r="47" spans="2:262" ht="18.899999999999999" customHeight="1" thickBot="1">
      <c r="B47" s="650"/>
      <c r="C47" s="1794" t="s">
        <v>1137</v>
      </c>
      <c r="D47" s="1794"/>
      <c r="E47" s="1794"/>
      <c r="F47" s="1812"/>
      <c r="G47" s="1812"/>
      <c r="H47" s="1812"/>
      <c r="I47" s="643"/>
      <c r="J47" s="643"/>
      <c r="K47" s="643"/>
      <c r="L47" s="643"/>
      <c r="M47" s="643"/>
      <c r="N47" s="643"/>
      <c r="O47" s="643"/>
      <c r="P47" s="619"/>
      <c r="Q47" s="619"/>
      <c r="R47" s="643"/>
      <c r="S47" s="643"/>
      <c r="T47" s="643"/>
      <c r="U47" s="1816" t="s">
        <v>720</v>
      </c>
      <c r="V47" s="1816"/>
      <c r="W47" s="1822"/>
      <c r="X47" s="1822"/>
      <c r="Y47" s="1822"/>
      <c r="Z47" s="1822"/>
      <c r="AA47" s="1822"/>
      <c r="AB47" s="617"/>
      <c r="AC47" s="810"/>
      <c r="AD47" s="647" t="s">
        <v>719</v>
      </c>
      <c r="AE47" s="663"/>
      <c r="AF47" s="663"/>
      <c r="AG47" s="662"/>
      <c r="AH47" s="657"/>
      <c r="AI47" s="604"/>
      <c r="AJ47" s="604"/>
    </row>
    <row r="48" spans="2:262" ht="12" customHeight="1">
      <c r="B48" s="650"/>
      <c r="C48" s="600"/>
      <c r="D48" s="600"/>
      <c r="E48" s="602"/>
      <c r="F48" s="643"/>
      <c r="G48" s="643"/>
      <c r="H48" s="643"/>
      <c r="I48" s="643"/>
      <c r="J48" s="643"/>
      <c r="K48" s="643"/>
      <c r="L48" s="643"/>
      <c r="M48" s="643"/>
      <c r="N48" s="643"/>
      <c r="O48" s="643"/>
      <c r="P48" s="646" t="s">
        <v>721</v>
      </c>
      <c r="Q48" s="646"/>
      <c r="R48" s="643"/>
      <c r="S48" s="643"/>
      <c r="T48" s="643"/>
      <c r="U48" s="643"/>
      <c r="V48" s="643"/>
      <c r="W48" s="643"/>
      <c r="X48" s="643"/>
      <c r="Y48" s="661"/>
      <c r="Z48" s="661"/>
      <c r="AA48" s="661"/>
      <c r="AB48" s="661"/>
      <c r="AC48" s="619"/>
      <c r="AD48" s="619"/>
      <c r="AE48" s="619"/>
      <c r="AF48" s="619"/>
      <c r="AG48" s="619"/>
      <c r="AH48" s="657"/>
      <c r="AI48" s="604"/>
      <c r="AJ48" s="604"/>
    </row>
    <row r="49" spans="2:36" ht="15" customHeight="1">
      <c r="B49" s="650"/>
      <c r="C49" s="600"/>
      <c r="D49" s="646" t="s">
        <v>705</v>
      </c>
      <c r="E49" s="602"/>
      <c r="F49" s="646" t="s">
        <v>1153</v>
      </c>
      <c r="G49" s="643"/>
      <c r="H49" s="646" t="s">
        <v>706</v>
      </c>
      <c r="I49" s="643"/>
      <c r="J49" s="643"/>
      <c r="K49" s="643"/>
      <c r="L49" s="646" t="s">
        <v>707</v>
      </c>
      <c r="M49" s="643"/>
      <c r="N49" s="646" t="s">
        <v>703</v>
      </c>
      <c r="O49" s="646"/>
      <c r="P49" s="646" t="s">
        <v>722</v>
      </c>
      <c r="Q49" s="646"/>
      <c r="R49" s="643"/>
      <c r="S49" s="646" t="s">
        <v>708</v>
      </c>
      <c r="T49" s="646"/>
      <c r="U49" s="643"/>
      <c r="V49" s="643"/>
      <c r="W49" s="646" t="s">
        <v>709</v>
      </c>
      <c r="X49" s="643"/>
      <c r="Y49" s="1825" t="s">
        <v>710</v>
      </c>
      <c r="Z49" s="1826"/>
      <c r="AA49" s="1826"/>
      <c r="AB49" s="1826"/>
      <c r="AC49" s="1826"/>
      <c r="AD49" s="1799" t="s">
        <v>1218</v>
      </c>
      <c r="AE49" s="1799"/>
      <c r="AF49" s="1800"/>
      <c r="AG49" s="1800"/>
      <c r="AH49" s="679"/>
      <c r="AI49" s="604"/>
      <c r="AJ49" s="604"/>
    </row>
    <row r="50" spans="2:36" ht="18" customHeight="1" thickBot="1">
      <c r="B50" s="650"/>
      <c r="C50" s="600"/>
      <c r="D50" s="643"/>
      <c r="E50" s="600"/>
      <c r="F50" s="643" t="s">
        <v>13</v>
      </c>
      <c r="G50" s="619"/>
      <c r="H50" s="646" t="s">
        <v>711</v>
      </c>
      <c r="I50" s="643"/>
      <c r="J50" s="643"/>
      <c r="K50" s="643"/>
      <c r="L50" s="619"/>
      <c r="M50" s="662"/>
      <c r="N50" s="646" t="s">
        <v>712</v>
      </c>
      <c r="O50" s="663"/>
      <c r="P50" s="646" t="s">
        <v>723</v>
      </c>
      <c r="Q50" s="663"/>
      <c r="R50" s="660"/>
      <c r="S50" s="643"/>
      <c r="T50" s="660"/>
      <c r="U50" s="660"/>
      <c r="V50" s="660"/>
      <c r="W50" s="643"/>
      <c r="X50" s="661"/>
      <c r="Y50" s="1818"/>
      <c r="Z50" s="1818"/>
      <c r="AA50" s="1818"/>
      <c r="AB50" s="1818"/>
      <c r="AC50" s="1818"/>
      <c r="AD50" s="1818"/>
      <c r="AE50" s="1818"/>
      <c r="AF50" s="1818"/>
      <c r="AG50" s="1818"/>
      <c r="AH50" s="679"/>
      <c r="AI50" s="604"/>
      <c r="AJ50" s="604"/>
    </row>
    <row r="51" spans="2:36" ht="24" customHeight="1" thickBot="1">
      <c r="B51" s="650"/>
      <c r="C51" s="600"/>
      <c r="D51" s="1262"/>
      <c r="E51" s="600"/>
      <c r="F51" s="1323"/>
      <c r="G51" s="664"/>
      <c r="H51" s="763"/>
      <c r="I51" s="664"/>
      <c r="J51" s="664"/>
      <c r="K51" s="664"/>
      <c r="L51" s="763"/>
      <c r="M51" s="664"/>
      <c r="N51" s="763"/>
      <c r="O51" s="664"/>
      <c r="P51" s="763"/>
      <c r="Q51" s="677"/>
      <c r="R51" s="668"/>
      <c r="S51" s="763"/>
      <c r="T51" s="677"/>
      <c r="U51" s="677"/>
      <c r="V51" s="677"/>
      <c r="W51" s="763"/>
      <c r="X51" s="666"/>
      <c r="Y51" s="1820"/>
      <c r="Z51" s="1820"/>
      <c r="AA51" s="1820"/>
      <c r="AB51" s="1820"/>
      <c r="AC51" s="1820"/>
      <c r="AD51" s="1820"/>
      <c r="AE51" s="1820"/>
      <c r="AF51" s="1820"/>
      <c r="AG51" s="1820"/>
      <c r="AH51" s="657"/>
      <c r="AI51" s="604"/>
      <c r="AJ51" s="604"/>
    </row>
    <row r="52" spans="2:36" ht="24" customHeight="1" thickBot="1">
      <c r="B52" s="650"/>
      <c r="C52" s="600"/>
      <c r="D52" s="1262"/>
      <c r="E52" s="600"/>
      <c r="F52" s="1323"/>
      <c r="G52" s="664"/>
      <c r="H52" s="763"/>
      <c r="I52" s="664"/>
      <c r="J52" s="664"/>
      <c r="K52" s="664"/>
      <c r="L52" s="763"/>
      <c r="M52" s="664"/>
      <c r="N52" s="763"/>
      <c r="O52" s="664"/>
      <c r="P52" s="763"/>
      <c r="Q52" s="677"/>
      <c r="R52" s="668"/>
      <c r="S52" s="763"/>
      <c r="T52" s="677"/>
      <c r="U52" s="677"/>
      <c r="V52" s="677"/>
      <c r="W52" s="763"/>
      <c r="X52" s="666"/>
      <c r="Y52" s="1820"/>
      <c r="Z52" s="1820"/>
      <c r="AA52" s="1820"/>
      <c r="AB52" s="1820"/>
      <c r="AC52" s="1820"/>
      <c r="AD52" s="1820"/>
      <c r="AE52" s="1820"/>
      <c r="AF52" s="1820"/>
      <c r="AG52" s="1820"/>
      <c r="AH52" s="657"/>
      <c r="AI52" s="604"/>
      <c r="AJ52" s="604"/>
    </row>
    <row r="53" spans="2:36" ht="24" customHeight="1" thickBot="1">
      <c r="B53" s="650"/>
      <c r="C53" s="600"/>
      <c r="D53" s="1262"/>
      <c r="E53" s="600"/>
      <c r="F53" s="1323"/>
      <c r="G53" s="664"/>
      <c r="H53" s="763"/>
      <c r="I53" s="664"/>
      <c r="J53" s="664"/>
      <c r="K53" s="664"/>
      <c r="L53" s="763"/>
      <c r="M53" s="664"/>
      <c r="N53" s="763"/>
      <c r="O53" s="664"/>
      <c r="P53" s="763"/>
      <c r="Q53" s="677"/>
      <c r="R53" s="668"/>
      <c r="S53" s="763"/>
      <c r="T53" s="677"/>
      <c r="U53" s="677"/>
      <c r="V53" s="677"/>
      <c r="W53" s="763"/>
      <c r="X53" s="811"/>
      <c r="Y53" s="1820"/>
      <c r="Z53" s="1820"/>
      <c r="AA53" s="1820"/>
      <c r="AB53" s="1820"/>
      <c r="AC53" s="1820"/>
      <c r="AD53" s="1820"/>
      <c r="AE53" s="1820"/>
      <c r="AF53" s="1820"/>
      <c r="AG53" s="1820"/>
      <c r="AH53" s="657"/>
      <c r="AI53" s="604"/>
      <c r="AJ53" s="604"/>
    </row>
    <row r="54" spans="2:36" ht="24" customHeight="1" thickBot="1">
      <c r="B54" s="650"/>
      <c r="C54" s="600"/>
      <c r="D54" s="1262"/>
      <c r="E54" s="600"/>
      <c r="F54" s="1323"/>
      <c r="G54" s="664"/>
      <c r="H54" s="763"/>
      <c r="I54" s="808"/>
      <c r="J54" s="808"/>
      <c r="K54" s="664"/>
      <c r="L54" s="763"/>
      <c r="M54" s="664"/>
      <c r="N54" s="763"/>
      <c r="O54" s="664"/>
      <c r="P54" s="763"/>
      <c r="Q54" s="677"/>
      <c r="R54" s="668"/>
      <c r="S54" s="763"/>
      <c r="T54" s="677"/>
      <c r="U54" s="677"/>
      <c r="V54" s="677"/>
      <c r="W54" s="763"/>
      <c r="X54" s="811"/>
      <c r="Y54" s="1820"/>
      <c r="Z54" s="1820"/>
      <c r="AA54" s="1820"/>
      <c r="AB54" s="1820"/>
      <c r="AC54" s="1820"/>
      <c r="AD54" s="1820"/>
      <c r="AE54" s="1820"/>
      <c r="AF54" s="1820"/>
      <c r="AG54" s="1820"/>
      <c r="AH54" s="657"/>
      <c r="AI54" s="604"/>
      <c r="AJ54" s="604"/>
    </row>
    <row r="55" spans="2:36" ht="24" customHeight="1" thickBot="1">
      <c r="B55" s="650"/>
      <c r="C55" s="600"/>
      <c r="D55" s="1262"/>
      <c r="E55" s="600"/>
      <c r="F55" s="1323"/>
      <c r="G55" s="664"/>
      <c r="H55" s="763"/>
      <c r="I55" s="664"/>
      <c r="J55" s="664"/>
      <c r="K55" s="808"/>
      <c r="L55" s="763"/>
      <c r="M55" s="664"/>
      <c r="N55" s="763"/>
      <c r="O55" s="664"/>
      <c r="P55" s="763"/>
      <c r="Q55" s="677"/>
      <c r="R55" s="668"/>
      <c r="S55" s="763"/>
      <c r="T55" s="677"/>
      <c r="U55" s="677"/>
      <c r="V55" s="677"/>
      <c r="W55" s="763"/>
      <c r="X55" s="811"/>
      <c r="Y55" s="1820"/>
      <c r="Z55" s="1820"/>
      <c r="AA55" s="1820"/>
      <c r="AB55" s="1820"/>
      <c r="AC55" s="1820"/>
      <c r="AD55" s="1820"/>
      <c r="AE55" s="1820"/>
      <c r="AF55" s="1820"/>
      <c r="AG55" s="1820"/>
      <c r="AH55" s="657"/>
      <c r="AI55" s="604"/>
      <c r="AJ55" s="604"/>
    </row>
    <row r="56" spans="2:36" ht="24" customHeight="1" thickBot="1">
      <c r="B56" s="650"/>
      <c r="C56" s="600"/>
      <c r="D56" s="1262"/>
      <c r="E56" s="600"/>
      <c r="F56" s="1323"/>
      <c r="G56" s="664"/>
      <c r="H56" s="763"/>
      <c r="I56" s="664"/>
      <c r="J56" s="664"/>
      <c r="K56" s="808"/>
      <c r="L56" s="763"/>
      <c r="M56" s="664"/>
      <c r="N56" s="763"/>
      <c r="O56" s="664"/>
      <c r="P56" s="763"/>
      <c r="Q56" s="677"/>
      <c r="R56" s="668"/>
      <c r="S56" s="763"/>
      <c r="T56" s="677"/>
      <c r="U56" s="677"/>
      <c r="V56" s="677"/>
      <c r="W56" s="763"/>
      <c r="X56" s="666"/>
      <c r="Y56" s="1820"/>
      <c r="Z56" s="1820"/>
      <c r="AA56" s="1820"/>
      <c r="AB56" s="1820"/>
      <c r="AC56" s="1820"/>
      <c r="AD56" s="1820"/>
      <c r="AE56" s="1820"/>
      <c r="AF56" s="1820"/>
      <c r="AG56" s="1820"/>
      <c r="AH56" s="657"/>
      <c r="AI56" s="604"/>
      <c r="AJ56" s="604"/>
    </row>
    <row r="57" spans="2:36" ht="24" customHeight="1" thickBot="1">
      <c r="B57" s="650"/>
      <c r="C57" s="600"/>
      <c r="D57" s="1262"/>
      <c r="E57" s="600"/>
      <c r="F57" s="1323"/>
      <c r="G57" s="664"/>
      <c r="H57" s="763"/>
      <c r="I57" s="664"/>
      <c r="J57" s="664"/>
      <c r="K57" s="808"/>
      <c r="L57" s="763"/>
      <c r="M57" s="664"/>
      <c r="N57" s="763"/>
      <c r="O57" s="664"/>
      <c r="P57" s="763"/>
      <c r="Q57" s="677"/>
      <c r="R57" s="668"/>
      <c r="S57" s="763"/>
      <c r="T57" s="677"/>
      <c r="U57" s="677"/>
      <c r="V57" s="677"/>
      <c r="W57" s="763"/>
      <c r="X57" s="666"/>
      <c r="Y57" s="1820"/>
      <c r="Z57" s="1820"/>
      <c r="AA57" s="1820"/>
      <c r="AB57" s="1820"/>
      <c r="AC57" s="1820"/>
      <c r="AD57" s="1820"/>
      <c r="AE57" s="1820"/>
      <c r="AF57" s="1820"/>
      <c r="AG57" s="1820"/>
      <c r="AH57" s="657"/>
      <c r="AI57" s="604"/>
      <c r="AJ57" s="604"/>
    </row>
    <row r="58" spans="2:36" ht="24" customHeight="1" thickBot="1">
      <c r="B58" s="650"/>
      <c r="C58" s="600"/>
      <c r="D58" s="1262"/>
      <c r="E58" s="600"/>
      <c r="F58" s="1323"/>
      <c r="G58" s="664"/>
      <c r="H58" s="763"/>
      <c r="I58" s="664"/>
      <c r="J58" s="664"/>
      <c r="K58" s="808"/>
      <c r="L58" s="763"/>
      <c r="M58" s="664"/>
      <c r="N58" s="763"/>
      <c r="O58" s="664"/>
      <c r="P58" s="763"/>
      <c r="Q58" s="677"/>
      <c r="R58" s="668"/>
      <c r="S58" s="763"/>
      <c r="T58" s="677"/>
      <c r="U58" s="677"/>
      <c r="V58" s="677"/>
      <c r="W58" s="763"/>
      <c r="X58" s="666"/>
      <c r="Y58" s="1820"/>
      <c r="Z58" s="1820"/>
      <c r="AA58" s="1820"/>
      <c r="AB58" s="1820"/>
      <c r="AC58" s="1820"/>
      <c r="AD58" s="1820"/>
      <c r="AE58" s="1820"/>
      <c r="AF58" s="1820"/>
      <c r="AG58" s="1820"/>
      <c r="AH58" s="657"/>
      <c r="AI58" s="604"/>
      <c r="AJ58" s="604"/>
    </row>
    <row r="59" spans="2:36" ht="24" customHeight="1" thickBot="1">
      <c r="B59" s="650"/>
      <c r="C59" s="600"/>
      <c r="D59" s="1262"/>
      <c r="E59" s="600"/>
      <c r="F59" s="1323"/>
      <c r="G59" s="664"/>
      <c r="H59" s="763"/>
      <c r="I59" s="664"/>
      <c r="J59" s="664"/>
      <c r="K59" s="808"/>
      <c r="L59" s="763"/>
      <c r="M59" s="664"/>
      <c r="N59" s="763"/>
      <c r="O59" s="664"/>
      <c r="P59" s="763"/>
      <c r="Q59" s="677"/>
      <c r="R59" s="668"/>
      <c r="S59" s="763"/>
      <c r="T59" s="677"/>
      <c r="U59" s="677"/>
      <c r="V59" s="677"/>
      <c r="W59" s="763"/>
      <c r="X59" s="666"/>
      <c r="Y59" s="1820"/>
      <c r="Z59" s="1820"/>
      <c r="AA59" s="1820"/>
      <c r="AB59" s="1820"/>
      <c r="AC59" s="1820"/>
      <c r="AD59" s="1820"/>
      <c r="AE59" s="1820"/>
      <c r="AF59" s="1820"/>
      <c r="AG59" s="1820"/>
      <c r="AH59" s="657"/>
      <c r="AI59" s="604"/>
      <c r="AJ59" s="604"/>
    </row>
    <row r="60" spans="2:36" ht="24" customHeight="1" thickBot="1">
      <c r="B60" s="650"/>
      <c r="C60" s="600"/>
      <c r="D60" s="1262"/>
      <c r="E60" s="600"/>
      <c r="F60" s="1323"/>
      <c r="G60" s="664"/>
      <c r="H60" s="763"/>
      <c r="I60" s="664"/>
      <c r="J60" s="664"/>
      <c r="K60" s="808"/>
      <c r="L60" s="763"/>
      <c r="M60" s="664"/>
      <c r="N60" s="763"/>
      <c r="O60" s="664"/>
      <c r="P60" s="763"/>
      <c r="Q60" s="677"/>
      <c r="R60" s="668"/>
      <c r="S60" s="763"/>
      <c r="T60" s="677"/>
      <c r="U60" s="677"/>
      <c r="V60" s="677"/>
      <c r="W60" s="763"/>
      <c r="X60" s="666"/>
      <c r="Y60" s="1820"/>
      <c r="Z60" s="1820"/>
      <c r="AA60" s="1820"/>
      <c r="AB60" s="1820"/>
      <c r="AC60" s="1820"/>
      <c r="AD60" s="1820"/>
      <c r="AE60" s="1820"/>
      <c r="AF60" s="1820"/>
      <c r="AG60" s="1820"/>
      <c r="AH60" s="657"/>
      <c r="AI60" s="604"/>
      <c r="AJ60" s="604"/>
    </row>
    <row r="61" spans="2:36" ht="24" customHeight="1" thickBot="1">
      <c r="B61" s="650"/>
      <c r="C61" s="600"/>
      <c r="D61" s="1262"/>
      <c r="E61" s="600"/>
      <c r="F61" s="1323"/>
      <c r="G61" s="664"/>
      <c r="H61" s="763"/>
      <c r="I61" s="664"/>
      <c r="J61" s="664"/>
      <c r="K61" s="808"/>
      <c r="L61" s="763"/>
      <c r="M61" s="664"/>
      <c r="N61" s="763"/>
      <c r="O61" s="664"/>
      <c r="P61" s="763"/>
      <c r="Q61" s="677"/>
      <c r="R61" s="668"/>
      <c r="S61" s="763"/>
      <c r="T61" s="677"/>
      <c r="U61" s="677"/>
      <c r="V61" s="677"/>
      <c r="W61" s="763"/>
      <c r="X61" s="666"/>
      <c r="Y61" s="1820"/>
      <c r="Z61" s="1820"/>
      <c r="AA61" s="1820"/>
      <c r="AB61" s="1820"/>
      <c r="AC61" s="1820"/>
      <c r="AD61" s="1820"/>
      <c r="AE61" s="1820"/>
      <c r="AF61" s="1820"/>
      <c r="AG61" s="1820"/>
      <c r="AH61" s="657"/>
      <c r="AI61" s="604"/>
      <c r="AJ61" s="604"/>
    </row>
    <row r="62" spans="2:36" ht="24" customHeight="1" thickBot="1">
      <c r="B62" s="680"/>
      <c r="C62" s="681"/>
      <c r="D62" s="681"/>
      <c r="E62" s="681"/>
      <c r="F62" s="681"/>
      <c r="G62" s="681"/>
      <c r="H62" s="681"/>
      <c r="I62" s="681"/>
      <c r="J62" s="681"/>
      <c r="K62" s="681"/>
      <c r="L62" s="681"/>
      <c r="M62" s="681"/>
      <c r="N62" s="681"/>
      <c r="O62" s="681"/>
      <c r="P62" s="681"/>
      <c r="Q62" s="681"/>
      <c r="R62" s="681"/>
      <c r="S62" s="681"/>
      <c r="T62" s="681"/>
      <c r="U62" s="681"/>
      <c r="V62" s="681"/>
      <c r="W62" s="682"/>
      <c r="X62" s="682"/>
      <c r="Y62" s="1829"/>
      <c r="Z62" s="1829"/>
      <c r="AA62" s="1829"/>
      <c r="AB62" s="683"/>
      <c r="AC62" s="1830"/>
      <c r="AD62" s="1830"/>
      <c r="AE62" s="1830"/>
      <c r="AF62" s="1830"/>
      <c r="AG62" s="1830"/>
      <c r="AH62" s="684"/>
      <c r="AI62" s="604"/>
      <c r="AJ62" s="604"/>
    </row>
    <row r="63" spans="2:36" ht="15.9" customHeight="1" thickTop="1">
      <c r="B63" s="604"/>
      <c r="C63" s="604"/>
      <c r="D63" s="604"/>
      <c r="E63" s="600"/>
      <c r="F63" s="600"/>
      <c r="G63" s="600"/>
      <c r="H63" s="600"/>
      <c r="I63" s="600"/>
      <c r="J63" s="600"/>
      <c r="K63" s="600"/>
      <c r="L63" s="600"/>
      <c r="M63" s="600"/>
      <c r="N63" s="600"/>
      <c r="O63" s="600"/>
      <c r="P63" s="600"/>
      <c r="Q63" s="600"/>
      <c r="R63" s="600"/>
      <c r="S63" s="600"/>
      <c r="T63" s="600"/>
      <c r="U63" s="600"/>
      <c r="V63" s="600"/>
      <c r="W63" s="602"/>
      <c r="X63" s="602"/>
      <c r="Y63" s="1827"/>
      <c r="Z63" s="1827"/>
      <c r="AA63" s="1827"/>
      <c r="AB63" s="678"/>
      <c r="AC63" s="1828"/>
      <c r="AD63" s="1828"/>
      <c r="AE63" s="1828"/>
      <c r="AF63" s="1828"/>
      <c r="AG63" s="1828"/>
      <c r="AH63" s="600"/>
      <c r="AI63" s="604"/>
      <c r="AJ63" s="604"/>
    </row>
  </sheetData>
  <sheetProtection algorithmName="SHA-512" hashValue="cjvOoamKl58FsvOZYbdusr590CpP+uzv9MPx6X+r/j27dmJKKfY6ZevoO41gKsGAPT4axiCdyFmBD75gwF6dDg==" saltValue="y6OBNMIOdWKLP4X7oUQcqw==" spinCount="100000" sheet="1" selectLockedCells="1"/>
  <mergeCells count="82">
    <mergeCell ref="Y63:AA63"/>
    <mergeCell ref="AC63:AG63"/>
    <mergeCell ref="Y53:AG53"/>
    <mergeCell ref="Y54:AG54"/>
    <mergeCell ref="Y55:AG55"/>
    <mergeCell ref="Y56:AG56"/>
    <mergeCell ref="Y57:AG57"/>
    <mergeCell ref="Y58:AG58"/>
    <mergeCell ref="Y59:AG59"/>
    <mergeCell ref="Y60:AG60"/>
    <mergeCell ref="Y61:AG61"/>
    <mergeCell ref="Y62:AA62"/>
    <mergeCell ref="AC62:AG62"/>
    <mergeCell ref="Y52:AG52"/>
    <mergeCell ref="E46:H46"/>
    <mergeCell ref="I46:P46"/>
    <mergeCell ref="Q46:R46"/>
    <mergeCell ref="U46:AA46"/>
    <mergeCell ref="C47:E47"/>
    <mergeCell ref="F47:H47"/>
    <mergeCell ref="U47:AA47"/>
    <mergeCell ref="Y49:AC49"/>
    <mergeCell ref="AD49:AE49"/>
    <mergeCell ref="AF49:AG49"/>
    <mergeCell ref="Y50:AG50"/>
    <mergeCell ref="Y51:AG51"/>
    <mergeCell ref="F43:AG43"/>
    <mergeCell ref="E22:AA22"/>
    <mergeCell ref="AB22:AD22"/>
    <mergeCell ref="AE22:AG22"/>
    <mergeCell ref="M23:O24"/>
    <mergeCell ref="P23:Q25"/>
    <mergeCell ref="AC23:AG23"/>
    <mergeCell ref="Y24:AC24"/>
    <mergeCell ref="Y25:AG25"/>
    <mergeCell ref="Y26:AG26"/>
    <mergeCell ref="Y38:AG38"/>
    <mergeCell ref="Y39:AG39"/>
    <mergeCell ref="Y40:AG40"/>
    <mergeCell ref="Y41:AG41"/>
    <mergeCell ref="AD17:AE17"/>
    <mergeCell ref="AF17:AG17"/>
    <mergeCell ref="AR17:AS17"/>
    <mergeCell ref="C18:F18"/>
    <mergeCell ref="C20:F20"/>
    <mergeCell ref="K20:M20"/>
    <mergeCell ref="R20:X20"/>
    <mergeCell ref="AC20:AF20"/>
    <mergeCell ref="Y11:AC11"/>
    <mergeCell ref="AD11:AG11"/>
    <mergeCell ref="B14:E14"/>
    <mergeCell ref="F14:M14"/>
    <mergeCell ref="N14:AA14"/>
    <mergeCell ref="C15:F15"/>
    <mergeCell ref="C10:F10"/>
    <mergeCell ref="G10:M10"/>
    <mergeCell ref="O10:R10"/>
    <mergeCell ref="T10:W10"/>
    <mergeCell ref="Y10:AC10"/>
    <mergeCell ref="AD10:AG10"/>
    <mergeCell ref="C8:F8"/>
    <mergeCell ref="G8:W8"/>
    <mergeCell ref="Y8:AC8"/>
    <mergeCell ref="AD8:AG8"/>
    <mergeCell ref="C9:F9"/>
    <mergeCell ref="G9:M9"/>
    <mergeCell ref="O9:R9"/>
    <mergeCell ref="T9:W9"/>
    <mergeCell ref="Y9:AC9"/>
    <mergeCell ref="AD9:AG9"/>
    <mergeCell ref="Y6:AC6"/>
    <mergeCell ref="AD6:AE6"/>
    <mergeCell ref="C7:F7"/>
    <mergeCell ref="G7:W7"/>
    <mergeCell ref="Y7:AC7"/>
    <mergeCell ref="AD7:AG7"/>
    <mergeCell ref="B5:E5"/>
    <mergeCell ref="AF1:AH1"/>
    <mergeCell ref="AF2:AH2"/>
    <mergeCell ref="L3:X3"/>
    <mergeCell ref="AG3:AH3"/>
    <mergeCell ref="H4:AA4"/>
  </mergeCells>
  <conditionalFormatting sqref="AF17:AG17">
    <cfRule type="expression" dxfId="133" priority="2">
      <formula>AF17&lt;&gt;AT17</formula>
    </cfRule>
  </conditionalFormatting>
  <conditionalFormatting sqref="AF49:AG49">
    <cfRule type="expression" dxfId="132" priority="1">
      <formula>AF49&lt;&gt;AT17</formula>
    </cfRule>
  </conditionalFormatting>
  <dataValidations count="7">
    <dataValidation type="list" allowBlank="1" showInputMessage="1" sqref="F47:H47 AE22:AG22" xr:uid="{16CF3D55-D131-48F7-BEFB-B7AE86800E71}">
      <formula1>$T$9</formula1>
    </dataValidation>
    <dataValidation type="list" allowBlank="1" sqref="F14:M14" xr:uid="{455A9291-7209-4DF0-A66F-95FEBBAE51A9}">
      <formula1>$AR$21:$AR$28</formula1>
    </dataValidation>
    <dataValidation type="list" allowBlank="1" showInputMessage="1" sqref="AS22:AS28 AR21:AR26" xr:uid="{EDF041DD-9E88-4346-9738-6744A96D8C55}">
      <formula1>$AR$21:$AR$26</formula1>
    </dataValidation>
    <dataValidation type="list" allowBlank="1" sqref="AR30" xr:uid="{0CFDC3ED-1F12-4855-BAE6-AD826FEEF278}">
      <formula1>$AR$30:$AR$31</formula1>
    </dataValidation>
    <dataValidation type="list" allowBlank="1" showErrorMessage="1" sqref="G18" xr:uid="{FC2F1C52-3080-4893-ACBF-CDDB1105CF47}">
      <formula1>$AP$21:$AP$22</formula1>
    </dataValidation>
    <dataValidation type="list" allowBlank="1" showInputMessage="1" sqref="N20" xr:uid="{C2DABFDA-873D-42E5-855B-9606307FE455}">
      <formula1>$AP$37:$AP$38</formula1>
    </dataValidation>
    <dataValidation type="list" allowBlank="1" showInputMessage="1" sqref="P20" xr:uid="{F76BAB75-3906-4BB6-A042-387D844DE642}">
      <formula1>$AP$40:$AP$41</formula1>
    </dataValidation>
  </dataValidations>
  <pageMargins left="0.5" right="0.5" top="0.25" bottom="0.25" header="0" footer="0"/>
  <pageSetup scale="59" fitToHeight="0" orientation="portrait" r:id="rId1"/>
  <legacyDrawing r:id="rId2"/>
  <extLst>
    <ext xmlns:x14="http://schemas.microsoft.com/office/spreadsheetml/2009/9/main" uri="{CCE6A557-97BC-4b89-ADB6-D9C93CAAB3DF}">
      <x14:dataValidations xmlns:xm="http://schemas.microsoft.com/office/excel/2006/main" count="12">
        <x14:dataValidation type="list" showInputMessage="1" xr:uid="{5F97441E-C7DB-4F25-9E74-29095B5FBC51}">
          <x14:formula1>
            <xm:f>List!$F$19:$F$23</xm:f>
          </x14:formula1>
          <xm:sqref>AD6:AE6</xm:sqref>
        </x14:dataValidation>
        <x14:dataValidation type="list" showInputMessage="1" xr:uid="{19C5E59D-3EAE-435D-8B6A-AD07E97A73B1}">
          <x14:formula1>
            <xm:f>List!$H$10:$H$11</xm:f>
          </x14:formula1>
          <xm:sqref>AD7:AG7</xm:sqref>
        </x14:dataValidation>
        <x14:dataValidation type="list" showInputMessage="1" xr:uid="{A4206FBD-1D62-42CF-B192-27342F0F10AF}">
          <x14:formula1>
            <xm:f>List!$I$10:$I$11</xm:f>
          </x14:formula1>
          <xm:sqref>AD8:AG8</xm:sqref>
        </x14:dataValidation>
        <x14:dataValidation type="list" showInputMessage="1" xr:uid="{39864360-846B-47D1-946A-6387F52724A4}">
          <x14:formula1>
            <xm:f>List!$J$10:$J$11</xm:f>
          </x14:formula1>
          <xm:sqref>AD9:AG9</xm:sqref>
        </x14:dataValidation>
        <x14:dataValidation type="list" showInputMessage="1" xr:uid="{835DD820-7902-4D17-B4AE-278C7BD50F40}">
          <x14:formula1>
            <xm:f>List!$K$10:$K$11</xm:f>
          </x14:formula1>
          <xm:sqref>AD10:AG10</xm:sqref>
        </x14:dataValidation>
        <x14:dataValidation type="list" showInputMessage="1" xr:uid="{F7D49345-07CD-40ED-8DED-95A3CA0AA684}">
          <x14:formula1>
            <xm:f>List!$L$10:$L$11</xm:f>
          </x14:formula1>
          <xm:sqref>AD11:AG11</xm:sqref>
        </x14:dataValidation>
        <x14:dataValidation type="list" showInputMessage="1" xr:uid="{99674E07-5FAE-41BE-A2F3-F022F5A49075}">
          <x14:formula1>
            <xm:f>List!$B$10:$B$11</xm:f>
          </x14:formula1>
          <xm:sqref>G7:W7</xm:sqref>
        </x14:dataValidation>
        <x14:dataValidation type="list" allowBlank="1" showInputMessage="1" showErrorMessage="1" xr:uid="{31C3C783-BB0F-4896-B6F3-8BB2FD1CF933}">
          <x14:formula1>
            <xm:f>List!$D$10:$D$11</xm:f>
          </x14:formula1>
          <xm:sqref>G8:W8</xm:sqref>
        </x14:dataValidation>
        <x14:dataValidation type="list" allowBlank="1" showInputMessage="1" xr:uid="{B6B5652B-F66A-4B04-85FA-CB357252B851}">
          <x14:formula1>
            <xm:f>List!$B$2:$B$3</xm:f>
          </x14:formula1>
          <xm:sqref>G9:M10</xm:sqref>
        </x14:dataValidation>
        <x14:dataValidation type="list" allowBlank="1" showInputMessage="1" xr:uid="{28227FCF-EE08-4B79-AFA3-6CA673E6F33B}">
          <x14:formula1>
            <xm:f>List!$C$2:$C$3</xm:f>
          </x14:formula1>
          <xm:sqref>O9:R10</xm:sqref>
        </x14:dataValidation>
        <x14:dataValidation type="list" showInputMessage="1" xr:uid="{622CDD54-DB82-4E81-A4E4-83AF16C9C241}">
          <x14:formula1>
            <xm:f>List!$F$37:$F$43</xm:f>
          </x14:formula1>
          <xm:sqref>AG6</xm:sqref>
        </x14:dataValidation>
        <x14:dataValidation type="list" allowBlank="1" showInputMessage="1" xr:uid="{C99A6B01-AF78-4E4A-A256-C688CD16E4E7}">
          <x14:formula1>
            <xm:f>List!$H$19:$H$20</xm:f>
          </x14:formula1>
          <xm:sqref>T9:W10</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3CB82D-2E65-4B1C-9A98-E052BF2946AB}">
  <sheetPr>
    <tabColor rgb="FFFFFF00"/>
    <pageSetUpPr fitToPage="1"/>
  </sheetPr>
  <dimension ref="B1:JB63"/>
  <sheetViews>
    <sheetView showGridLines="0" topLeftCell="A8" zoomScaleNormal="100" workbookViewId="0">
      <selection activeCell="G18" sqref="G18"/>
    </sheetView>
  </sheetViews>
  <sheetFormatPr defaultColWidth="10.88671875" defaultRowHeight="15" customHeight="1"/>
  <cols>
    <col min="1" max="1" width="5.6640625" style="648" customWidth="1"/>
    <col min="2" max="2" width="1.88671875" style="599" customWidth="1"/>
    <col min="3" max="3" width="1.33203125" style="599" customWidth="1"/>
    <col min="4" max="4" width="9.5546875" style="599" customWidth="1"/>
    <col min="5" max="5" width="4.33203125" style="599" customWidth="1"/>
    <col min="6" max="6" width="9.5546875" style="599" customWidth="1"/>
    <col min="7" max="7" width="5.33203125" style="599" customWidth="1"/>
    <col min="8" max="8" width="7.5546875" style="599" customWidth="1"/>
    <col min="9" max="9" width="5.33203125" style="599" customWidth="1"/>
    <col min="10" max="11" width="1" style="599" customWidth="1"/>
    <col min="12" max="12" width="7.33203125" style="599" customWidth="1"/>
    <col min="13" max="13" width="4.33203125" style="599" customWidth="1"/>
    <col min="14" max="14" width="6.88671875" style="599" customWidth="1"/>
    <col min="15" max="15" width="4.33203125" style="599" customWidth="1"/>
    <col min="16" max="16" width="8.44140625" style="599" customWidth="1"/>
    <col min="17" max="17" width="2.5546875" style="599" customWidth="1"/>
    <col min="18" max="18" width="1" style="599" customWidth="1"/>
    <col min="19" max="19" width="7.109375" style="599" customWidth="1"/>
    <col min="20" max="20" width="1.6640625" style="599" customWidth="1"/>
    <col min="21" max="21" width="2.109375" style="599" customWidth="1"/>
    <col min="22" max="22" width="1.109375" style="599" customWidth="1"/>
    <col min="23" max="23" width="7.44140625" style="599" customWidth="1"/>
    <col min="24" max="24" width="2.33203125" style="599" customWidth="1"/>
    <col min="25" max="25" width="5.33203125" style="599" customWidth="1"/>
    <col min="26" max="26" width="3.33203125" style="599" customWidth="1"/>
    <col min="27" max="27" width="5.33203125" style="599" customWidth="1"/>
    <col min="28" max="28" width="2.5546875" style="599" customWidth="1"/>
    <col min="29" max="29" width="6.44140625" style="599" customWidth="1"/>
    <col min="30" max="30" width="7.88671875" style="599" customWidth="1"/>
    <col min="31" max="31" width="4.88671875" style="599" customWidth="1"/>
    <col min="32" max="32" width="4.6640625" style="599" customWidth="1"/>
    <col min="33" max="33" width="8.6640625" style="599" customWidth="1"/>
    <col min="34" max="34" width="3.44140625" style="599" customWidth="1"/>
    <col min="35" max="35" width="1.6640625" style="599" customWidth="1"/>
    <col min="36" max="36" width="2.33203125" style="599" customWidth="1"/>
    <col min="37" max="48" width="10.88671875" style="599"/>
    <col min="49" max="53" width="0" style="599" hidden="1" customWidth="1"/>
    <col min="54" max="262" width="10.88671875" style="599"/>
    <col min="263" max="16384" width="10.88671875" style="648"/>
  </cols>
  <sheetData>
    <row r="1" spans="2:36" ht="15" customHeight="1">
      <c r="AF1" s="1768" t="str">
        <f>'DS Log Pg 1'!U1</f>
        <v>700-010-84</v>
      </c>
      <c r="AG1" s="1768"/>
      <c r="AH1" s="1768"/>
    </row>
    <row r="2" spans="2:36" ht="12" customHeight="1">
      <c r="B2" s="600"/>
      <c r="C2" s="600"/>
      <c r="D2" s="600"/>
      <c r="E2" s="600"/>
      <c r="F2" s="600"/>
      <c r="G2" s="600"/>
      <c r="H2" s="600"/>
      <c r="I2" s="600"/>
      <c r="J2" s="600"/>
      <c r="K2" s="600"/>
      <c r="L2" s="600"/>
      <c r="M2" s="600"/>
      <c r="N2" s="601"/>
      <c r="O2" s="601"/>
      <c r="P2" s="600"/>
      <c r="Q2" s="600"/>
      <c r="R2" s="600"/>
      <c r="S2" s="600"/>
      <c r="T2" s="600"/>
      <c r="U2" s="600"/>
      <c r="V2" s="600"/>
      <c r="W2" s="602"/>
      <c r="X2" s="602"/>
      <c r="Y2" s="602"/>
      <c r="Z2" s="600"/>
      <c r="AA2" s="600"/>
      <c r="AB2" s="600"/>
      <c r="AC2" s="603"/>
      <c r="AD2" s="603"/>
      <c r="AE2" s="603"/>
      <c r="AF2" s="1769" t="s">
        <v>8</v>
      </c>
      <c r="AG2" s="1769"/>
      <c r="AH2" s="1769"/>
      <c r="AI2" s="603"/>
      <c r="AJ2" s="604"/>
    </row>
    <row r="3" spans="2:36" ht="12.75" customHeight="1">
      <c r="B3" s="600"/>
      <c r="C3" s="600"/>
      <c r="D3" s="600"/>
      <c r="E3" s="600"/>
      <c r="F3" s="600"/>
      <c r="G3" s="600"/>
      <c r="H3" s="600"/>
      <c r="I3" s="600"/>
      <c r="J3" s="600"/>
      <c r="K3" s="600"/>
      <c r="L3" s="1770" t="s">
        <v>98</v>
      </c>
      <c r="M3" s="1771"/>
      <c r="N3" s="1771"/>
      <c r="O3" s="1771"/>
      <c r="P3" s="1771"/>
      <c r="Q3" s="1771"/>
      <c r="R3" s="1771"/>
      <c r="S3" s="1771"/>
      <c r="T3" s="1771"/>
      <c r="U3" s="1771"/>
      <c r="V3" s="1771"/>
      <c r="W3" s="1771"/>
      <c r="X3" s="1771"/>
      <c r="Y3" s="603"/>
      <c r="Z3" s="600"/>
      <c r="AA3" s="600"/>
      <c r="AB3" s="600"/>
      <c r="AC3" s="603"/>
      <c r="AD3" s="603"/>
      <c r="AE3" s="603"/>
      <c r="AF3" s="605"/>
      <c r="AG3" s="1772">
        <f>'DS Log Pg 1'!U3</f>
        <v>45222</v>
      </c>
      <c r="AH3" s="1772"/>
      <c r="AI3" s="603"/>
      <c r="AJ3" s="604"/>
    </row>
    <row r="4" spans="2:36" ht="23.1" customHeight="1">
      <c r="B4" s="600"/>
      <c r="C4" s="600"/>
      <c r="D4" s="600"/>
      <c r="E4" s="600"/>
      <c r="F4" s="600"/>
      <c r="G4" s="600"/>
      <c r="H4" s="1773" t="s">
        <v>990</v>
      </c>
      <c r="I4" s="1774"/>
      <c r="J4" s="1774"/>
      <c r="K4" s="1774"/>
      <c r="L4" s="1774"/>
      <c r="M4" s="1774"/>
      <c r="N4" s="1774"/>
      <c r="O4" s="1774"/>
      <c r="P4" s="1774"/>
      <c r="Q4" s="1774"/>
      <c r="R4" s="1774"/>
      <c r="S4" s="1774"/>
      <c r="T4" s="1774"/>
      <c r="U4" s="1774"/>
      <c r="V4" s="1774"/>
      <c r="W4" s="1774"/>
      <c r="X4" s="1774"/>
      <c r="Y4" s="1774"/>
      <c r="Z4" s="1774"/>
      <c r="AA4" s="1774"/>
      <c r="AB4" s="606"/>
      <c r="AC4" s="607"/>
      <c r="AD4" s="607"/>
      <c r="AE4" s="607"/>
      <c r="AF4" s="607"/>
      <c r="AG4" s="600"/>
      <c r="AH4" s="600"/>
      <c r="AI4" s="603"/>
      <c r="AJ4" s="604"/>
    </row>
    <row r="5" spans="2:36" ht="14.1" customHeight="1" thickBot="1">
      <c r="B5" s="1766"/>
      <c r="C5" s="1767"/>
      <c r="D5" s="1767"/>
      <c r="E5" s="1767"/>
      <c r="F5" s="600"/>
      <c r="G5" s="600"/>
      <c r="H5" s="600"/>
      <c r="I5" s="600"/>
      <c r="J5" s="600"/>
      <c r="K5" s="600"/>
      <c r="L5" s="608"/>
      <c r="M5" s="609"/>
      <c r="N5" s="609"/>
      <c r="O5" s="609"/>
      <c r="P5" s="609"/>
      <c r="Q5" s="609"/>
      <c r="R5" s="609"/>
      <c r="S5" s="609"/>
      <c r="T5" s="609"/>
      <c r="U5" s="609"/>
      <c r="V5" s="609"/>
      <c r="W5" s="609"/>
      <c r="X5" s="609"/>
      <c r="Y5" s="609"/>
      <c r="Z5" s="600"/>
      <c r="AA5" s="600"/>
      <c r="AB5" s="600"/>
      <c r="AC5" s="610"/>
      <c r="AD5" s="610"/>
      <c r="AE5" s="610"/>
      <c r="AF5" s="610"/>
      <c r="AG5" s="600"/>
      <c r="AH5" s="600"/>
      <c r="AI5" s="603"/>
      <c r="AJ5" s="604"/>
    </row>
    <row r="6" spans="2:36" ht="21.75" customHeight="1" thickTop="1" thickBot="1">
      <c r="B6" s="611"/>
      <c r="C6" s="612"/>
      <c r="D6" s="612"/>
      <c r="E6" s="612"/>
      <c r="F6" s="612"/>
      <c r="G6" s="612"/>
      <c r="H6" s="612"/>
      <c r="I6" s="612"/>
      <c r="J6" s="612"/>
      <c r="K6" s="612"/>
      <c r="L6" s="613"/>
      <c r="M6" s="613"/>
      <c r="N6" s="613"/>
      <c r="O6" s="613"/>
      <c r="P6" s="613"/>
      <c r="Q6" s="613"/>
      <c r="R6" s="613"/>
      <c r="S6" s="613"/>
      <c r="T6" s="614"/>
      <c r="U6" s="614"/>
      <c r="V6" s="614"/>
      <c r="W6" s="614"/>
      <c r="X6" s="614"/>
      <c r="Y6" s="1775" t="s">
        <v>687</v>
      </c>
      <c r="Z6" s="1776"/>
      <c r="AA6" s="1776"/>
      <c r="AB6" s="1776"/>
      <c r="AC6" s="1776"/>
      <c r="AD6" s="1777"/>
      <c r="AE6" s="1778"/>
      <c r="AF6" s="935" t="s">
        <v>981</v>
      </c>
      <c r="AG6" s="938"/>
      <c r="AH6" s="615"/>
      <c r="AI6" s="603"/>
      <c r="AJ6" s="604"/>
    </row>
    <row r="7" spans="2:36" ht="23.1" customHeight="1" thickBot="1">
      <c r="B7" s="616"/>
      <c r="C7" s="1779" t="s">
        <v>669</v>
      </c>
      <c r="D7" s="1779"/>
      <c r="E7" s="1779"/>
      <c r="F7" s="1779"/>
      <c r="G7" s="1780"/>
      <c r="H7" s="1780"/>
      <c r="I7" s="1780"/>
      <c r="J7" s="1780"/>
      <c r="K7" s="1780"/>
      <c r="L7" s="1780"/>
      <c r="M7" s="1780"/>
      <c r="N7" s="1781"/>
      <c r="O7" s="1781"/>
      <c r="P7" s="1781"/>
      <c r="Q7" s="1781"/>
      <c r="R7" s="1781"/>
      <c r="S7" s="1781"/>
      <c r="T7" s="1781"/>
      <c r="U7" s="1781"/>
      <c r="V7" s="1781"/>
      <c r="W7" s="1781"/>
      <c r="X7" s="617"/>
      <c r="Y7" s="1782" t="s">
        <v>670</v>
      </c>
      <c r="Z7" s="1783"/>
      <c r="AA7" s="1783"/>
      <c r="AB7" s="1783"/>
      <c r="AC7" s="1783"/>
      <c r="AD7" s="1784"/>
      <c r="AE7" s="1784"/>
      <c r="AF7" s="1784"/>
      <c r="AG7" s="1784"/>
      <c r="AH7" s="618"/>
      <c r="AI7" s="604"/>
      <c r="AJ7" s="604"/>
    </row>
    <row r="8" spans="2:36" ht="23.1" customHeight="1" thickBot="1">
      <c r="B8" s="616"/>
      <c r="C8" s="1786" t="s">
        <v>688</v>
      </c>
      <c r="D8" s="1786"/>
      <c r="E8" s="1786"/>
      <c r="F8" s="1786"/>
      <c r="G8" s="1780"/>
      <c r="H8" s="1780"/>
      <c r="I8" s="1780"/>
      <c r="J8" s="1780"/>
      <c r="K8" s="1780"/>
      <c r="L8" s="1780"/>
      <c r="M8" s="1780"/>
      <c r="N8" s="1781"/>
      <c r="O8" s="1781"/>
      <c r="P8" s="1781"/>
      <c r="Q8" s="1781"/>
      <c r="R8" s="1781"/>
      <c r="S8" s="1781"/>
      <c r="T8" s="1781"/>
      <c r="U8" s="1781"/>
      <c r="V8" s="1781"/>
      <c r="W8" s="1781"/>
      <c r="X8" s="617"/>
      <c r="Y8" s="1782" t="s">
        <v>671</v>
      </c>
      <c r="Z8" s="1783"/>
      <c r="AA8" s="1783"/>
      <c r="AB8" s="1783"/>
      <c r="AC8" s="1783"/>
      <c r="AD8" s="1787"/>
      <c r="AE8" s="1787"/>
      <c r="AF8" s="1787"/>
      <c r="AG8" s="1787"/>
      <c r="AH8" s="618"/>
      <c r="AI8" s="619"/>
      <c r="AJ8" s="619"/>
    </row>
    <row r="9" spans="2:36" ht="23.1" customHeight="1" thickBot="1">
      <c r="B9" s="616"/>
      <c r="C9" s="1788" t="s">
        <v>689</v>
      </c>
      <c r="D9" s="1789"/>
      <c r="E9" s="1789"/>
      <c r="F9" s="1789"/>
      <c r="G9" s="1780"/>
      <c r="H9" s="1780"/>
      <c r="I9" s="1780"/>
      <c r="J9" s="1780"/>
      <c r="K9" s="1780"/>
      <c r="L9" s="1780"/>
      <c r="M9" s="1780"/>
      <c r="N9" s="620" t="s">
        <v>690</v>
      </c>
      <c r="O9" s="1790"/>
      <c r="P9" s="1791"/>
      <c r="Q9" s="1791"/>
      <c r="R9" s="1791"/>
      <c r="S9" s="619" t="s">
        <v>675</v>
      </c>
      <c r="T9" s="1792"/>
      <c r="U9" s="1793"/>
      <c r="V9" s="1793"/>
      <c r="W9" s="1793"/>
      <c r="X9" s="617"/>
      <c r="Y9" s="1782" t="s">
        <v>673</v>
      </c>
      <c r="Z9" s="1783"/>
      <c r="AA9" s="1783"/>
      <c r="AB9" s="1783"/>
      <c r="AC9" s="1783"/>
      <c r="AD9" s="1785"/>
      <c r="AE9" s="1785"/>
      <c r="AF9" s="1785"/>
      <c r="AG9" s="1785"/>
      <c r="AH9" s="618"/>
      <c r="AI9" s="619"/>
      <c r="AJ9" s="619"/>
    </row>
    <row r="10" spans="2:36" ht="23.1" customHeight="1" thickBot="1">
      <c r="B10" s="616"/>
      <c r="C10" s="1788" t="s">
        <v>691</v>
      </c>
      <c r="D10" s="1789"/>
      <c r="E10" s="1789"/>
      <c r="F10" s="1789"/>
      <c r="G10" s="1780"/>
      <c r="H10" s="1780"/>
      <c r="I10" s="1780"/>
      <c r="J10" s="1780"/>
      <c r="K10" s="1780"/>
      <c r="L10" s="1780"/>
      <c r="M10" s="1780"/>
      <c r="N10" s="621" t="s">
        <v>690</v>
      </c>
      <c r="O10" s="1790"/>
      <c r="P10" s="1791"/>
      <c r="Q10" s="1791"/>
      <c r="R10" s="1791"/>
      <c r="S10" s="619" t="s">
        <v>675</v>
      </c>
      <c r="T10" s="1792"/>
      <c r="U10" s="1793"/>
      <c r="V10" s="1793"/>
      <c r="W10" s="1793"/>
      <c r="X10" s="617"/>
      <c r="Y10" s="1782" t="s">
        <v>151</v>
      </c>
      <c r="Z10" s="1783"/>
      <c r="AA10" s="1783"/>
      <c r="AB10" s="1783"/>
      <c r="AC10" s="1783"/>
      <c r="AD10" s="1785"/>
      <c r="AE10" s="1785"/>
      <c r="AF10" s="1785"/>
      <c r="AG10" s="1785"/>
      <c r="AH10" s="618"/>
      <c r="AI10" s="619"/>
      <c r="AJ10" s="619"/>
    </row>
    <row r="11" spans="2:36" ht="25.5" customHeight="1" thickBot="1">
      <c r="B11" s="616"/>
      <c r="C11" s="622"/>
      <c r="D11" s="622"/>
      <c r="E11" s="622"/>
      <c r="F11" s="623"/>
      <c r="G11" s="624"/>
      <c r="H11" s="624"/>
      <c r="I11" s="624"/>
      <c r="J11" s="624"/>
      <c r="K11" s="624"/>
      <c r="L11" s="624"/>
      <c r="M11" s="624"/>
      <c r="N11" s="621"/>
      <c r="O11" s="625"/>
      <c r="P11" s="624"/>
      <c r="Q11" s="624"/>
      <c r="R11" s="624"/>
      <c r="S11" s="600"/>
      <c r="T11" s="626"/>
      <c r="U11" s="617"/>
      <c r="V11" s="617"/>
      <c r="W11" s="617"/>
      <c r="X11" s="617"/>
      <c r="Y11" s="1782" t="s">
        <v>685</v>
      </c>
      <c r="Z11" s="1783"/>
      <c r="AA11" s="1783"/>
      <c r="AB11" s="1783"/>
      <c r="AC11" s="1783"/>
      <c r="AD11" s="1787"/>
      <c r="AE11" s="1787"/>
      <c r="AF11" s="1787"/>
      <c r="AG11" s="1787"/>
      <c r="AH11" s="618"/>
      <c r="AI11" s="619"/>
      <c r="AJ11" s="619"/>
    </row>
    <row r="12" spans="2:36" ht="18" customHeight="1" thickBot="1">
      <c r="B12" s="627"/>
      <c r="C12" s="628"/>
      <c r="D12" s="628"/>
      <c r="E12" s="628"/>
      <c r="F12" s="629"/>
      <c r="G12" s="630"/>
      <c r="H12" s="630"/>
      <c r="I12" s="630"/>
      <c r="J12" s="630"/>
      <c r="K12" s="630"/>
      <c r="L12" s="630"/>
      <c r="M12" s="630"/>
      <c r="N12" s="630"/>
      <c r="O12" s="630"/>
      <c r="P12" s="631"/>
      <c r="Q12" s="631"/>
      <c r="R12" s="632"/>
      <c r="S12" s="633"/>
      <c r="T12" s="633"/>
      <c r="U12" s="634"/>
      <c r="V12" s="634"/>
      <c r="W12" s="635"/>
      <c r="X12" s="636"/>
      <c r="Y12" s="637"/>
      <c r="Z12" s="637"/>
      <c r="AA12" s="637"/>
      <c r="AB12" s="637"/>
      <c r="AC12" s="637"/>
      <c r="AD12" s="637"/>
      <c r="AE12" s="637"/>
      <c r="AF12" s="637"/>
      <c r="AG12" s="637"/>
      <c r="AH12" s="638"/>
      <c r="AI12" s="619"/>
      <c r="AJ12" s="619"/>
    </row>
    <row r="13" spans="2:36" ht="10.199999999999999" customHeight="1">
      <c r="B13" s="616"/>
      <c r="C13" s="622"/>
      <c r="D13" s="622"/>
      <c r="E13" s="622"/>
      <c r="F13" s="639"/>
      <c r="G13" s="640"/>
      <c r="H13" s="640"/>
      <c r="I13" s="640"/>
      <c r="J13" s="640"/>
      <c r="K13" s="640"/>
      <c r="L13" s="640"/>
      <c r="M13" s="640"/>
      <c r="N13" s="640"/>
      <c r="O13" s="640"/>
      <c r="P13" s="641"/>
      <c r="Q13" s="641"/>
      <c r="R13" s="642"/>
      <c r="S13" s="600"/>
      <c r="T13" s="600"/>
      <c r="U13" s="626"/>
      <c r="V13" s="626"/>
      <c r="W13" s="643"/>
      <c r="X13" s="644"/>
      <c r="Y13" s="645"/>
      <c r="Z13" s="645"/>
      <c r="AA13" s="645"/>
      <c r="AB13" s="645"/>
      <c r="AC13" s="645"/>
      <c r="AD13" s="645"/>
      <c r="AE13" s="645"/>
      <c r="AF13" s="645"/>
      <c r="AG13" s="645"/>
      <c r="AH13" s="618"/>
      <c r="AI13" s="619"/>
      <c r="AJ13" s="619"/>
    </row>
    <row r="14" spans="2:36" ht="31.95" customHeight="1" thickBot="1">
      <c r="B14" s="1795" t="s">
        <v>692</v>
      </c>
      <c r="C14" s="1796"/>
      <c r="D14" s="1796"/>
      <c r="E14" s="1796"/>
      <c r="F14" s="1797"/>
      <c r="G14" s="1797"/>
      <c r="H14" s="1797"/>
      <c r="I14" s="1797"/>
      <c r="J14" s="1797"/>
      <c r="K14" s="1797"/>
      <c r="L14" s="1797"/>
      <c r="M14" s="1797"/>
      <c r="N14" s="1798" t="s">
        <v>693</v>
      </c>
      <c r="O14" s="1798"/>
      <c r="P14" s="1782"/>
      <c r="Q14" s="1782"/>
      <c r="R14" s="1782"/>
      <c r="S14" s="1782"/>
      <c r="T14" s="1782"/>
      <c r="U14" s="1782"/>
      <c r="V14" s="1782"/>
      <c r="W14" s="1782"/>
      <c r="X14" s="1782"/>
      <c r="Y14" s="1782"/>
      <c r="Z14" s="1782"/>
      <c r="AA14" s="1782"/>
      <c r="AB14" s="626"/>
      <c r="AC14" s="646" t="s">
        <v>677</v>
      </c>
      <c r="AD14" s="867"/>
      <c r="AE14" s="804"/>
      <c r="AF14" s="868" t="s">
        <v>678</v>
      </c>
      <c r="AG14" s="867"/>
      <c r="AH14" s="649"/>
      <c r="AI14" s="619"/>
      <c r="AJ14" s="619"/>
    </row>
    <row r="15" spans="2:36" ht="10.199999999999999" customHeight="1">
      <c r="B15" s="650"/>
      <c r="C15" s="1794"/>
      <c r="D15" s="1794"/>
      <c r="E15" s="1794"/>
      <c r="F15" s="1794"/>
      <c r="G15" s="651"/>
      <c r="H15" s="651"/>
      <c r="I15" s="651"/>
      <c r="J15" s="651"/>
      <c r="K15" s="651"/>
      <c r="L15" s="651"/>
      <c r="M15" s="651"/>
      <c r="N15" s="652" t="s">
        <v>694</v>
      </c>
      <c r="O15" s="652"/>
      <c r="P15" s="651"/>
      <c r="Q15" s="651"/>
      <c r="R15" s="651"/>
      <c r="S15" s="600"/>
      <c r="T15" s="600"/>
      <c r="U15" s="600"/>
      <c r="V15" s="600"/>
      <c r="W15" s="602"/>
      <c r="X15" s="653"/>
      <c r="Y15" s="653"/>
      <c r="Z15" s="651"/>
      <c r="AA15" s="619"/>
      <c r="AB15" s="619"/>
      <c r="AC15" s="647"/>
      <c r="AD15" s="647"/>
      <c r="AE15" s="647"/>
      <c r="AF15" s="647"/>
      <c r="AG15" s="647"/>
      <c r="AH15" s="649"/>
      <c r="AI15" s="619"/>
      <c r="AJ15" s="619"/>
    </row>
    <row r="16" spans="2:36" ht="18" customHeight="1">
      <c r="B16" s="650"/>
      <c r="C16" s="654"/>
      <c r="H16" s="651"/>
      <c r="I16" s="651"/>
      <c r="J16" s="651"/>
      <c r="K16" s="651"/>
      <c r="L16" s="651"/>
      <c r="M16" s="651"/>
      <c r="N16" s="651"/>
      <c r="O16" s="651"/>
      <c r="P16" s="651"/>
      <c r="Q16" s="651"/>
      <c r="R16" s="651"/>
      <c r="S16" s="653"/>
      <c r="T16" s="653"/>
      <c r="U16" s="653"/>
      <c r="V16" s="653"/>
      <c r="W16" s="653" t="s">
        <v>695</v>
      </c>
      <c r="X16" s="651"/>
      <c r="Y16" s="651"/>
      <c r="Z16" s="619"/>
      <c r="AA16" s="619"/>
      <c r="AB16" s="619"/>
      <c r="AC16" s="619"/>
      <c r="AD16" s="619"/>
      <c r="AE16" s="619"/>
      <c r="AF16" s="619"/>
      <c r="AG16" s="619"/>
      <c r="AH16" s="649"/>
      <c r="AI16" s="619"/>
      <c r="AJ16" s="619"/>
    </row>
    <row r="17" spans="2:55" ht="15" customHeight="1">
      <c r="B17" s="650"/>
      <c r="C17" s="626" t="s">
        <v>696</v>
      </c>
      <c r="D17" s="626"/>
      <c r="E17" s="619"/>
      <c r="F17" s="619"/>
      <c r="G17" s="619"/>
      <c r="H17" s="619"/>
      <c r="I17" s="619"/>
      <c r="J17" s="619"/>
      <c r="K17" s="619"/>
      <c r="L17" s="619"/>
      <c r="M17" s="619"/>
      <c r="N17" s="619"/>
      <c r="O17" s="619"/>
      <c r="P17" s="619"/>
      <c r="Q17" s="619"/>
      <c r="R17" s="619"/>
      <c r="S17" s="619"/>
      <c r="T17" s="619"/>
      <c r="U17" s="619"/>
      <c r="V17" s="619"/>
      <c r="W17" s="643"/>
      <c r="X17" s="643"/>
      <c r="Y17" s="643"/>
      <c r="Z17" s="619"/>
      <c r="AA17" s="619"/>
      <c r="AB17" s="619"/>
      <c r="AC17" s="619"/>
      <c r="AD17" s="1799" t="s">
        <v>1218</v>
      </c>
      <c r="AE17" s="1799"/>
      <c r="AF17" s="1800"/>
      <c r="AG17" s="1800"/>
      <c r="AH17" s="649"/>
      <c r="AI17" s="604"/>
      <c r="AJ17" s="604"/>
      <c r="AR17" s="1801" t="s">
        <v>1220</v>
      </c>
      <c r="AS17" s="1801"/>
      <c r="AT17" s="599" cm="1">
        <f t="array" ref="AT17:AU17">'DS Log Pg 2'!W28:X28</f>
        <v>0</v>
      </c>
      <c r="AU17" s="599">
        <v>0</v>
      </c>
    </row>
    <row r="18" spans="2:55" ht="19.95" customHeight="1" thickBot="1">
      <c r="B18" s="650"/>
      <c r="C18" s="1802" t="s">
        <v>1301</v>
      </c>
      <c r="D18" s="1802"/>
      <c r="E18" s="1802"/>
      <c r="F18" s="1802"/>
      <c r="G18" s="762"/>
      <c r="H18" s="619"/>
      <c r="I18" s="619"/>
      <c r="J18" s="619"/>
      <c r="K18" s="619"/>
      <c r="L18" s="619"/>
      <c r="M18" s="619"/>
      <c r="N18" s="619"/>
      <c r="O18" s="619"/>
      <c r="P18" s="619"/>
      <c r="Q18" s="619"/>
      <c r="R18" s="619"/>
      <c r="S18" s="619"/>
      <c r="T18" s="619"/>
      <c r="U18" s="619"/>
      <c r="V18" s="619"/>
      <c r="W18" s="643"/>
      <c r="X18" s="643"/>
      <c r="Y18" s="643"/>
      <c r="Z18" s="619"/>
      <c r="AA18" s="619"/>
      <c r="AB18" s="619"/>
      <c r="AC18" s="619"/>
      <c r="AD18" s="619"/>
      <c r="AE18" s="619"/>
      <c r="AF18" s="619"/>
      <c r="AG18" s="619"/>
      <c r="AH18" s="649"/>
      <c r="AI18" s="604"/>
      <c r="AJ18" s="604"/>
    </row>
    <row r="19" spans="2:55" ht="4.95" customHeight="1">
      <c r="B19" s="650"/>
      <c r="H19" s="619"/>
      <c r="I19" s="619"/>
      <c r="J19" s="619"/>
      <c r="K19" s="619"/>
      <c r="L19" s="619"/>
      <c r="M19" s="619"/>
      <c r="N19" s="655"/>
      <c r="O19" s="619"/>
      <c r="P19" s="619"/>
      <c r="Q19" s="619"/>
      <c r="R19" s="619"/>
      <c r="S19" s="619"/>
      <c r="T19" s="619"/>
      <c r="U19" s="619"/>
      <c r="V19" s="619"/>
      <c r="W19" s="643"/>
      <c r="X19" s="643"/>
      <c r="Y19" s="643"/>
      <c r="Z19" s="619"/>
      <c r="AA19" s="619"/>
      <c r="AB19" s="619"/>
      <c r="AC19" s="619"/>
      <c r="AD19" s="619"/>
      <c r="AE19" s="619"/>
      <c r="AF19" s="619"/>
      <c r="AG19" s="619"/>
      <c r="AH19" s="649"/>
      <c r="AI19" s="604"/>
      <c r="AJ19" s="604"/>
    </row>
    <row r="20" spans="2:55" ht="17.399999999999999" customHeight="1" thickBot="1">
      <c r="B20" s="650"/>
      <c r="C20" s="1803" t="s">
        <v>697</v>
      </c>
      <c r="D20" s="1803"/>
      <c r="E20" s="1803"/>
      <c r="F20" s="1803"/>
      <c r="G20" s="1369" t="str">
        <f>IF(OR(F14="Natural Slurry",F14="Water"),"",IF(F14="","",IF(G18="","",IF(AV21=30, AP30,AP31))))</f>
        <v/>
      </c>
      <c r="H20" s="663" t="s">
        <v>698</v>
      </c>
      <c r="I20" s="1369" t="str">
        <f>IF(OR(F14="Natural Slurry",F14="Water"),AP35,IF(F14="","",IF(G18="","",IF(AV21=30, AP33,AP34))))</f>
        <v/>
      </c>
      <c r="J20" s="805"/>
      <c r="K20" s="1804" t="s">
        <v>699</v>
      </c>
      <c r="L20" s="1804"/>
      <c r="M20" s="1804"/>
      <c r="N20" s="762"/>
      <c r="O20" s="663" t="s">
        <v>698</v>
      </c>
      <c r="P20" s="762"/>
      <c r="Q20" s="806"/>
      <c r="R20" s="1805" t="s">
        <v>700</v>
      </c>
      <c r="S20" s="1806"/>
      <c r="T20" s="1806"/>
      <c r="U20" s="1806"/>
      <c r="V20" s="1806"/>
      <c r="W20" s="1806"/>
      <c r="X20" s="1806"/>
      <c r="Y20" s="1369" t="str">
        <f>IF(F14="Water","",IF(F14="Natural Slurry","",AV21))</f>
        <v/>
      </c>
      <c r="Z20" s="807" t="s">
        <v>698</v>
      </c>
      <c r="AA20" s="762" t="str">
        <f>IF(OR(F14="Natural Slurry",F14="water"),"",IF(OR(F14=bent,F14=att),40, ""))</f>
        <v/>
      </c>
      <c r="AB20" s="805"/>
      <c r="AC20" s="1807" t="s">
        <v>887</v>
      </c>
      <c r="AD20" s="1808"/>
      <c r="AE20" s="1808"/>
      <c r="AF20" s="1808"/>
      <c r="AG20" s="1369" t="str">
        <f>IF(F14="Natural Slurry","",IF(F14="Water","",BC21))</f>
        <v/>
      </c>
      <c r="AH20" s="656" t="s">
        <v>701</v>
      </c>
      <c r="AI20" s="604"/>
      <c r="AJ20" s="604"/>
      <c r="AP20" s="1368" t="s">
        <v>1304</v>
      </c>
      <c r="AR20" s="1368" t="s">
        <v>1303</v>
      </c>
      <c r="AV20" s="599" t="s">
        <v>1298</v>
      </c>
      <c r="BC20" s="599" t="s">
        <v>1300</v>
      </c>
    </row>
    <row r="21" spans="2:55" ht="16.5" customHeight="1">
      <c r="B21" s="650"/>
      <c r="C21" s="600"/>
      <c r="D21" s="600"/>
      <c r="E21" s="600"/>
      <c r="F21" s="600"/>
      <c r="G21" s="600"/>
      <c r="H21" s="600"/>
      <c r="I21" s="600"/>
      <c r="J21" s="600"/>
      <c r="K21" s="600"/>
      <c r="L21" s="600"/>
      <c r="M21" s="600"/>
      <c r="N21" s="600"/>
      <c r="O21" s="600"/>
      <c r="P21" s="600"/>
      <c r="Q21" s="600"/>
      <c r="R21" s="600"/>
      <c r="S21" s="600"/>
      <c r="T21" s="600"/>
      <c r="U21" s="602"/>
      <c r="V21" s="602"/>
      <c r="W21" s="602"/>
      <c r="X21" s="602"/>
      <c r="Y21" s="600"/>
      <c r="Z21" s="600"/>
      <c r="AA21" s="600"/>
      <c r="AB21" s="600"/>
      <c r="AC21" s="600"/>
      <c r="AD21" s="600"/>
      <c r="AE21" s="600"/>
      <c r="AF21" s="600"/>
      <c r="AG21" s="600"/>
      <c r="AH21" s="657"/>
      <c r="AI21" s="604"/>
      <c r="AJ21" s="604"/>
      <c r="AP21" s="599" t="s">
        <v>1302</v>
      </c>
      <c r="AR21" s="599" t="s">
        <v>1288</v>
      </c>
      <c r="AV21" s="599" t="str">
        <f>IF(F14="","",IF(F14=cetco,50,IF(F14=PB,50,IF(F14=PM,50,IF(F14=PK,50,30)))))</f>
        <v/>
      </c>
      <c r="BC21" s="599" t="str">
        <f>IF(F14="","",IF(AV21=50,0.5,4))</f>
        <v/>
      </c>
    </row>
    <row r="22" spans="2:55" ht="17.100000000000001" customHeight="1" thickBot="1">
      <c r="B22" s="650"/>
      <c r="C22" s="890" t="s">
        <v>702</v>
      </c>
      <c r="D22" s="891"/>
      <c r="E22" s="1811" t="s">
        <v>1138</v>
      </c>
      <c r="F22" s="1811"/>
      <c r="G22" s="1811"/>
      <c r="H22" s="1811"/>
      <c r="I22" s="1811"/>
      <c r="J22" s="1811"/>
      <c r="K22" s="1811"/>
      <c r="L22" s="1811"/>
      <c r="M22" s="1811"/>
      <c r="N22" s="1811"/>
      <c r="O22" s="1811"/>
      <c r="P22" s="1811"/>
      <c r="Q22" s="1811"/>
      <c r="R22" s="1811"/>
      <c r="S22" s="1811"/>
      <c r="T22" s="1811"/>
      <c r="U22" s="1811"/>
      <c r="V22" s="1811"/>
      <c r="W22" s="1811"/>
      <c r="X22" s="1811"/>
      <c r="Y22" s="1811"/>
      <c r="Z22" s="1811"/>
      <c r="AA22" s="1811"/>
      <c r="AB22" s="1794" t="s">
        <v>1137</v>
      </c>
      <c r="AC22" s="1794"/>
      <c r="AD22" s="1794"/>
      <c r="AE22" s="1812"/>
      <c r="AF22" s="1812"/>
      <c r="AG22" s="1812"/>
      <c r="AH22" s="657"/>
      <c r="AI22" s="604"/>
      <c r="AJ22" s="604"/>
      <c r="AP22" s="599" t="s">
        <v>1305</v>
      </c>
      <c r="AR22" s="599" t="s">
        <v>1286</v>
      </c>
      <c r="AV22" s="599" t="s">
        <v>1298</v>
      </c>
    </row>
    <row r="23" spans="2:55" ht="15" customHeight="1">
      <c r="B23" s="650"/>
      <c r="C23" s="600"/>
      <c r="D23" s="600"/>
      <c r="E23" s="602"/>
      <c r="F23" s="643"/>
      <c r="G23" s="643"/>
      <c r="H23" s="643"/>
      <c r="I23" s="643"/>
      <c r="J23" s="643"/>
      <c r="K23" s="643"/>
      <c r="L23" s="643"/>
      <c r="M23" s="1799" t="s">
        <v>703</v>
      </c>
      <c r="N23" s="1813"/>
      <c r="O23" s="1813"/>
      <c r="P23" s="1814" t="s">
        <v>704</v>
      </c>
      <c r="Q23" s="1815"/>
      <c r="R23" s="659"/>
      <c r="S23" s="643"/>
      <c r="T23" s="643"/>
      <c r="U23" s="643"/>
      <c r="V23" s="643"/>
      <c r="W23" s="643"/>
      <c r="X23" s="643"/>
      <c r="Y23" s="619"/>
      <c r="Z23" s="619"/>
      <c r="AA23" s="619"/>
      <c r="AB23" s="619"/>
      <c r="AC23" s="1794"/>
      <c r="AD23" s="1794"/>
      <c r="AE23" s="1794"/>
      <c r="AF23" s="1794"/>
      <c r="AG23" s="1794"/>
      <c r="AH23" s="657"/>
      <c r="AI23" s="604"/>
      <c r="AJ23" s="604"/>
      <c r="AP23" s="1370" t="s">
        <v>196</v>
      </c>
      <c r="AR23" s="599" t="s">
        <v>1287</v>
      </c>
      <c r="AV23" s="599" t="str">
        <f>IF(F14="","",IF(F14=PC,50,IF(F14=PB,50,IF(F14=PM,50,IF(F14=PK,119,40)))))</f>
        <v/>
      </c>
    </row>
    <row r="24" spans="2:55" ht="15" customHeight="1">
      <c r="B24" s="650"/>
      <c r="C24" s="600"/>
      <c r="D24" s="646" t="s">
        <v>705</v>
      </c>
      <c r="E24" s="602"/>
      <c r="F24" s="646" t="s">
        <v>1153</v>
      </c>
      <c r="G24" s="660"/>
      <c r="H24" s="646" t="s">
        <v>706</v>
      </c>
      <c r="I24" s="660"/>
      <c r="J24" s="660"/>
      <c r="K24" s="660"/>
      <c r="L24" s="646" t="s">
        <v>707</v>
      </c>
      <c r="M24" s="1782"/>
      <c r="N24" s="1782"/>
      <c r="O24" s="1782"/>
      <c r="P24" s="1815"/>
      <c r="Q24" s="1815"/>
      <c r="R24" s="659"/>
      <c r="S24" s="646" t="s">
        <v>708</v>
      </c>
      <c r="T24" s="646"/>
      <c r="U24" s="643"/>
      <c r="V24" s="643"/>
      <c r="W24" s="646" t="s">
        <v>709</v>
      </c>
      <c r="X24" s="643"/>
      <c r="Y24" s="1816" t="s">
        <v>710</v>
      </c>
      <c r="Z24" s="1817"/>
      <c r="AA24" s="1817"/>
      <c r="AB24" s="1817"/>
      <c r="AC24" s="1817"/>
      <c r="AD24" s="661"/>
      <c r="AE24" s="661"/>
      <c r="AF24" s="661"/>
      <c r="AG24" s="619"/>
      <c r="AH24" s="657"/>
      <c r="AI24" s="604"/>
      <c r="AJ24" s="604"/>
      <c r="AR24" s="599" t="s">
        <v>1285</v>
      </c>
    </row>
    <row r="25" spans="2:55" ht="18.899999999999999" customHeight="1" thickBot="1">
      <c r="B25" s="650"/>
      <c r="C25" s="600"/>
      <c r="D25" s="643"/>
      <c r="E25" s="600"/>
      <c r="F25" s="643" t="s">
        <v>13</v>
      </c>
      <c r="G25" s="662"/>
      <c r="H25" s="646" t="s">
        <v>711</v>
      </c>
      <c r="I25" s="660"/>
      <c r="J25" s="660"/>
      <c r="K25" s="660"/>
      <c r="L25" s="643"/>
      <c r="M25" s="660"/>
      <c r="N25" s="646" t="s">
        <v>712</v>
      </c>
      <c r="O25" s="663"/>
      <c r="P25" s="1815"/>
      <c r="Q25" s="1815"/>
      <c r="R25" s="659"/>
      <c r="S25" s="643"/>
      <c r="T25" s="660"/>
      <c r="U25" s="660"/>
      <c r="V25" s="660"/>
      <c r="W25" s="643"/>
      <c r="X25" s="643"/>
      <c r="Y25" s="1818"/>
      <c r="Z25" s="1818"/>
      <c r="AA25" s="1818"/>
      <c r="AB25" s="1818"/>
      <c r="AC25" s="1818"/>
      <c r="AD25" s="1818"/>
      <c r="AE25" s="1818"/>
      <c r="AF25" s="1818"/>
      <c r="AG25" s="1818"/>
      <c r="AH25" s="657"/>
      <c r="AI25" s="604"/>
      <c r="AJ25" s="604"/>
      <c r="AR25" s="599" t="s">
        <v>1297</v>
      </c>
    </row>
    <row r="26" spans="2:55" ht="24" customHeight="1" thickBot="1">
      <c r="B26" s="650"/>
      <c r="C26" s="600"/>
      <c r="D26" s="1262"/>
      <c r="E26" s="600"/>
      <c r="F26" s="1323"/>
      <c r="G26" s="664"/>
      <c r="H26" s="763"/>
      <c r="I26" s="664"/>
      <c r="J26" s="664"/>
      <c r="K26" s="664"/>
      <c r="L26" s="763"/>
      <c r="M26" s="664"/>
      <c r="N26" s="763"/>
      <c r="O26" s="664"/>
      <c r="P26" s="763"/>
      <c r="Q26" s="665"/>
      <c r="R26" s="666"/>
      <c r="S26" s="763"/>
      <c r="T26" s="665"/>
      <c r="U26" s="665"/>
      <c r="V26" s="665"/>
      <c r="W26" s="763"/>
      <c r="X26" s="666"/>
      <c r="Y26" s="1819"/>
      <c r="Z26" s="1819"/>
      <c r="AA26" s="1819"/>
      <c r="AB26" s="1819"/>
      <c r="AC26" s="1819"/>
      <c r="AD26" s="1819"/>
      <c r="AE26" s="1819"/>
      <c r="AF26" s="1819"/>
      <c r="AG26" s="1819"/>
      <c r="AH26" s="657"/>
      <c r="AI26" s="604"/>
      <c r="AJ26" s="604"/>
      <c r="AR26" s="599" t="s">
        <v>1296</v>
      </c>
    </row>
    <row r="27" spans="2:55" ht="24" customHeight="1" thickBot="1">
      <c r="B27" s="650"/>
      <c r="C27" s="600"/>
      <c r="D27" s="1262"/>
      <c r="E27" s="600"/>
      <c r="F27" s="1323"/>
      <c r="G27" s="664"/>
      <c r="H27" s="763"/>
      <c r="I27" s="664"/>
      <c r="J27" s="664"/>
      <c r="K27" s="664"/>
      <c r="L27" s="763"/>
      <c r="M27" s="664"/>
      <c r="N27" s="763"/>
      <c r="O27" s="664"/>
      <c r="P27" s="763"/>
      <c r="Q27" s="665"/>
      <c r="R27" s="666"/>
      <c r="S27" s="763"/>
      <c r="T27" s="665"/>
      <c r="U27" s="665"/>
      <c r="V27" s="665"/>
      <c r="W27" s="763"/>
      <c r="X27" s="666"/>
      <c r="Y27" s="1324"/>
      <c r="Z27" s="1324"/>
      <c r="AA27" s="1324"/>
      <c r="AB27" s="1324"/>
      <c r="AC27" s="1324"/>
      <c r="AD27" s="1324"/>
      <c r="AE27" s="1324"/>
      <c r="AF27" s="1324"/>
      <c r="AG27" s="1324"/>
      <c r="AH27" s="1325"/>
      <c r="AI27" s="604"/>
      <c r="AJ27" s="604"/>
      <c r="AR27" s="599" t="s">
        <v>1313</v>
      </c>
    </row>
    <row r="28" spans="2:55" ht="24" customHeight="1" thickBot="1">
      <c r="B28" s="650"/>
      <c r="C28" s="600"/>
      <c r="D28" s="1262"/>
      <c r="E28" s="600"/>
      <c r="F28" s="1323"/>
      <c r="G28" s="664"/>
      <c r="H28" s="763"/>
      <c r="I28" s="664"/>
      <c r="J28" s="664"/>
      <c r="K28" s="664"/>
      <c r="L28" s="763"/>
      <c r="M28" s="664"/>
      <c r="N28" s="763"/>
      <c r="O28" s="664"/>
      <c r="P28" s="763"/>
      <c r="Q28" s="665"/>
      <c r="R28" s="666"/>
      <c r="S28" s="763"/>
      <c r="T28" s="665"/>
      <c r="U28" s="665"/>
      <c r="V28" s="665"/>
      <c r="W28" s="763"/>
      <c r="X28" s="666"/>
      <c r="Y28" s="1324"/>
      <c r="Z28" s="1324"/>
      <c r="AA28" s="1324"/>
      <c r="AB28" s="1324"/>
      <c r="AC28" s="1324"/>
      <c r="AD28" s="1324"/>
      <c r="AE28" s="1324"/>
      <c r="AF28" s="1324"/>
      <c r="AG28" s="1324"/>
      <c r="AH28" s="1325"/>
      <c r="AI28" s="604"/>
      <c r="AJ28" s="604"/>
      <c r="AR28" s="599" t="s">
        <v>1314</v>
      </c>
    </row>
    <row r="29" spans="2:55" ht="24" customHeight="1" thickBot="1">
      <c r="B29" s="650"/>
      <c r="C29" s="600"/>
      <c r="D29" s="1262"/>
      <c r="E29" s="600"/>
      <c r="F29" s="1323"/>
      <c r="G29" s="664"/>
      <c r="H29" s="763"/>
      <c r="I29" s="664"/>
      <c r="J29" s="664"/>
      <c r="K29" s="664"/>
      <c r="L29" s="763"/>
      <c r="M29" s="664"/>
      <c r="N29" s="763"/>
      <c r="O29" s="664"/>
      <c r="P29" s="763"/>
      <c r="Q29" s="665"/>
      <c r="R29" s="666"/>
      <c r="S29" s="763"/>
      <c r="T29" s="665"/>
      <c r="U29" s="665"/>
      <c r="V29" s="665"/>
      <c r="W29" s="763"/>
      <c r="X29" s="666"/>
      <c r="Y29" s="1324"/>
      <c r="Z29" s="1324"/>
      <c r="AA29" s="1324"/>
      <c r="AB29" s="1324"/>
      <c r="AC29" s="1324"/>
      <c r="AD29" s="1324"/>
      <c r="AE29" s="1324"/>
      <c r="AF29" s="1324"/>
      <c r="AG29" s="1324"/>
      <c r="AH29" s="1325"/>
      <c r="AI29" s="604"/>
      <c r="AJ29" s="604"/>
      <c r="AP29" s="1368" t="s">
        <v>1306</v>
      </c>
      <c r="AQ29" s="1368"/>
      <c r="AR29" s="1368" t="s">
        <v>1298</v>
      </c>
    </row>
    <row r="30" spans="2:55" ht="24" customHeight="1" thickBot="1">
      <c r="B30" s="650"/>
      <c r="C30" s="600"/>
      <c r="D30" s="1262"/>
      <c r="E30" s="600"/>
      <c r="F30" s="1323"/>
      <c r="G30" s="664"/>
      <c r="H30" s="763"/>
      <c r="I30" s="664"/>
      <c r="J30" s="664"/>
      <c r="K30" s="664"/>
      <c r="L30" s="763"/>
      <c r="M30" s="664"/>
      <c r="N30" s="763"/>
      <c r="O30" s="664"/>
      <c r="P30" s="763"/>
      <c r="Q30" s="665"/>
      <c r="R30" s="666"/>
      <c r="S30" s="763"/>
      <c r="T30" s="665"/>
      <c r="U30" s="665"/>
      <c r="V30" s="665"/>
      <c r="W30" s="763"/>
      <c r="X30" s="666"/>
      <c r="Y30" s="1324"/>
      <c r="Z30" s="1324"/>
      <c r="AA30" s="1324"/>
      <c r="AB30" s="1324"/>
      <c r="AC30" s="1324"/>
      <c r="AD30" s="1324"/>
      <c r="AE30" s="1324"/>
      <c r="AF30" s="1324"/>
      <c r="AG30" s="1324"/>
      <c r="AH30" s="1325"/>
      <c r="AI30" s="604"/>
      <c r="AJ30" s="604"/>
      <c r="AO30" s="599" t="s">
        <v>1307</v>
      </c>
      <c r="AP30" s="599">
        <f>IF(AND(G18="Y",Y20=30),64,66)</f>
        <v>66</v>
      </c>
      <c r="AR30" s="599">
        <v>30</v>
      </c>
    </row>
    <row r="31" spans="2:55" ht="24" customHeight="1" thickBot="1">
      <c r="B31" s="650"/>
      <c r="C31" s="600"/>
      <c r="D31" s="1262"/>
      <c r="E31" s="600"/>
      <c r="F31" s="1323"/>
      <c r="G31" s="664"/>
      <c r="H31" s="763"/>
      <c r="I31" s="664"/>
      <c r="J31" s="664"/>
      <c r="K31" s="664"/>
      <c r="L31" s="763"/>
      <c r="M31" s="664"/>
      <c r="N31" s="763"/>
      <c r="O31" s="664"/>
      <c r="P31" s="763"/>
      <c r="Q31" s="665"/>
      <c r="R31" s="666"/>
      <c r="S31" s="763"/>
      <c r="T31" s="665"/>
      <c r="U31" s="665"/>
      <c r="V31" s="665"/>
      <c r="W31" s="763"/>
      <c r="X31" s="666"/>
      <c r="Y31" s="1324"/>
      <c r="Z31" s="1324"/>
      <c r="AA31" s="1324"/>
      <c r="AB31" s="1324"/>
      <c r="AC31" s="1324"/>
      <c r="AD31" s="1324"/>
      <c r="AE31" s="1324"/>
      <c r="AF31" s="1324"/>
      <c r="AG31" s="1324"/>
      <c r="AH31" s="1325"/>
      <c r="AI31" s="604"/>
      <c r="AJ31" s="604"/>
      <c r="AO31" s="599" t="s">
        <v>1308</v>
      </c>
      <c r="AP31" s="599">
        <f>IF(AND(G18="Y",Y20=50),62,64)</f>
        <v>64</v>
      </c>
      <c r="AR31" s="599">
        <v>50</v>
      </c>
    </row>
    <row r="32" spans="2:55" ht="24" customHeight="1" thickBot="1">
      <c r="B32" s="650"/>
      <c r="C32" s="600"/>
      <c r="D32" s="1262"/>
      <c r="E32" s="600"/>
      <c r="F32" s="1323"/>
      <c r="G32" s="664"/>
      <c r="H32" s="763"/>
      <c r="I32" s="664"/>
      <c r="J32" s="664"/>
      <c r="K32" s="664"/>
      <c r="L32" s="763"/>
      <c r="M32" s="664"/>
      <c r="N32" s="763"/>
      <c r="O32" s="664"/>
      <c r="P32" s="763"/>
      <c r="Q32" s="665"/>
      <c r="R32" s="666"/>
      <c r="S32" s="763"/>
      <c r="T32" s="665"/>
      <c r="U32" s="665"/>
      <c r="V32" s="665"/>
      <c r="W32" s="763"/>
      <c r="X32" s="666"/>
      <c r="Y32" s="1324"/>
      <c r="Z32" s="1324"/>
      <c r="AA32" s="1324"/>
      <c r="AB32" s="1324"/>
      <c r="AC32" s="1324"/>
      <c r="AD32" s="1324"/>
      <c r="AE32" s="1324"/>
      <c r="AF32" s="1324"/>
      <c r="AG32" s="1324"/>
      <c r="AH32" s="1325"/>
      <c r="AI32" s="604"/>
      <c r="AJ32" s="604"/>
      <c r="AP32" s="1368" t="s">
        <v>1309</v>
      </c>
      <c r="AQ32" s="1368"/>
      <c r="AR32" s="1368" t="s">
        <v>1299</v>
      </c>
    </row>
    <row r="33" spans="2:262" ht="24" customHeight="1" thickBot="1">
      <c r="B33" s="650"/>
      <c r="C33" s="600"/>
      <c r="D33" s="1262"/>
      <c r="E33" s="600"/>
      <c r="F33" s="1323"/>
      <c r="G33" s="664"/>
      <c r="H33" s="763"/>
      <c r="I33" s="664"/>
      <c r="J33" s="664"/>
      <c r="K33" s="664"/>
      <c r="L33" s="763"/>
      <c r="M33" s="664"/>
      <c r="N33" s="763"/>
      <c r="O33" s="664"/>
      <c r="P33" s="763"/>
      <c r="Q33" s="665"/>
      <c r="R33" s="666"/>
      <c r="S33" s="763"/>
      <c r="T33" s="665"/>
      <c r="U33" s="665"/>
      <c r="V33" s="665"/>
      <c r="W33" s="763"/>
      <c r="X33" s="666"/>
      <c r="Y33" s="1324"/>
      <c r="Z33" s="1324"/>
      <c r="AA33" s="1324"/>
      <c r="AB33" s="1324"/>
      <c r="AC33" s="1324"/>
      <c r="AD33" s="1324"/>
      <c r="AE33" s="1324"/>
      <c r="AF33" s="1324"/>
      <c r="AG33" s="1324"/>
      <c r="AH33" s="1325"/>
      <c r="AI33" s="604"/>
      <c r="AJ33" s="604"/>
      <c r="AO33" s="599" t="s">
        <v>1307</v>
      </c>
      <c r="AP33" s="599">
        <f>IF(AND(G18="Y",Y20=30),73,75)</f>
        <v>75</v>
      </c>
      <c r="AR33" s="599">
        <v>40</v>
      </c>
    </row>
    <row r="34" spans="2:262" ht="24" customHeight="1" thickBot="1">
      <c r="B34" s="650"/>
      <c r="C34" s="600"/>
      <c r="D34" s="1262"/>
      <c r="E34" s="600"/>
      <c r="F34" s="1323"/>
      <c r="G34" s="664"/>
      <c r="H34" s="763"/>
      <c r="I34" s="664"/>
      <c r="J34" s="664"/>
      <c r="K34" s="664"/>
      <c r="L34" s="763"/>
      <c r="M34" s="664"/>
      <c r="N34" s="763"/>
      <c r="O34" s="664"/>
      <c r="P34" s="763"/>
      <c r="Q34" s="665"/>
      <c r="R34" s="666"/>
      <c r="S34" s="763"/>
      <c r="T34" s="665"/>
      <c r="U34" s="665"/>
      <c r="V34" s="665"/>
      <c r="W34" s="763"/>
      <c r="X34" s="666"/>
      <c r="Y34" s="1324"/>
      <c r="Z34" s="1324"/>
      <c r="AA34" s="1324"/>
      <c r="AB34" s="1324"/>
      <c r="AC34" s="1324"/>
      <c r="AD34" s="1324"/>
      <c r="AE34" s="1324"/>
      <c r="AF34" s="1324"/>
      <c r="AG34" s="1324"/>
      <c r="AH34" s="1325"/>
      <c r="AI34" s="604"/>
      <c r="AJ34" s="604"/>
      <c r="AO34" s="599" t="s">
        <v>1308</v>
      </c>
      <c r="AP34" s="599">
        <f>IF(AND(G18="Y",Y20=50),65,67)</f>
        <v>67</v>
      </c>
      <c r="AR34" s="599">
        <v>70</v>
      </c>
    </row>
    <row r="35" spans="2:262" ht="24" customHeight="1" thickBot="1">
      <c r="B35" s="650"/>
      <c r="C35" s="600"/>
      <c r="D35" s="1262"/>
      <c r="E35" s="600"/>
      <c r="F35" s="1323"/>
      <c r="G35" s="664"/>
      <c r="H35" s="763"/>
      <c r="I35" s="664"/>
      <c r="J35" s="664"/>
      <c r="K35" s="664"/>
      <c r="L35" s="763"/>
      <c r="M35" s="664"/>
      <c r="N35" s="763"/>
      <c r="O35" s="664"/>
      <c r="P35" s="763"/>
      <c r="Q35" s="665"/>
      <c r="R35" s="666"/>
      <c r="S35" s="763"/>
      <c r="T35" s="665"/>
      <c r="U35" s="665"/>
      <c r="V35" s="665"/>
      <c r="W35" s="763"/>
      <c r="X35" s="666"/>
      <c r="Y35" s="1324"/>
      <c r="Z35" s="1324"/>
      <c r="AA35" s="1324"/>
      <c r="AB35" s="1324"/>
      <c r="AC35" s="1324"/>
      <c r="AD35" s="1324"/>
      <c r="AE35" s="1324"/>
      <c r="AF35" s="1324"/>
      <c r="AG35" s="1324"/>
      <c r="AH35" s="1325"/>
      <c r="AI35" s="604"/>
      <c r="AJ35" s="604"/>
      <c r="AO35" s="599" t="s">
        <v>1315</v>
      </c>
      <c r="AP35" s="599">
        <f>IF(AND(G18="Y",F14="water"),73,IF(AND(G18="Y",F14="Natural Slurry"),73,75))</f>
        <v>75</v>
      </c>
    </row>
    <row r="36" spans="2:262" ht="24" customHeight="1" thickBot="1">
      <c r="B36" s="650"/>
      <c r="C36" s="600"/>
      <c r="D36" s="1262"/>
      <c r="E36" s="600"/>
      <c r="F36" s="1323"/>
      <c r="G36" s="664"/>
      <c r="H36" s="763"/>
      <c r="I36" s="664"/>
      <c r="J36" s="664"/>
      <c r="K36" s="664"/>
      <c r="L36" s="763"/>
      <c r="M36" s="664"/>
      <c r="N36" s="763"/>
      <c r="O36" s="664"/>
      <c r="P36" s="763"/>
      <c r="Q36" s="665"/>
      <c r="R36" s="666"/>
      <c r="S36" s="763"/>
      <c r="T36" s="665"/>
      <c r="U36" s="665"/>
      <c r="V36" s="665"/>
      <c r="W36" s="763"/>
      <c r="X36" s="666"/>
      <c r="Y36" s="1324"/>
      <c r="Z36" s="1324"/>
      <c r="AA36" s="1324"/>
      <c r="AB36" s="1324"/>
      <c r="AC36" s="1324"/>
      <c r="AD36" s="1324"/>
      <c r="AE36" s="1324"/>
      <c r="AF36" s="1324"/>
      <c r="AG36" s="1324"/>
      <c r="AH36" s="1325"/>
      <c r="AI36" s="604"/>
      <c r="AJ36" s="604"/>
      <c r="AP36" s="1368" t="s">
        <v>1310</v>
      </c>
      <c r="AR36" s="599">
        <v>85</v>
      </c>
    </row>
    <row r="37" spans="2:262" ht="24" customHeight="1" thickBot="1">
      <c r="B37" s="650"/>
      <c r="C37" s="600"/>
      <c r="D37" s="1262"/>
      <c r="E37" s="600"/>
      <c r="F37" s="1323"/>
      <c r="G37" s="664"/>
      <c r="H37" s="763"/>
      <c r="I37" s="664"/>
      <c r="J37" s="664"/>
      <c r="K37" s="664"/>
      <c r="L37" s="763"/>
      <c r="M37" s="664"/>
      <c r="N37" s="763"/>
      <c r="O37" s="664"/>
      <c r="P37" s="763"/>
      <c r="Q37" s="665"/>
      <c r="R37" s="666"/>
      <c r="S37" s="763"/>
      <c r="T37" s="665"/>
      <c r="U37" s="665"/>
      <c r="V37" s="665"/>
      <c r="W37" s="763"/>
      <c r="X37" s="666"/>
      <c r="Y37" s="1324"/>
      <c r="Z37" s="1324"/>
      <c r="AA37" s="1324"/>
      <c r="AB37" s="1324"/>
      <c r="AC37" s="1324"/>
      <c r="AD37" s="1324"/>
      <c r="AE37" s="1324"/>
      <c r="AF37" s="1324"/>
      <c r="AG37" s="1324"/>
      <c r="AH37" s="1325"/>
      <c r="AI37" s="604"/>
      <c r="AJ37" s="604"/>
      <c r="AO37" s="599" t="s">
        <v>1307</v>
      </c>
      <c r="AP37" s="599">
        <v>8</v>
      </c>
      <c r="AR37" s="599">
        <v>109</v>
      </c>
    </row>
    <row r="38" spans="2:262" ht="24" customHeight="1" thickBot="1">
      <c r="B38" s="650"/>
      <c r="C38" s="600"/>
      <c r="D38" s="1262"/>
      <c r="E38" s="600"/>
      <c r="F38" s="1323"/>
      <c r="G38" s="664"/>
      <c r="H38" s="763"/>
      <c r="I38" s="664"/>
      <c r="J38" s="664"/>
      <c r="K38" s="664"/>
      <c r="L38" s="763"/>
      <c r="M38" s="664"/>
      <c r="N38" s="763"/>
      <c r="O38" s="664"/>
      <c r="P38" s="763"/>
      <c r="Q38" s="665"/>
      <c r="R38" s="666"/>
      <c r="S38" s="763"/>
      <c r="T38" s="665"/>
      <c r="U38" s="665"/>
      <c r="V38" s="665"/>
      <c r="W38" s="763"/>
      <c r="X38" s="666"/>
      <c r="Y38" s="1819"/>
      <c r="Z38" s="1819"/>
      <c r="AA38" s="1819"/>
      <c r="AB38" s="1819"/>
      <c r="AC38" s="1819"/>
      <c r="AD38" s="1819"/>
      <c r="AE38" s="1819"/>
      <c r="AF38" s="1819"/>
      <c r="AG38" s="1819"/>
      <c r="AH38" s="657"/>
      <c r="AI38" s="604"/>
      <c r="AJ38" s="604"/>
      <c r="AO38" s="599" t="s">
        <v>1308</v>
      </c>
      <c r="AP38" s="599" t="str">
        <f>""</f>
        <v/>
      </c>
      <c r="AR38" s="599">
        <v>120</v>
      </c>
    </row>
    <row r="39" spans="2:262" ht="24" customHeight="1" thickBot="1">
      <c r="B39" s="650"/>
      <c r="C39" s="600"/>
      <c r="D39" s="1262"/>
      <c r="E39" s="600"/>
      <c r="F39" s="1323"/>
      <c r="G39" s="664"/>
      <c r="H39" s="763"/>
      <c r="I39" s="664"/>
      <c r="J39" s="664"/>
      <c r="K39" s="664"/>
      <c r="L39" s="763"/>
      <c r="M39" s="664"/>
      <c r="N39" s="763"/>
      <c r="O39" s="664"/>
      <c r="P39" s="763"/>
      <c r="Q39" s="665"/>
      <c r="R39" s="666"/>
      <c r="S39" s="763"/>
      <c r="T39" s="665"/>
      <c r="U39" s="665"/>
      <c r="V39" s="665"/>
      <c r="W39" s="763"/>
      <c r="X39" s="666"/>
      <c r="Y39" s="1819"/>
      <c r="Z39" s="1819"/>
      <c r="AA39" s="1819"/>
      <c r="AB39" s="1819"/>
      <c r="AC39" s="1819"/>
      <c r="AD39" s="1819"/>
      <c r="AE39" s="1819"/>
      <c r="AF39" s="1819"/>
      <c r="AG39" s="1819"/>
      <c r="AH39" s="657"/>
      <c r="AI39" s="604"/>
      <c r="AJ39" s="604"/>
      <c r="AP39" s="1368" t="s">
        <v>1311</v>
      </c>
    </row>
    <row r="40" spans="2:262" ht="24" customHeight="1" thickBot="1">
      <c r="B40" s="650"/>
      <c r="C40" s="600"/>
      <c r="D40" s="1262"/>
      <c r="E40" s="600"/>
      <c r="F40" s="1323"/>
      <c r="G40" s="664"/>
      <c r="H40" s="763"/>
      <c r="I40" s="808"/>
      <c r="J40" s="808"/>
      <c r="K40" s="664"/>
      <c r="L40" s="763"/>
      <c r="M40" s="664"/>
      <c r="N40" s="763"/>
      <c r="O40" s="664"/>
      <c r="P40" s="763"/>
      <c r="Q40" s="665"/>
      <c r="R40" s="666"/>
      <c r="S40" s="763"/>
      <c r="T40" s="665"/>
      <c r="U40" s="665"/>
      <c r="V40" s="665"/>
      <c r="W40" s="763"/>
      <c r="X40" s="666"/>
      <c r="Y40" s="1819"/>
      <c r="Z40" s="1819"/>
      <c r="AA40" s="1819"/>
      <c r="AB40" s="1819"/>
      <c r="AC40" s="1819"/>
      <c r="AD40" s="1819"/>
      <c r="AE40" s="1819"/>
      <c r="AF40" s="1819"/>
      <c r="AG40" s="1819"/>
      <c r="AH40" s="657"/>
      <c r="AI40" s="604"/>
      <c r="AJ40" s="604"/>
      <c r="AO40" s="599" t="s">
        <v>1307</v>
      </c>
      <c r="AP40" s="599">
        <v>11</v>
      </c>
    </row>
    <row r="41" spans="2:262" ht="24" customHeight="1" thickBot="1">
      <c r="B41" s="650"/>
      <c r="C41" s="600"/>
      <c r="D41" s="1262"/>
      <c r="E41" s="600"/>
      <c r="F41" s="1323"/>
      <c r="G41" s="664"/>
      <c r="H41" s="763"/>
      <c r="I41" s="664"/>
      <c r="J41" s="664"/>
      <c r="K41" s="808"/>
      <c r="L41" s="763"/>
      <c r="M41" s="664"/>
      <c r="N41" s="763"/>
      <c r="O41" s="664"/>
      <c r="P41" s="763"/>
      <c r="Q41" s="665"/>
      <c r="R41" s="666"/>
      <c r="S41" s="763"/>
      <c r="T41" s="665"/>
      <c r="U41" s="665"/>
      <c r="V41" s="665"/>
      <c r="W41" s="763"/>
      <c r="X41" s="666"/>
      <c r="Y41" s="1819"/>
      <c r="Z41" s="1819"/>
      <c r="AA41" s="1819"/>
      <c r="AB41" s="1819"/>
      <c r="AC41" s="1819"/>
      <c r="AD41" s="1819"/>
      <c r="AE41" s="1819"/>
      <c r="AF41" s="1819"/>
      <c r="AG41" s="1819"/>
      <c r="AH41" s="657"/>
      <c r="AI41" s="604"/>
      <c r="AJ41" s="604"/>
      <c r="AO41" s="599" t="s">
        <v>1308</v>
      </c>
      <c r="AP41" s="599" t="str">
        <f>""</f>
        <v/>
      </c>
    </row>
    <row r="42" spans="2:262" s="672" customFormat="1" ht="24" customHeight="1">
      <c r="B42" s="667"/>
      <c r="C42" s="668"/>
      <c r="D42" s="668"/>
      <c r="E42" s="668"/>
      <c r="F42" s="664"/>
      <c r="G42" s="664"/>
      <c r="H42" s="664"/>
      <c r="I42" s="664"/>
      <c r="J42" s="664"/>
      <c r="K42" s="664"/>
      <c r="L42" s="664"/>
      <c r="M42" s="664"/>
      <c r="N42" s="664"/>
      <c r="O42" s="664"/>
      <c r="P42" s="664"/>
      <c r="Q42" s="664"/>
      <c r="R42" s="666"/>
      <c r="S42" s="665"/>
      <c r="T42" s="665"/>
      <c r="U42" s="665"/>
      <c r="V42" s="665"/>
      <c r="W42" s="669"/>
      <c r="X42" s="666"/>
      <c r="Y42" s="670"/>
      <c r="Z42" s="671"/>
      <c r="AA42" s="671"/>
      <c r="AB42" s="671"/>
      <c r="AC42" s="671"/>
      <c r="AD42" s="671"/>
      <c r="AE42" s="671"/>
      <c r="AF42" s="671"/>
      <c r="AG42" s="671"/>
      <c r="AH42" s="657"/>
      <c r="AI42" s="604"/>
      <c r="AJ42" s="604"/>
      <c r="AK42" s="603"/>
      <c r="AL42" s="603"/>
      <c r="AM42" s="603"/>
      <c r="AN42" s="603"/>
      <c r="AO42" s="603"/>
      <c r="AP42" s="603"/>
      <c r="AQ42" s="603"/>
      <c r="AR42" s="603"/>
      <c r="AS42" s="603"/>
      <c r="AT42" s="603"/>
      <c r="AU42" s="603"/>
      <c r="AV42" s="603"/>
      <c r="AW42" s="603"/>
      <c r="AX42" s="603"/>
      <c r="AY42" s="603"/>
      <c r="AZ42" s="603"/>
      <c r="BA42" s="603"/>
      <c r="BB42" s="603"/>
      <c r="BC42" s="603"/>
      <c r="BD42" s="603"/>
      <c r="BE42" s="603"/>
      <c r="BF42" s="603"/>
      <c r="BG42" s="603"/>
      <c r="BH42" s="603"/>
      <c r="BI42" s="603"/>
      <c r="BJ42" s="603"/>
      <c r="BK42" s="603"/>
      <c r="BL42" s="603"/>
      <c r="BM42" s="603"/>
      <c r="BN42" s="603"/>
      <c r="BO42" s="603"/>
      <c r="BP42" s="603"/>
      <c r="BQ42" s="603"/>
      <c r="BR42" s="603"/>
      <c r="BS42" s="603"/>
      <c r="BT42" s="603"/>
      <c r="BU42" s="603"/>
      <c r="BV42" s="603"/>
      <c r="BW42" s="603"/>
      <c r="BX42" s="603"/>
      <c r="BY42" s="603"/>
      <c r="BZ42" s="603"/>
      <c r="CA42" s="603"/>
      <c r="CB42" s="603"/>
      <c r="CC42" s="603"/>
      <c r="CD42" s="603"/>
      <c r="CE42" s="603"/>
      <c r="CF42" s="603"/>
      <c r="CG42" s="603"/>
      <c r="CH42" s="603"/>
      <c r="CI42" s="603"/>
      <c r="CJ42" s="603"/>
      <c r="CK42" s="603"/>
      <c r="CL42" s="603"/>
      <c r="CM42" s="603"/>
      <c r="CN42" s="603"/>
      <c r="CO42" s="603"/>
      <c r="CP42" s="603"/>
      <c r="CQ42" s="603"/>
      <c r="CR42" s="603"/>
      <c r="CS42" s="603"/>
      <c r="CT42" s="603"/>
      <c r="CU42" s="603"/>
      <c r="CV42" s="603"/>
      <c r="CW42" s="603"/>
      <c r="CX42" s="603"/>
      <c r="CY42" s="603"/>
      <c r="CZ42" s="603"/>
      <c r="DA42" s="603"/>
      <c r="DB42" s="603"/>
      <c r="DC42" s="603"/>
      <c r="DD42" s="603"/>
      <c r="DE42" s="603"/>
      <c r="DF42" s="603"/>
      <c r="DG42" s="603"/>
      <c r="DH42" s="603"/>
      <c r="DI42" s="603"/>
      <c r="DJ42" s="603"/>
      <c r="DK42" s="603"/>
      <c r="DL42" s="603"/>
      <c r="DM42" s="603"/>
      <c r="DN42" s="603"/>
      <c r="DO42" s="603"/>
      <c r="DP42" s="603"/>
      <c r="DQ42" s="603"/>
      <c r="DR42" s="603"/>
      <c r="DS42" s="603"/>
      <c r="DT42" s="603"/>
      <c r="DU42" s="603"/>
      <c r="DV42" s="603"/>
      <c r="DW42" s="603"/>
      <c r="DX42" s="603"/>
      <c r="DY42" s="603"/>
      <c r="DZ42" s="603"/>
      <c r="EA42" s="603"/>
      <c r="EB42" s="603"/>
      <c r="EC42" s="603"/>
      <c r="ED42" s="603"/>
      <c r="EE42" s="603"/>
      <c r="EF42" s="603"/>
      <c r="EG42" s="603"/>
      <c r="EH42" s="603"/>
      <c r="EI42" s="603"/>
      <c r="EJ42" s="603"/>
      <c r="EK42" s="603"/>
      <c r="EL42" s="603"/>
      <c r="EM42" s="603"/>
      <c r="EN42" s="603"/>
      <c r="EO42" s="603"/>
      <c r="EP42" s="603"/>
      <c r="EQ42" s="603"/>
      <c r="ER42" s="603"/>
      <c r="ES42" s="603"/>
      <c r="ET42" s="603"/>
      <c r="EU42" s="603"/>
      <c r="EV42" s="603"/>
      <c r="EW42" s="603"/>
      <c r="EX42" s="603"/>
      <c r="EY42" s="603"/>
      <c r="EZ42" s="603"/>
      <c r="FA42" s="603"/>
      <c r="FB42" s="603"/>
      <c r="FC42" s="603"/>
      <c r="FD42" s="603"/>
      <c r="FE42" s="603"/>
      <c r="FF42" s="603"/>
      <c r="FG42" s="603"/>
      <c r="FH42" s="603"/>
      <c r="FI42" s="603"/>
      <c r="FJ42" s="603"/>
      <c r="FK42" s="603"/>
      <c r="FL42" s="603"/>
      <c r="FM42" s="603"/>
      <c r="FN42" s="603"/>
      <c r="FO42" s="603"/>
      <c r="FP42" s="603"/>
      <c r="FQ42" s="603"/>
      <c r="FR42" s="603"/>
      <c r="FS42" s="603"/>
      <c r="FT42" s="603"/>
      <c r="FU42" s="603"/>
      <c r="FV42" s="603"/>
      <c r="FW42" s="603"/>
      <c r="FX42" s="603"/>
      <c r="FY42" s="603"/>
      <c r="FZ42" s="603"/>
      <c r="GA42" s="603"/>
      <c r="GB42" s="603"/>
      <c r="GC42" s="603"/>
      <c r="GD42" s="603"/>
      <c r="GE42" s="603"/>
      <c r="GF42" s="603"/>
      <c r="GG42" s="603"/>
      <c r="GH42" s="603"/>
      <c r="GI42" s="603"/>
      <c r="GJ42" s="603"/>
      <c r="GK42" s="603"/>
      <c r="GL42" s="603"/>
      <c r="GM42" s="603"/>
      <c r="GN42" s="603"/>
      <c r="GO42" s="603"/>
      <c r="GP42" s="603"/>
      <c r="GQ42" s="603"/>
      <c r="GR42" s="603"/>
      <c r="GS42" s="603"/>
      <c r="GT42" s="603"/>
      <c r="GU42" s="603"/>
      <c r="GV42" s="603"/>
      <c r="GW42" s="603"/>
      <c r="GX42" s="603"/>
      <c r="GY42" s="603"/>
      <c r="GZ42" s="603"/>
      <c r="HA42" s="603"/>
      <c r="HB42" s="603"/>
      <c r="HC42" s="603"/>
      <c r="HD42" s="603"/>
      <c r="HE42" s="603"/>
      <c r="HF42" s="603"/>
      <c r="HG42" s="603"/>
      <c r="HH42" s="603"/>
      <c r="HI42" s="603"/>
      <c r="HJ42" s="603"/>
      <c r="HK42" s="603"/>
      <c r="HL42" s="603"/>
      <c r="HM42" s="603"/>
      <c r="HN42" s="603"/>
      <c r="HO42" s="603"/>
      <c r="HP42" s="603"/>
      <c r="HQ42" s="603"/>
      <c r="HR42" s="603"/>
      <c r="HS42" s="603"/>
      <c r="HT42" s="603"/>
      <c r="HU42" s="603"/>
      <c r="HV42" s="603"/>
      <c r="HW42" s="603"/>
      <c r="HX42" s="603"/>
      <c r="HY42" s="603"/>
      <c r="HZ42" s="603"/>
      <c r="IA42" s="603"/>
      <c r="IB42" s="603"/>
      <c r="IC42" s="603"/>
      <c r="ID42" s="603"/>
      <c r="IE42" s="603"/>
      <c r="IF42" s="603"/>
      <c r="IG42" s="603"/>
      <c r="IH42" s="603"/>
      <c r="II42" s="603"/>
      <c r="IJ42" s="603"/>
      <c r="IK42" s="603"/>
      <c r="IL42" s="603"/>
      <c r="IM42" s="603"/>
      <c r="IN42" s="603"/>
      <c r="IO42" s="603"/>
      <c r="IP42" s="603"/>
      <c r="IQ42" s="603"/>
      <c r="IR42" s="603"/>
      <c r="IS42" s="603"/>
      <c r="IT42" s="603"/>
      <c r="IU42" s="603"/>
      <c r="IV42" s="603"/>
      <c r="IW42" s="603"/>
      <c r="IX42" s="603"/>
      <c r="IY42" s="603"/>
      <c r="IZ42" s="603"/>
      <c r="JA42" s="603"/>
      <c r="JB42" s="603"/>
    </row>
    <row r="43" spans="2:262" s="672" customFormat="1" ht="24" customHeight="1">
      <c r="B43" s="667"/>
      <c r="C43" s="668"/>
      <c r="D43" s="668"/>
      <c r="E43" s="668"/>
      <c r="F43" s="1809" t="s">
        <v>713</v>
      </c>
      <c r="G43" s="1810"/>
      <c r="H43" s="1810"/>
      <c r="I43" s="1810"/>
      <c r="J43" s="1810"/>
      <c r="K43" s="1810"/>
      <c r="L43" s="1810"/>
      <c r="M43" s="1810"/>
      <c r="N43" s="1810"/>
      <c r="O43" s="1810"/>
      <c r="P43" s="1810"/>
      <c r="Q43" s="1810"/>
      <c r="R43" s="1810"/>
      <c r="S43" s="1810"/>
      <c r="T43" s="1810"/>
      <c r="U43" s="1810"/>
      <c r="V43" s="1810"/>
      <c r="W43" s="1810"/>
      <c r="X43" s="1810"/>
      <c r="Y43" s="1810"/>
      <c r="Z43" s="1810"/>
      <c r="AA43" s="1810"/>
      <c r="AB43" s="1810"/>
      <c r="AC43" s="1810"/>
      <c r="AD43" s="1810"/>
      <c r="AE43" s="1810"/>
      <c r="AF43" s="1810"/>
      <c r="AG43" s="1810"/>
      <c r="AH43" s="657"/>
      <c r="AI43" s="604"/>
      <c r="AJ43" s="604"/>
      <c r="AK43" s="603"/>
      <c r="AL43" s="603"/>
      <c r="AM43" s="603"/>
      <c r="AN43" s="603"/>
      <c r="AO43" s="603"/>
      <c r="AP43" s="603"/>
      <c r="AQ43" s="603"/>
      <c r="AR43" s="603"/>
      <c r="AS43" s="603"/>
      <c r="AT43" s="603"/>
      <c r="AU43" s="603"/>
      <c r="AV43" s="603"/>
      <c r="AW43" s="603"/>
      <c r="AX43" s="603"/>
      <c r="AY43" s="603"/>
      <c r="AZ43" s="603"/>
      <c r="BA43" s="603"/>
      <c r="BB43" s="603"/>
      <c r="BC43" s="603"/>
      <c r="BD43" s="603"/>
      <c r="BE43" s="603"/>
      <c r="BF43" s="603"/>
      <c r="BG43" s="603"/>
      <c r="BH43" s="603"/>
      <c r="BI43" s="603"/>
      <c r="BJ43" s="603"/>
      <c r="BK43" s="603"/>
      <c r="BL43" s="603"/>
      <c r="BM43" s="603"/>
      <c r="BN43" s="603"/>
      <c r="BO43" s="603"/>
      <c r="BP43" s="603"/>
      <c r="BQ43" s="603"/>
      <c r="BR43" s="603"/>
      <c r="BS43" s="603"/>
      <c r="BT43" s="603"/>
      <c r="BU43" s="603"/>
      <c r="BV43" s="603"/>
      <c r="BW43" s="603"/>
      <c r="BX43" s="603"/>
      <c r="BY43" s="603"/>
      <c r="BZ43" s="603"/>
      <c r="CA43" s="603"/>
      <c r="CB43" s="603"/>
      <c r="CC43" s="603"/>
      <c r="CD43" s="603"/>
      <c r="CE43" s="603"/>
      <c r="CF43" s="603"/>
      <c r="CG43" s="603"/>
      <c r="CH43" s="603"/>
      <c r="CI43" s="603"/>
      <c r="CJ43" s="603"/>
      <c r="CK43" s="603"/>
      <c r="CL43" s="603"/>
      <c r="CM43" s="603"/>
      <c r="CN43" s="603"/>
      <c r="CO43" s="603"/>
      <c r="CP43" s="603"/>
      <c r="CQ43" s="603"/>
      <c r="CR43" s="603"/>
      <c r="CS43" s="603"/>
      <c r="CT43" s="603"/>
      <c r="CU43" s="603"/>
      <c r="CV43" s="603"/>
      <c r="CW43" s="603"/>
      <c r="CX43" s="603"/>
      <c r="CY43" s="603"/>
      <c r="CZ43" s="603"/>
      <c r="DA43" s="603"/>
      <c r="DB43" s="603"/>
      <c r="DC43" s="603"/>
      <c r="DD43" s="603"/>
      <c r="DE43" s="603"/>
      <c r="DF43" s="603"/>
      <c r="DG43" s="603"/>
      <c r="DH43" s="603"/>
      <c r="DI43" s="603"/>
      <c r="DJ43" s="603"/>
      <c r="DK43" s="603"/>
      <c r="DL43" s="603"/>
      <c r="DM43" s="603"/>
      <c r="DN43" s="603"/>
      <c r="DO43" s="603"/>
      <c r="DP43" s="603"/>
      <c r="DQ43" s="603"/>
      <c r="DR43" s="603"/>
      <c r="DS43" s="603"/>
      <c r="DT43" s="603"/>
      <c r="DU43" s="603"/>
      <c r="DV43" s="603"/>
      <c r="DW43" s="603"/>
      <c r="DX43" s="603"/>
      <c r="DY43" s="603"/>
      <c r="DZ43" s="603"/>
      <c r="EA43" s="603"/>
      <c r="EB43" s="603"/>
      <c r="EC43" s="603"/>
      <c r="ED43" s="603"/>
      <c r="EE43" s="603"/>
      <c r="EF43" s="603"/>
      <c r="EG43" s="603"/>
      <c r="EH43" s="603"/>
      <c r="EI43" s="603"/>
      <c r="EJ43" s="603"/>
      <c r="EK43" s="603"/>
      <c r="EL43" s="603"/>
      <c r="EM43" s="603"/>
      <c r="EN43" s="603"/>
      <c r="EO43" s="603"/>
      <c r="EP43" s="603"/>
      <c r="EQ43" s="603"/>
      <c r="ER43" s="603"/>
      <c r="ES43" s="603"/>
      <c r="ET43" s="603"/>
      <c r="EU43" s="603"/>
      <c r="EV43" s="603"/>
      <c r="EW43" s="603"/>
      <c r="EX43" s="603"/>
      <c r="EY43" s="603"/>
      <c r="EZ43" s="603"/>
      <c r="FA43" s="603"/>
      <c r="FB43" s="603"/>
      <c r="FC43" s="603"/>
      <c r="FD43" s="603"/>
      <c r="FE43" s="603"/>
      <c r="FF43" s="603"/>
      <c r="FG43" s="603"/>
      <c r="FH43" s="603"/>
      <c r="FI43" s="603"/>
      <c r="FJ43" s="603"/>
      <c r="FK43" s="603"/>
      <c r="FL43" s="603"/>
      <c r="FM43" s="603"/>
      <c r="FN43" s="603"/>
      <c r="FO43" s="603"/>
      <c r="FP43" s="603"/>
      <c r="FQ43" s="603"/>
      <c r="FR43" s="603"/>
      <c r="FS43" s="603"/>
      <c r="FT43" s="603"/>
      <c r="FU43" s="603"/>
      <c r="FV43" s="603"/>
      <c r="FW43" s="603"/>
      <c r="FX43" s="603"/>
      <c r="FY43" s="603"/>
      <c r="FZ43" s="603"/>
      <c r="GA43" s="603"/>
      <c r="GB43" s="603"/>
      <c r="GC43" s="603"/>
      <c r="GD43" s="603"/>
      <c r="GE43" s="603"/>
      <c r="GF43" s="603"/>
      <c r="GG43" s="603"/>
      <c r="GH43" s="603"/>
      <c r="GI43" s="603"/>
      <c r="GJ43" s="603"/>
      <c r="GK43" s="603"/>
      <c r="GL43" s="603"/>
      <c r="GM43" s="603"/>
      <c r="GN43" s="603"/>
      <c r="GO43" s="603"/>
      <c r="GP43" s="603"/>
      <c r="GQ43" s="603"/>
      <c r="GR43" s="603"/>
      <c r="GS43" s="603"/>
      <c r="GT43" s="603"/>
      <c r="GU43" s="603"/>
      <c r="GV43" s="603"/>
      <c r="GW43" s="603"/>
      <c r="GX43" s="603"/>
      <c r="GY43" s="603"/>
      <c r="GZ43" s="603"/>
      <c r="HA43" s="603"/>
      <c r="HB43" s="603"/>
      <c r="HC43" s="603"/>
      <c r="HD43" s="603"/>
      <c r="HE43" s="603"/>
      <c r="HF43" s="603"/>
      <c r="HG43" s="603"/>
      <c r="HH43" s="603"/>
      <c r="HI43" s="603"/>
      <c r="HJ43" s="603"/>
      <c r="HK43" s="603"/>
      <c r="HL43" s="603"/>
      <c r="HM43" s="603"/>
      <c r="HN43" s="603"/>
      <c r="HO43" s="603"/>
      <c r="HP43" s="603"/>
      <c r="HQ43" s="603"/>
      <c r="HR43" s="603"/>
      <c r="HS43" s="603"/>
      <c r="HT43" s="603"/>
      <c r="HU43" s="603"/>
      <c r="HV43" s="603"/>
      <c r="HW43" s="603"/>
      <c r="HX43" s="603"/>
      <c r="HY43" s="603"/>
      <c r="HZ43" s="603"/>
      <c r="IA43" s="603"/>
      <c r="IB43" s="603"/>
      <c r="IC43" s="603"/>
      <c r="ID43" s="603"/>
      <c r="IE43" s="603"/>
      <c r="IF43" s="603"/>
      <c r="IG43" s="603"/>
      <c r="IH43" s="603"/>
      <c r="II43" s="603"/>
      <c r="IJ43" s="603"/>
      <c r="IK43" s="603"/>
      <c r="IL43" s="603"/>
      <c r="IM43" s="603"/>
      <c r="IN43" s="603"/>
      <c r="IO43" s="603"/>
      <c r="IP43" s="603"/>
      <c r="IQ43" s="603"/>
      <c r="IR43" s="603"/>
      <c r="IS43" s="603"/>
      <c r="IT43" s="603"/>
      <c r="IU43" s="603"/>
      <c r="IV43" s="603"/>
      <c r="IW43" s="603"/>
      <c r="IX43" s="603"/>
      <c r="IY43" s="603"/>
      <c r="IZ43" s="603"/>
      <c r="JA43" s="603"/>
      <c r="JB43" s="603"/>
    </row>
    <row r="44" spans="2:262" ht="18" customHeight="1" thickBot="1">
      <c r="B44" s="673"/>
      <c r="C44" s="633"/>
      <c r="D44" s="633"/>
      <c r="E44" s="633"/>
      <c r="F44" s="674"/>
      <c r="G44" s="674"/>
      <c r="H44" s="674"/>
      <c r="I44" s="674"/>
      <c r="J44" s="674"/>
      <c r="K44" s="674"/>
      <c r="L44" s="674"/>
      <c r="M44" s="674"/>
      <c r="N44" s="674"/>
      <c r="O44" s="674"/>
      <c r="P44" s="674"/>
      <c r="Q44" s="674"/>
      <c r="R44" s="674"/>
      <c r="S44" s="674"/>
      <c r="T44" s="674"/>
      <c r="U44" s="674"/>
      <c r="V44" s="674"/>
      <c r="W44" s="674"/>
      <c r="X44" s="674"/>
      <c r="Y44" s="674"/>
      <c r="Z44" s="674"/>
      <c r="AA44" s="674"/>
      <c r="AB44" s="674"/>
      <c r="AC44" s="674"/>
      <c r="AD44" s="674"/>
      <c r="AE44" s="674"/>
      <c r="AF44" s="674"/>
      <c r="AG44" s="674"/>
      <c r="AH44" s="675"/>
      <c r="AI44" s="604"/>
      <c r="AJ44" s="604"/>
    </row>
    <row r="45" spans="2:262" ht="14.25" customHeight="1">
      <c r="B45" s="650"/>
      <c r="C45" s="600"/>
      <c r="D45" s="600"/>
      <c r="E45" s="600"/>
      <c r="F45" s="602"/>
      <c r="G45" s="602"/>
      <c r="H45" s="602"/>
      <c r="I45" s="602"/>
      <c r="J45" s="602"/>
      <c r="K45" s="602"/>
      <c r="L45" s="602"/>
      <c r="M45" s="602"/>
      <c r="N45" s="602"/>
      <c r="O45" s="602"/>
      <c r="P45" s="602"/>
      <c r="Q45" s="602"/>
      <c r="R45" s="602"/>
      <c r="S45" s="602"/>
      <c r="T45" s="602"/>
      <c r="U45" s="602"/>
      <c r="V45" s="602"/>
      <c r="W45" s="602"/>
      <c r="X45" s="602"/>
      <c r="Y45" s="658"/>
      <c r="Z45" s="658"/>
      <c r="AA45" s="658"/>
      <c r="AB45" s="658"/>
      <c r="AC45" s="602"/>
      <c r="AD45" s="602"/>
      <c r="AE45" s="602"/>
      <c r="AF45" s="602"/>
      <c r="AG45" s="602"/>
      <c r="AH45" s="657"/>
      <c r="AI45" s="604"/>
      <c r="AJ45" s="604"/>
    </row>
    <row r="46" spans="2:262" ht="17.100000000000001" customHeight="1" thickBot="1">
      <c r="B46" s="650"/>
      <c r="C46" s="892" t="s">
        <v>714</v>
      </c>
      <c r="D46" s="892"/>
      <c r="E46" s="1821" t="s">
        <v>715</v>
      </c>
      <c r="F46" s="1821"/>
      <c r="G46" s="1821"/>
      <c r="H46" s="1821"/>
      <c r="I46" s="1798" t="s">
        <v>716</v>
      </c>
      <c r="J46" s="1798"/>
      <c r="K46" s="1822"/>
      <c r="L46" s="1822"/>
      <c r="M46" s="1822"/>
      <c r="N46" s="1822"/>
      <c r="O46" s="1822"/>
      <c r="P46" s="1822"/>
      <c r="Q46" s="1823"/>
      <c r="R46" s="1824"/>
      <c r="S46" s="676" t="s">
        <v>717</v>
      </c>
      <c r="T46" s="602"/>
      <c r="U46" s="1816" t="s">
        <v>718</v>
      </c>
      <c r="V46" s="1816"/>
      <c r="W46" s="1822"/>
      <c r="X46" s="1822"/>
      <c r="Y46" s="1822"/>
      <c r="Z46" s="1822"/>
      <c r="AA46" s="1822"/>
      <c r="AB46" s="617"/>
      <c r="AC46" s="809"/>
      <c r="AD46" s="647" t="s">
        <v>719</v>
      </c>
      <c r="AE46" s="664"/>
      <c r="AF46" s="664"/>
      <c r="AG46" s="668"/>
      <c r="AH46" s="657"/>
      <c r="AI46" s="604"/>
      <c r="AJ46" s="604"/>
    </row>
    <row r="47" spans="2:262" ht="18.899999999999999" customHeight="1" thickBot="1">
      <c r="B47" s="650"/>
      <c r="C47" s="1794" t="s">
        <v>1137</v>
      </c>
      <c r="D47" s="1794"/>
      <c r="E47" s="1794"/>
      <c r="F47" s="1812"/>
      <c r="G47" s="1812"/>
      <c r="H47" s="1812"/>
      <c r="I47" s="643"/>
      <c r="J47" s="643"/>
      <c r="K47" s="643"/>
      <c r="L47" s="643"/>
      <c r="M47" s="643"/>
      <c r="N47" s="643"/>
      <c r="O47" s="643"/>
      <c r="P47" s="619"/>
      <c r="Q47" s="619"/>
      <c r="R47" s="643"/>
      <c r="S47" s="643"/>
      <c r="T47" s="643"/>
      <c r="U47" s="1816" t="s">
        <v>720</v>
      </c>
      <c r="V47" s="1816"/>
      <c r="W47" s="1822"/>
      <c r="X47" s="1822"/>
      <c r="Y47" s="1822"/>
      <c r="Z47" s="1822"/>
      <c r="AA47" s="1822"/>
      <c r="AB47" s="617"/>
      <c r="AC47" s="810"/>
      <c r="AD47" s="647" t="s">
        <v>719</v>
      </c>
      <c r="AE47" s="663"/>
      <c r="AF47" s="663"/>
      <c r="AG47" s="662"/>
      <c r="AH47" s="657"/>
      <c r="AI47" s="604"/>
      <c r="AJ47" s="604"/>
    </row>
    <row r="48" spans="2:262" ht="12" customHeight="1">
      <c r="B48" s="650"/>
      <c r="C48" s="600"/>
      <c r="D48" s="600"/>
      <c r="E48" s="602"/>
      <c r="F48" s="643"/>
      <c r="G48" s="643"/>
      <c r="H48" s="643"/>
      <c r="I48" s="643"/>
      <c r="J48" s="643"/>
      <c r="K48" s="643"/>
      <c r="L48" s="643"/>
      <c r="M48" s="643"/>
      <c r="N48" s="643"/>
      <c r="O48" s="643"/>
      <c r="P48" s="646" t="s">
        <v>721</v>
      </c>
      <c r="Q48" s="646"/>
      <c r="R48" s="643"/>
      <c r="S48" s="643"/>
      <c r="T48" s="643"/>
      <c r="U48" s="643"/>
      <c r="V48" s="643"/>
      <c r="W48" s="643"/>
      <c r="X48" s="643"/>
      <c r="Y48" s="661"/>
      <c r="Z48" s="661"/>
      <c r="AA48" s="661"/>
      <c r="AB48" s="661"/>
      <c r="AC48" s="619"/>
      <c r="AD48" s="619"/>
      <c r="AE48" s="619"/>
      <c r="AF48" s="619"/>
      <c r="AG48" s="619"/>
      <c r="AH48" s="657"/>
      <c r="AI48" s="604"/>
      <c r="AJ48" s="604"/>
    </row>
    <row r="49" spans="2:36" ht="15" customHeight="1">
      <c r="B49" s="650"/>
      <c r="C49" s="600"/>
      <c r="D49" s="646" t="s">
        <v>705</v>
      </c>
      <c r="E49" s="602"/>
      <c r="F49" s="646" t="s">
        <v>1153</v>
      </c>
      <c r="G49" s="643"/>
      <c r="H49" s="646" t="s">
        <v>706</v>
      </c>
      <c r="I49" s="643"/>
      <c r="J49" s="643"/>
      <c r="K49" s="643"/>
      <c r="L49" s="646" t="s">
        <v>707</v>
      </c>
      <c r="M49" s="643"/>
      <c r="N49" s="646" t="s">
        <v>703</v>
      </c>
      <c r="O49" s="646"/>
      <c r="P49" s="646" t="s">
        <v>722</v>
      </c>
      <c r="Q49" s="646"/>
      <c r="R49" s="643"/>
      <c r="S49" s="646" t="s">
        <v>708</v>
      </c>
      <c r="T49" s="646"/>
      <c r="U49" s="643"/>
      <c r="V49" s="643"/>
      <c r="W49" s="646" t="s">
        <v>709</v>
      </c>
      <c r="X49" s="643"/>
      <c r="Y49" s="1825" t="s">
        <v>710</v>
      </c>
      <c r="Z49" s="1826"/>
      <c r="AA49" s="1826"/>
      <c r="AB49" s="1826"/>
      <c r="AC49" s="1826"/>
      <c r="AD49" s="1799" t="s">
        <v>1218</v>
      </c>
      <c r="AE49" s="1799"/>
      <c r="AF49" s="1800"/>
      <c r="AG49" s="1800"/>
      <c r="AH49" s="679"/>
      <c r="AI49" s="604"/>
      <c r="AJ49" s="604"/>
    </row>
    <row r="50" spans="2:36" ht="18" customHeight="1" thickBot="1">
      <c r="B50" s="650"/>
      <c r="C50" s="600"/>
      <c r="D50" s="643"/>
      <c r="E50" s="600"/>
      <c r="F50" s="643" t="s">
        <v>13</v>
      </c>
      <c r="G50" s="619"/>
      <c r="H50" s="646" t="s">
        <v>711</v>
      </c>
      <c r="I50" s="643"/>
      <c r="J50" s="643"/>
      <c r="K50" s="643"/>
      <c r="L50" s="619"/>
      <c r="M50" s="662"/>
      <c r="N50" s="646" t="s">
        <v>712</v>
      </c>
      <c r="O50" s="663"/>
      <c r="P50" s="646" t="s">
        <v>723</v>
      </c>
      <c r="Q50" s="663"/>
      <c r="R50" s="660"/>
      <c r="S50" s="643"/>
      <c r="T50" s="660"/>
      <c r="U50" s="660"/>
      <c r="V50" s="660"/>
      <c r="W50" s="643"/>
      <c r="X50" s="661"/>
      <c r="Y50" s="1818"/>
      <c r="Z50" s="1818"/>
      <c r="AA50" s="1818"/>
      <c r="AB50" s="1818"/>
      <c r="AC50" s="1818"/>
      <c r="AD50" s="1818"/>
      <c r="AE50" s="1818"/>
      <c r="AF50" s="1818"/>
      <c r="AG50" s="1818"/>
      <c r="AH50" s="679"/>
      <c r="AI50" s="604"/>
      <c r="AJ50" s="604"/>
    </row>
    <row r="51" spans="2:36" ht="24" customHeight="1" thickBot="1">
      <c r="B51" s="650"/>
      <c r="C51" s="600"/>
      <c r="D51" s="1262"/>
      <c r="E51" s="600"/>
      <c r="F51" s="1323"/>
      <c r="G51" s="664"/>
      <c r="H51" s="763"/>
      <c r="I51" s="664"/>
      <c r="J51" s="664"/>
      <c r="K51" s="664"/>
      <c r="L51" s="763"/>
      <c r="M51" s="664"/>
      <c r="N51" s="763"/>
      <c r="O51" s="664"/>
      <c r="P51" s="763"/>
      <c r="Q51" s="677"/>
      <c r="R51" s="668"/>
      <c r="S51" s="763"/>
      <c r="T51" s="677"/>
      <c r="U51" s="677"/>
      <c r="V51" s="677"/>
      <c r="W51" s="763"/>
      <c r="X51" s="666"/>
      <c r="Y51" s="1820"/>
      <c r="Z51" s="1820"/>
      <c r="AA51" s="1820"/>
      <c r="AB51" s="1820"/>
      <c r="AC51" s="1820"/>
      <c r="AD51" s="1820"/>
      <c r="AE51" s="1820"/>
      <c r="AF51" s="1820"/>
      <c r="AG51" s="1820"/>
      <c r="AH51" s="657"/>
      <c r="AI51" s="604"/>
      <c r="AJ51" s="604"/>
    </row>
    <row r="52" spans="2:36" ht="24" customHeight="1" thickBot="1">
      <c r="B52" s="650"/>
      <c r="C52" s="600"/>
      <c r="D52" s="1262"/>
      <c r="E52" s="600"/>
      <c r="F52" s="1323"/>
      <c r="G52" s="664"/>
      <c r="H52" s="763"/>
      <c r="I52" s="664"/>
      <c r="J52" s="664"/>
      <c r="K52" s="664"/>
      <c r="L52" s="763"/>
      <c r="M52" s="664"/>
      <c r="N52" s="763"/>
      <c r="O52" s="664"/>
      <c r="P52" s="763"/>
      <c r="Q52" s="677"/>
      <c r="R52" s="668"/>
      <c r="S52" s="763"/>
      <c r="T52" s="677"/>
      <c r="U52" s="677"/>
      <c r="V52" s="677"/>
      <c r="W52" s="763"/>
      <c r="X52" s="666"/>
      <c r="Y52" s="1820"/>
      <c r="Z52" s="1820"/>
      <c r="AA52" s="1820"/>
      <c r="AB52" s="1820"/>
      <c r="AC52" s="1820"/>
      <c r="AD52" s="1820"/>
      <c r="AE52" s="1820"/>
      <c r="AF52" s="1820"/>
      <c r="AG52" s="1820"/>
      <c r="AH52" s="657"/>
      <c r="AI52" s="604"/>
      <c r="AJ52" s="604"/>
    </row>
    <row r="53" spans="2:36" ht="24" customHeight="1" thickBot="1">
      <c r="B53" s="650"/>
      <c r="C53" s="600"/>
      <c r="D53" s="1262"/>
      <c r="E53" s="600"/>
      <c r="F53" s="1323"/>
      <c r="G53" s="664"/>
      <c r="H53" s="763"/>
      <c r="I53" s="664"/>
      <c r="J53" s="664"/>
      <c r="K53" s="664"/>
      <c r="L53" s="763"/>
      <c r="M53" s="664"/>
      <c r="N53" s="763"/>
      <c r="O53" s="664"/>
      <c r="P53" s="763"/>
      <c r="Q53" s="677"/>
      <c r="R53" s="668"/>
      <c r="S53" s="763"/>
      <c r="T53" s="677"/>
      <c r="U53" s="677"/>
      <c r="V53" s="677"/>
      <c r="W53" s="763"/>
      <c r="X53" s="811"/>
      <c r="Y53" s="1820"/>
      <c r="Z53" s="1820"/>
      <c r="AA53" s="1820"/>
      <c r="AB53" s="1820"/>
      <c r="AC53" s="1820"/>
      <c r="AD53" s="1820"/>
      <c r="AE53" s="1820"/>
      <c r="AF53" s="1820"/>
      <c r="AG53" s="1820"/>
      <c r="AH53" s="657"/>
      <c r="AI53" s="604"/>
      <c r="AJ53" s="604"/>
    </row>
    <row r="54" spans="2:36" ht="24" customHeight="1" thickBot="1">
      <c r="B54" s="650"/>
      <c r="C54" s="600"/>
      <c r="D54" s="1262"/>
      <c r="E54" s="600"/>
      <c r="F54" s="1323"/>
      <c r="G54" s="664"/>
      <c r="H54" s="763"/>
      <c r="I54" s="808"/>
      <c r="J54" s="808"/>
      <c r="K54" s="664"/>
      <c r="L54" s="763"/>
      <c r="M54" s="664"/>
      <c r="N54" s="763"/>
      <c r="O54" s="664"/>
      <c r="P54" s="763"/>
      <c r="Q54" s="677"/>
      <c r="R54" s="668"/>
      <c r="S54" s="763"/>
      <c r="T54" s="677"/>
      <c r="U54" s="677"/>
      <c r="V54" s="677"/>
      <c r="W54" s="763"/>
      <c r="X54" s="811"/>
      <c r="Y54" s="1820"/>
      <c r="Z54" s="1820"/>
      <c r="AA54" s="1820"/>
      <c r="AB54" s="1820"/>
      <c r="AC54" s="1820"/>
      <c r="AD54" s="1820"/>
      <c r="AE54" s="1820"/>
      <c r="AF54" s="1820"/>
      <c r="AG54" s="1820"/>
      <c r="AH54" s="657"/>
      <c r="AI54" s="604"/>
      <c r="AJ54" s="604"/>
    </row>
    <row r="55" spans="2:36" ht="24" customHeight="1" thickBot="1">
      <c r="B55" s="650"/>
      <c r="C55" s="600"/>
      <c r="D55" s="1262"/>
      <c r="E55" s="600"/>
      <c r="F55" s="1323"/>
      <c r="G55" s="664"/>
      <c r="H55" s="763"/>
      <c r="I55" s="664"/>
      <c r="J55" s="664"/>
      <c r="K55" s="808"/>
      <c r="L55" s="763"/>
      <c r="M55" s="664"/>
      <c r="N55" s="763"/>
      <c r="O55" s="664"/>
      <c r="P55" s="763"/>
      <c r="Q55" s="677"/>
      <c r="R55" s="668"/>
      <c r="S55" s="763"/>
      <c r="T55" s="677"/>
      <c r="U55" s="677"/>
      <c r="V55" s="677"/>
      <c r="W55" s="763"/>
      <c r="X55" s="811"/>
      <c r="Y55" s="1820"/>
      <c r="Z55" s="1820"/>
      <c r="AA55" s="1820"/>
      <c r="AB55" s="1820"/>
      <c r="AC55" s="1820"/>
      <c r="AD55" s="1820"/>
      <c r="AE55" s="1820"/>
      <c r="AF55" s="1820"/>
      <c r="AG55" s="1820"/>
      <c r="AH55" s="657"/>
      <c r="AI55" s="604"/>
      <c r="AJ55" s="604"/>
    </row>
    <row r="56" spans="2:36" ht="24" customHeight="1" thickBot="1">
      <c r="B56" s="650"/>
      <c r="C56" s="600"/>
      <c r="D56" s="1262"/>
      <c r="E56" s="600"/>
      <c r="F56" s="1323"/>
      <c r="G56" s="664"/>
      <c r="H56" s="763"/>
      <c r="I56" s="664"/>
      <c r="J56" s="664"/>
      <c r="K56" s="808"/>
      <c r="L56" s="763"/>
      <c r="M56" s="664"/>
      <c r="N56" s="763"/>
      <c r="O56" s="664"/>
      <c r="P56" s="763"/>
      <c r="Q56" s="677"/>
      <c r="R56" s="668"/>
      <c r="S56" s="763"/>
      <c r="T56" s="677"/>
      <c r="U56" s="677"/>
      <c r="V56" s="677"/>
      <c r="W56" s="763"/>
      <c r="X56" s="666"/>
      <c r="Y56" s="1820"/>
      <c r="Z56" s="1820"/>
      <c r="AA56" s="1820"/>
      <c r="AB56" s="1820"/>
      <c r="AC56" s="1820"/>
      <c r="AD56" s="1820"/>
      <c r="AE56" s="1820"/>
      <c r="AF56" s="1820"/>
      <c r="AG56" s="1820"/>
      <c r="AH56" s="657"/>
      <c r="AI56" s="604"/>
      <c r="AJ56" s="604"/>
    </row>
    <row r="57" spans="2:36" ht="24" customHeight="1" thickBot="1">
      <c r="B57" s="650"/>
      <c r="C57" s="600"/>
      <c r="D57" s="1262"/>
      <c r="E57" s="600"/>
      <c r="F57" s="1323"/>
      <c r="G57" s="664"/>
      <c r="H57" s="763"/>
      <c r="I57" s="664"/>
      <c r="J57" s="664"/>
      <c r="K57" s="808"/>
      <c r="L57" s="763"/>
      <c r="M57" s="664"/>
      <c r="N57" s="763"/>
      <c r="O57" s="664"/>
      <c r="P57" s="763"/>
      <c r="Q57" s="677"/>
      <c r="R57" s="668"/>
      <c r="S57" s="763"/>
      <c r="T57" s="677"/>
      <c r="U57" s="677"/>
      <c r="V57" s="677"/>
      <c r="W57" s="763"/>
      <c r="X57" s="666"/>
      <c r="Y57" s="1820"/>
      <c r="Z57" s="1820"/>
      <c r="AA57" s="1820"/>
      <c r="AB57" s="1820"/>
      <c r="AC57" s="1820"/>
      <c r="AD57" s="1820"/>
      <c r="AE57" s="1820"/>
      <c r="AF57" s="1820"/>
      <c r="AG57" s="1820"/>
      <c r="AH57" s="657"/>
      <c r="AI57" s="604"/>
      <c r="AJ57" s="604"/>
    </row>
    <row r="58" spans="2:36" ht="24" customHeight="1" thickBot="1">
      <c r="B58" s="650"/>
      <c r="C58" s="600"/>
      <c r="D58" s="1262"/>
      <c r="E58" s="600"/>
      <c r="F58" s="1323"/>
      <c r="G58" s="664"/>
      <c r="H58" s="763"/>
      <c r="I58" s="664"/>
      <c r="J58" s="664"/>
      <c r="K58" s="808"/>
      <c r="L58" s="763"/>
      <c r="M58" s="664"/>
      <c r="N58" s="763"/>
      <c r="O58" s="664"/>
      <c r="P58" s="763"/>
      <c r="Q58" s="677"/>
      <c r="R58" s="668"/>
      <c r="S58" s="763"/>
      <c r="T58" s="677"/>
      <c r="U58" s="677"/>
      <c r="V58" s="677"/>
      <c r="W58" s="763"/>
      <c r="X58" s="666"/>
      <c r="Y58" s="1820"/>
      <c r="Z58" s="1820"/>
      <c r="AA58" s="1820"/>
      <c r="AB58" s="1820"/>
      <c r="AC58" s="1820"/>
      <c r="AD58" s="1820"/>
      <c r="AE58" s="1820"/>
      <c r="AF58" s="1820"/>
      <c r="AG58" s="1820"/>
      <c r="AH58" s="657"/>
      <c r="AI58" s="604"/>
      <c r="AJ58" s="604"/>
    </row>
    <row r="59" spans="2:36" ht="24" customHeight="1" thickBot="1">
      <c r="B59" s="650"/>
      <c r="C59" s="600"/>
      <c r="D59" s="1262"/>
      <c r="E59" s="600"/>
      <c r="F59" s="1323"/>
      <c r="G59" s="664"/>
      <c r="H59" s="763"/>
      <c r="I59" s="664"/>
      <c r="J59" s="664"/>
      <c r="K59" s="808"/>
      <c r="L59" s="763"/>
      <c r="M59" s="664"/>
      <c r="N59" s="763"/>
      <c r="O59" s="664"/>
      <c r="P59" s="763"/>
      <c r="Q59" s="677"/>
      <c r="R59" s="668"/>
      <c r="S59" s="763"/>
      <c r="T59" s="677"/>
      <c r="U59" s="677"/>
      <c r="V59" s="677"/>
      <c r="W59" s="763"/>
      <c r="X59" s="666"/>
      <c r="Y59" s="1820"/>
      <c r="Z59" s="1820"/>
      <c r="AA59" s="1820"/>
      <c r="AB59" s="1820"/>
      <c r="AC59" s="1820"/>
      <c r="AD59" s="1820"/>
      <c r="AE59" s="1820"/>
      <c r="AF59" s="1820"/>
      <c r="AG59" s="1820"/>
      <c r="AH59" s="657"/>
      <c r="AI59" s="604"/>
      <c r="AJ59" s="604"/>
    </row>
    <row r="60" spans="2:36" ht="24" customHeight="1" thickBot="1">
      <c r="B60" s="650"/>
      <c r="C60" s="600"/>
      <c r="D60" s="1262"/>
      <c r="E60" s="600"/>
      <c r="F60" s="1323"/>
      <c r="G60" s="664"/>
      <c r="H60" s="763"/>
      <c r="I60" s="664"/>
      <c r="J60" s="664"/>
      <c r="K60" s="808"/>
      <c r="L60" s="763"/>
      <c r="M60" s="664"/>
      <c r="N60" s="763"/>
      <c r="O60" s="664"/>
      <c r="P60" s="763"/>
      <c r="Q60" s="677"/>
      <c r="R60" s="668"/>
      <c r="S60" s="763"/>
      <c r="T60" s="677"/>
      <c r="U60" s="677"/>
      <c r="V60" s="677"/>
      <c r="W60" s="763"/>
      <c r="X60" s="666"/>
      <c r="Y60" s="1820"/>
      <c r="Z60" s="1820"/>
      <c r="AA60" s="1820"/>
      <c r="AB60" s="1820"/>
      <c r="AC60" s="1820"/>
      <c r="AD60" s="1820"/>
      <c r="AE60" s="1820"/>
      <c r="AF60" s="1820"/>
      <c r="AG60" s="1820"/>
      <c r="AH60" s="657"/>
      <c r="AI60" s="604"/>
      <c r="AJ60" s="604"/>
    </row>
    <row r="61" spans="2:36" ht="24" customHeight="1" thickBot="1">
      <c r="B61" s="650"/>
      <c r="C61" s="600"/>
      <c r="D61" s="1262"/>
      <c r="E61" s="600"/>
      <c r="F61" s="1323"/>
      <c r="G61" s="664"/>
      <c r="H61" s="763"/>
      <c r="I61" s="664"/>
      <c r="J61" s="664"/>
      <c r="K61" s="808"/>
      <c r="L61" s="763"/>
      <c r="M61" s="664"/>
      <c r="N61" s="763"/>
      <c r="O61" s="664"/>
      <c r="P61" s="763"/>
      <c r="Q61" s="677"/>
      <c r="R61" s="668"/>
      <c r="S61" s="763"/>
      <c r="T61" s="677"/>
      <c r="U61" s="677"/>
      <c r="V61" s="677"/>
      <c r="W61" s="763"/>
      <c r="X61" s="666"/>
      <c r="Y61" s="1820"/>
      <c r="Z61" s="1820"/>
      <c r="AA61" s="1820"/>
      <c r="AB61" s="1820"/>
      <c r="AC61" s="1820"/>
      <c r="AD61" s="1820"/>
      <c r="AE61" s="1820"/>
      <c r="AF61" s="1820"/>
      <c r="AG61" s="1820"/>
      <c r="AH61" s="657"/>
      <c r="AI61" s="604"/>
      <c r="AJ61" s="604"/>
    </row>
    <row r="62" spans="2:36" ht="24" customHeight="1" thickBot="1">
      <c r="B62" s="680"/>
      <c r="C62" s="681"/>
      <c r="D62" s="681"/>
      <c r="E62" s="681"/>
      <c r="F62" s="681"/>
      <c r="G62" s="681"/>
      <c r="H62" s="681"/>
      <c r="I62" s="681"/>
      <c r="J62" s="681"/>
      <c r="K62" s="681"/>
      <c r="L62" s="681"/>
      <c r="M62" s="681"/>
      <c r="N62" s="681"/>
      <c r="O62" s="681"/>
      <c r="P62" s="681"/>
      <c r="Q62" s="681"/>
      <c r="R62" s="681"/>
      <c r="S62" s="681"/>
      <c r="T62" s="681"/>
      <c r="U62" s="681"/>
      <c r="V62" s="681"/>
      <c r="W62" s="682"/>
      <c r="X62" s="682"/>
      <c r="Y62" s="1829"/>
      <c r="Z62" s="1829"/>
      <c r="AA62" s="1829"/>
      <c r="AB62" s="683"/>
      <c r="AC62" s="1830"/>
      <c r="AD62" s="1830"/>
      <c r="AE62" s="1830"/>
      <c r="AF62" s="1830"/>
      <c r="AG62" s="1830"/>
      <c r="AH62" s="684"/>
      <c r="AI62" s="604"/>
      <c r="AJ62" s="604"/>
    </row>
    <row r="63" spans="2:36" ht="15.9" customHeight="1" thickTop="1">
      <c r="B63" s="604"/>
      <c r="C63" s="604"/>
      <c r="D63" s="604"/>
      <c r="E63" s="600"/>
      <c r="F63" s="600"/>
      <c r="G63" s="600"/>
      <c r="H63" s="600"/>
      <c r="I63" s="600"/>
      <c r="J63" s="600"/>
      <c r="K63" s="600"/>
      <c r="L63" s="600"/>
      <c r="M63" s="600"/>
      <c r="N63" s="600"/>
      <c r="O63" s="600"/>
      <c r="P63" s="600"/>
      <c r="Q63" s="600"/>
      <c r="R63" s="600"/>
      <c r="S63" s="600"/>
      <c r="T63" s="600"/>
      <c r="U63" s="600"/>
      <c r="V63" s="600"/>
      <c r="W63" s="602"/>
      <c r="X63" s="602"/>
      <c r="Y63" s="1827"/>
      <c r="Z63" s="1827"/>
      <c r="AA63" s="1827"/>
      <c r="AB63" s="678"/>
      <c r="AC63" s="1828"/>
      <c r="AD63" s="1828"/>
      <c r="AE63" s="1828"/>
      <c r="AF63" s="1828"/>
      <c r="AG63" s="1828"/>
      <c r="AH63" s="600"/>
      <c r="AI63" s="604"/>
      <c r="AJ63" s="604"/>
    </row>
  </sheetData>
  <sheetProtection algorithmName="SHA-512" hashValue="cjvOoamKl58FsvOZYbdusr590CpP+uzv9MPx6X+r/j27dmJKKfY6ZevoO41gKsGAPT4axiCdyFmBD75gwF6dDg==" saltValue="y6OBNMIOdWKLP4X7oUQcqw==" spinCount="100000" sheet="1" selectLockedCells="1"/>
  <mergeCells count="82">
    <mergeCell ref="B5:E5"/>
    <mergeCell ref="AF1:AH1"/>
    <mergeCell ref="AF2:AH2"/>
    <mergeCell ref="L3:X3"/>
    <mergeCell ref="AG3:AH3"/>
    <mergeCell ref="H4:AA4"/>
    <mergeCell ref="Y6:AC6"/>
    <mergeCell ref="AD6:AE6"/>
    <mergeCell ref="C7:F7"/>
    <mergeCell ref="G7:W7"/>
    <mergeCell ref="Y7:AC7"/>
    <mergeCell ref="AD7:AG7"/>
    <mergeCell ref="Y10:AC10"/>
    <mergeCell ref="AD10:AG10"/>
    <mergeCell ref="C8:F8"/>
    <mergeCell ref="G8:W8"/>
    <mergeCell ref="Y8:AC8"/>
    <mergeCell ref="AD8:AG8"/>
    <mergeCell ref="C9:F9"/>
    <mergeCell ref="G9:M9"/>
    <mergeCell ref="O9:R9"/>
    <mergeCell ref="T9:W9"/>
    <mergeCell ref="Y9:AC9"/>
    <mergeCell ref="AD9:AG9"/>
    <mergeCell ref="C15:F15"/>
    <mergeCell ref="C10:F10"/>
    <mergeCell ref="G10:M10"/>
    <mergeCell ref="O10:R10"/>
    <mergeCell ref="T10:W10"/>
    <mergeCell ref="Y11:AC11"/>
    <mergeCell ref="AD11:AG11"/>
    <mergeCell ref="B14:E14"/>
    <mergeCell ref="F14:M14"/>
    <mergeCell ref="N14:AA14"/>
    <mergeCell ref="AD17:AE17"/>
    <mergeCell ref="AF17:AG17"/>
    <mergeCell ref="AR17:AS17"/>
    <mergeCell ref="C18:F18"/>
    <mergeCell ref="C20:F20"/>
    <mergeCell ref="K20:M20"/>
    <mergeCell ref="R20:X20"/>
    <mergeCell ref="AC20:AF20"/>
    <mergeCell ref="F43:AG43"/>
    <mergeCell ref="E22:AA22"/>
    <mergeCell ref="AB22:AD22"/>
    <mergeCell ref="AE22:AG22"/>
    <mergeCell ref="M23:O24"/>
    <mergeCell ref="P23:Q25"/>
    <mergeCell ref="AC23:AG23"/>
    <mergeCell ref="Y24:AC24"/>
    <mergeCell ref="Y25:AG25"/>
    <mergeCell ref="Y26:AG26"/>
    <mergeCell ref="Y38:AG38"/>
    <mergeCell ref="Y39:AG39"/>
    <mergeCell ref="Y40:AG40"/>
    <mergeCell ref="Y41:AG41"/>
    <mergeCell ref="Y52:AG52"/>
    <mergeCell ref="E46:H46"/>
    <mergeCell ref="I46:P46"/>
    <mergeCell ref="Q46:R46"/>
    <mergeCell ref="U46:AA46"/>
    <mergeCell ref="C47:E47"/>
    <mergeCell ref="F47:H47"/>
    <mergeCell ref="U47:AA47"/>
    <mergeCell ref="Y49:AC49"/>
    <mergeCell ref="AD49:AE49"/>
    <mergeCell ref="AF49:AG49"/>
    <mergeCell ref="Y50:AG50"/>
    <mergeCell ref="Y51:AG51"/>
    <mergeCell ref="Y63:AA63"/>
    <mergeCell ref="AC63:AG63"/>
    <mergeCell ref="Y53:AG53"/>
    <mergeCell ref="Y54:AG54"/>
    <mergeCell ref="Y55:AG55"/>
    <mergeCell ref="Y56:AG56"/>
    <mergeCell ref="Y57:AG57"/>
    <mergeCell ref="Y58:AG58"/>
    <mergeCell ref="Y59:AG59"/>
    <mergeCell ref="Y60:AG60"/>
    <mergeCell ref="Y61:AG61"/>
    <mergeCell ref="Y62:AA62"/>
    <mergeCell ref="AC62:AG62"/>
  </mergeCells>
  <conditionalFormatting sqref="AF17:AG17">
    <cfRule type="expression" dxfId="131" priority="2">
      <formula>AF17&lt;&gt;AT17</formula>
    </cfRule>
  </conditionalFormatting>
  <conditionalFormatting sqref="AF49:AG49">
    <cfRule type="expression" dxfId="130" priority="1">
      <formula>AF49&lt;&gt;AT17</formula>
    </cfRule>
  </conditionalFormatting>
  <dataValidations count="7">
    <dataValidation type="list" allowBlank="1" showInputMessage="1" sqref="P20" xr:uid="{B24B4FA9-3A5B-4E22-84E5-11F347A051AD}">
      <formula1>$AP$40:$AP$41</formula1>
    </dataValidation>
    <dataValidation type="list" allowBlank="1" showInputMessage="1" sqref="N20" xr:uid="{1F0A897B-1D26-4E20-AF1A-218BE75F6478}">
      <formula1>$AP$37:$AP$38</formula1>
    </dataValidation>
    <dataValidation type="list" allowBlank="1" showErrorMessage="1" sqref="G18" xr:uid="{E70086E4-72D3-438E-AA8A-4C6B6512516F}">
      <formula1>$AP$21:$AP$22</formula1>
    </dataValidation>
    <dataValidation type="list" allowBlank="1" sqref="AR30" xr:uid="{96584734-A1D5-47B8-A1EF-8DA0CE9D3F7A}">
      <formula1>$AR$30:$AR$31</formula1>
    </dataValidation>
    <dataValidation type="list" allowBlank="1" showInputMessage="1" sqref="AS22:AS28 AR21:AR26" xr:uid="{DE1A8F52-F64E-440F-96BB-A7C5D3D9BCE6}">
      <formula1>$AR$21:$AR$26</formula1>
    </dataValidation>
    <dataValidation type="list" allowBlank="1" sqref="F14:M14" xr:uid="{FAED66B9-C391-472A-9C98-B43756C62BC8}">
      <formula1>$AR$21:$AR$28</formula1>
    </dataValidation>
    <dataValidation type="list" allowBlank="1" showInputMessage="1" sqref="F47:H47 AE22:AG22" xr:uid="{2BC9B3E3-FF78-448E-AEF5-EAC299788E7F}">
      <formula1>$T$9</formula1>
    </dataValidation>
  </dataValidations>
  <pageMargins left="0.5" right="0.5" top="0.25" bottom="0.25" header="0" footer="0"/>
  <pageSetup scale="59" fitToHeight="0" orientation="portrait" r:id="rId1"/>
  <legacyDrawing r:id="rId2"/>
  <extLst>
    <ext xmlns:x14="http://schemas.microsoft.com/office/spreadsheetml/2009/9/main" uri="{CCE6A557-97BC-4b89-ADB6-D9C93CAAB3DF}">
      <x14:dataValidations xmlns:xm="http://schemas.microsoft.com/office/excel/2006/main" count="12">
        <x14:dataValidation type="list" allowBlank="1" showInputMessage="1" xr:uid="{F7C4311F-889E-40BB-80C4-03ED4A22F5D9}">
          <x14:formula1>
            <xm:f>List!$H$19:$H$20</xm:f>
          </x14:formula1>
          <xm:sqref>T9:W10</xm:sqref>
        </x14:dataValidation>
        <x14:dataValidation type="list" showInputMessage="1" xr:uid="{0ED5B07D-66B2-416D-B738-B14D0B244540}">
          <x14:formula1>
            <xm:f>List!$F$37:$F$43</xm:f>
          </x14:formula1>
          <xm:sqref>AG6</xm:sqref>
        </x14:dataValidation>
        <x14:dataValidation type="list" allowBlank="1" showInputMessage="1" xr:uid="{02288A6B-5F20-4392-AFC3-CF73C25E5BB0}">
          <x14:formula1>
            <xm:f>List!$C$2:$C$3</xm:f>
          </x14:formula1>
          <xm:sqref>O9:R10</xm:sqref>
        </x14:dataValidation>
        <x14:dataValidation type="list" allowBlank="1" showInputMessage="1" xr:uid="{6C876C0B-1896-499F-A784-D3E17CAEC3EF}">
          <x14:formula1>
            <xm:f>List!$B$2:$B$3</xm:f>
          </x14:formula1>
          <xm:sqref>G9:M10</xm:sqref>
        </x14:dataValidation>
        <x14:dataValidation type="list" allowBlank="1" showInputMessage="1" showErrorMessage="1" xr:uid="{A6EF0C65-A8C3-49B9-899C-B2CD3A689CBF}">
          <x14:formula1>
            <xm:f>List!$D$10:$D$11</xm:f>
          </x14:formula1>
          <xm:sqref>G8:W8</xm:sqref>
        </x14:dataValidation>
        <x14:dataValidation type="list" showInputMessage="1" xr:uid="{F0A15378-6CB7-430A-B777-E0497F069F67}">
          <x14:formula1>
            <xm:f>List!$B$10:$B$11</xm:f>
          </x14:formula1>
          <xm:sqref>G7:W7</xm:sqref>
        </x14:dataValidation>
        <x14:dataValidation type="list" showInputMessage="1" xr:uid="{FC0D5A07-FF64-4A0C-AC6F-7366585DFFA8}">
          <x14:formula1>
            <xm:f>List!$L$10:$L$11</xm:f>
          </x14:formula1>
          <xm:sqref>AD11:AG11</xm:sqref>
        </x14:dataValidation>
        <x14:dataValidation type="list" showInputMessage="1" xr:uid="{498BBA2B-8D67-4782-B810-872BE3BA5D20}">
          <x14:formula1>
            <xm:f>List!$K$10:$K$11</xm:f>
          </x14:formula1>
          <xm:sqref>AD10:AG10</xm:sqref>
        </x14:dataValidation>
        <x14:dataValidation type="list" showInputMessage="1" xr:uid="{7D2CBCFC-13E8-42DD-A715-268973AB8222}">
          <x14:formula1>
            <xm:f>List!$J$10:$J$11</xm:f>
          </x14:formula1>
          <xm:sqref>AD9:AG9</xm:sqref>
        </x14:dataValidation>
        <x14:dataValidation type="list" showInputMessage="1" xr:uid="{868F22F2-2FDB-4B7C-9187-5B83584774D8}">
          <x14:formula1>
            <xm:f>List!$I$10:$I$11</xm:f>
          </x14:formula1>
          <xm:sqref>AD8:AG8</xm:sqref>
        </x14:dataValidation>
        <x14:dataValidation type="list" showInputMessage="1" xr:uid="{A12BDB41-3602-45CC-82A4-B6DFB15F1F00}">
          <x14:formula1>
            <xm:f>List!$H$10:$H$11</xm:f>
          </x14:formula1>
          <xm:sqref>AD7:AG7</xm:sqref>
        </x14:dataValidation>
        <x14:dataValidation type="list" showInputMessage="1" xr:uid="{7E7B2C6B-85F9-4CED-837D-6AA20424DB6F}">
          <x14:formula1>
            <xm:f>List!$F$19:$F$23</xm:f>
          </x14:formula1>
          <xm:sqref>AD6:AE6</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01">
    <pageSetUpPr fitToPage="1"/>
  </sheetPr>
  <dimension ref="A1:BE68"/>
  <sheetViews>
    <sheetView zoomScaleNormal="100" workbookViewId="0">
      <selection activeCell="H10" sqref="H10:N10"/>
    </sheetView>
  </sheetViews>
  <sheetFormatPr defaultRowHeight="14.4"/>
  <cols>
    <col min="1" max="1" width="0.6640625" customWidth="1"/>
    <col min="2" max="3" width="2.88671875" customWidth="1"/>
    <col min="4" max="5" width="4.6640625" customWidth="1"/>
    <col min="6" max="6" width="3.6640625" customWidth="1"/>
    <col min="7" max="7" width="11" customWidth="1"/>
    <col min="8" max="8" width="2.5546875" customWidth="1"/>
    <col min="9" max="9" width="3" customWidth="1"/>
    <col min="10" max="11" width="3.109375" customWidth="1"/>
    <col min="12" max="12" width="2.44140625" customWidth="1"/>
    <col min="13" max="13" width="2.88671875" customWidth="1"/>
    <col min="14" max="14" width="0.6640625" customWidth="1"/>
    <col min="15" max="15" width="5.33203125" customWidth="1"/>
    <col min="16" max="16" width="10.5546875" customWidth="1"/>
    <col min="17" max="17" width="5.109375" customWidth="1"/>
    <col min="18" max="18" width="7.44140625" style="112" customWidth="1"/>
    <col min="19" max="19" width="6.6640625" style="112" customWidth="1"/>
    <col min="20" max="20" width="4.33203125" style="112" customWidth="1"/>
    <col min="21" max="21" width="2" customWidth="1"/>
    <col min="22" max="23" width="2.6640625" customWidth="1"/>
    <col min="24" max="25" width="2.109375" customWidth="1"/>
    <col min="26" max="26" width="4.6640625" customWidth="1"/>
    <col min="27" max="27" width="1.6640625" customWidth="1"/>
    <col min="28" max="28" width="6.6640625" customWidth="1"/>
    <col min="29" max="30" width="1.88671875" customWidth="1"/>
    <col min="31" max="31" width="4" customWidth="1"/>
    <col min="32" max="32" width="2" customWidth="1"/>
    <col min="33" max="33" width="6.33203125" customWidth="1"/>
    <col min="34" max="34" width="1.6640625" customWidth="1"/>
    <col min="35" max="35" width="4.33203125" customWidth="1"/>
    <col min="36" max="36" width="3.33203125" customWidth="1"/>
    <col min="37" max="37" width="4.6640625" customWidth="1"/>
    <col min="38" max="38" width="1.33203125" customWidth="1"/>
    <col min="258" max="258" width="0.6640625" customWidth="1"/>
    <col min="259" max="259" width="3.88671875" customWidth="1"/>
    <col min="260" max="260" width="4" customWidth="1"/>
    <col min="261" max="261" width="2.44140625" customWidth="1"/>
    <col min="262" max="262" width="1.6640625" customWidth="1"/>
    <col min="263" max="263" width="11" customWidth="1"/>
    <col min="264" max="264" width="2.5546875" customWidth="1"/>
    <col min="265" max="265" width="3" customWidth="1"/>
    <col min="266" max="267" width="3.109375" customWidth="1"/>
    <col min="268" max="268" width="2.44140625" customWidth="1"/>
    <col min="269" max="269" width="2.88671875" customWidth="1"/>
    <col min="270" max="270" width="0.6640625" customWidth="1"/>
    <col min="271" max="271" width="5.33203125" customWidth="1"/>
    <col min="272" max="272" width="10.5546875" customWidth="1"/>
    <col min="273" max="273" width="5.109375" customWidth="1"/>
    <col min="274" max="274" width="7.44140625" customWidth="1"/>
    <col min="275" max="275" width="6.6640625" customWidth="1"/>
    <col min="276" max="276" width="4.33203125" customWidth="1"/>
    <col min="277" max="277" width="2" customWidth="1"/>
    <col min="278" max="279" width="2.6640625" customWidth="1"/>
    <col min="280" max="281" width="2.109375" customWidth="1"/>
    <col min="282" max="282" width="4.6640625" customWidth="1"/>
    <col min="283" max="283" width="1.6640625" customWidth="1"/>
    <col min="284" max="284" width="6.6640625" customWidth="1"/>
    <col min="285" max="286" width="1.88671875" customWidth="1"/>
    <col min="287" max="287" width="3" customWidth="1"/>
    <col min="288" max="288" width="4" customWidth="1"/>
    <col min="289" max="289" width="4.33203125" customWidth="1"/>
    <col min="290" max="290" width="1.109375" customWidth="1"/>
    <col min="291" max="292" width="4.33203125" customWidth="1"/>
    <col min="293" max="293" width="5" customWidth="1"/>
    <col min="294" max="294" width="1.33203125" customWidth="1"/>
    <col min="514" max="514" width="0.6640625" customWidth="1"/>
    <col min="515" max="515" width="3.88671875" customWidth="1"/>
    <col min="516" max="516" width="4" customWidth="1"/>
    <col min="517" max="517" width="2.44140625" customWidth="1"/>
    <col min="518" max="518" width="1.6640625" customWidth="1"/>
    <col min="519" max="519" width="11" customWidth="1"/>
    <col min="520" max="520" width="2.5546875" customWidth="1"/>
    <col min="521" max="521" width="3" customWidth="1"/>
    <col min="522" max="523" width="3.109375" customWidth="1"/>
    <col min="524" max="524" width="2.44140625" customWidth="1"/>
    <col min="525" max="525" width="2.88671875" customWidth="1"/>
    <col min="526" max="526" width="0.6640625" customWidth="1"/>
    <col min="527" max="527" width="5.33203125" customWidth="1"/>
    <col min="528" max="528" width="10.5546875" customWidth="1"/>
    <col min="529" max="529" width="5.109375" customWidth="1"/>
    <col min="530" max="530" width="7.44140625" customWidth="1"/>
    <col min="531" max="531" width="6.6640625" customWidth="1"/>
    <col min="532" max="532" width="4.33203125" customWidth="1"/>
    <col min="533" max="533" width="2" customWidth="1"/>
    <col min="534" max="535" width="2.6640625" customWidth="1"/>
    <col min="536" max="537" width="2.109375" customWidth="1"/>
    <col min="538" max="538" width="4.6640625" customWidth="1"/>
    <col min="539" max="539" width="1.6640625" customWidth="1"/>
    <col min="540" max="540" width="6.6640625" customWidth="1"/>
    <col min="541" max="542" width="1.88671875" customWidth="1"/>
    <col min="543" max="543" width="3" customWidth="1"/>
    <col min="544" max="544" width="4" customWidth="1"/>
    <col min="545" max="545" width="4.33203125" customWidth="1"/>
    <col min="546" max="546" width="1.109375" customWidth="1"/>
    <col min="547" max="548" width="4.33203125" customWidth="1"/>
    <col min="549" max="549" width="5" customWidth="1"/>
    <col min="550" max="550" width="1.33203125" customWidth="1"/>
    <col min="770" max="770" width="0.6640625" customWidth="1"/>
    <col min="771" max="771" width="3.88671875" customWidth="1"/>
    <col min="772" max="772" width="4" customWidth="1"/>
    <col min="773" max="773" width="2.44140625" customWidth="1"/>
    <col min="774" max="774" width="1.6640625" customWidth="1"/>
    <col min="775" max="775" width="11" customWidth="1"/>
    <col min="776" max="776" width="2.5546875" customWidth="1"/>
    <col min="777" max="777" width="3" customWidth="1"/>
    <col min="778" max="779" width="3.109375" customWidth="1"/>
    <col min="780" max="780" width="2.44140625" customWidth="1"/>
    <col min="781" max="781" width="2.88671875" customWidth="1"/>
    <col min="782" max="782" width="0.6640625" customWidth="1"/>
    <col min="783" max="783" width="5.33203125" customWidth="1"/>
    <col min="784" max="784" width="10.5546875" customWidth="1"/>
    <col min="785" max="785" width="5.109375" customWidth="1"/>
    <col min="786" max="786" width="7.44140625" customWidth="1"/>
    <col min="787" max="787" width="6.6640625" customWidth="1"/>
    <col min="788" max="788" width="4.33203125" customWidth="1"/>
    <col min="789" max="789" width="2" customWidth="1"/>
    <col min="790" max="791" width="2.6640625" customWidth="1"/>
    <col min="792" max="793" width="2.109375" customWidth="1"/>
    <col min="794" max="794" width="4.6640625" customWidth="1"/>
    <col min="795" max="795" width="1.6640625" customWidth="1"/>
    <col min="796" max="796" width="6.6640625" customWidth="1"/>
    <col min="797" max="798" width="1.88671875" customWidth="1"/>
    <col min="799" max="799" width="3" customWidth="1"/>
    <col min="800" max="800" width="4" customWidth="1"/>
    <col min="801" max="801" width="4.33203125" customWidth="1"/>
    <col min="802" max="802" width="1.109375" customWidth="1"/>
    <col min="803" max="804" width="4.33203125" customWidth="1"/>
    <col min="805" max="805" width="5" customWidth="1"/>
    <col min="806" max="806" width="1.33203125" customWidth="1"/>
    <col min="1026" max="1026" width="0.6640625" customWidth="1"/>
    <col min="1027" max="1027" width="3.88671875" customWidth="1"/>
    <col min="1028" max="1028" width="4" customWidth="1"/>
    <col min="1029" max="1029" width="2.44140625" customWidth="1"/>
    <col min="1030" max="1030" width="1.6640625" customWidth="1"/>
    <col min="1031" max="1031" width="11" customWidth="1"/>
    <col min="1032" max="1032" width="2.5546875" customWidth="1"/>
    <col min="1033" max="1033" width="3" customWidth="1"/>
    <col min="1034" max="1035" width="3.109375" customWidth="1"/>
    <col min="1036" max="1036" width="2.44140625" customWidth="1"/>
    <col min="1037" max="1037" width="2.88671875" customWidth="1"/>
    <col min="1038" max="1038" width="0.6640625" customWidth="1"/>
    <col min="1039" max="1039" width="5.33203125" customWidth="1"/>
    <col min="1040" max="1040" width="10.5546875" customWidth="1"/>
    <col min="1041" max="1041" width="5.109375" customWidth="1"/>
    <col min="1042" max="1042" width="7.44140625" customWidth="1"/>
    <col min="1043" max="1043" width="6.6640625" customWidth="1"/>
    <col min="1044" max="1044" width="4.33203125" customWidth="1"/>
    <col min="1045" max="1045" width="2" customWidth="1"/>
    <col min="1046" max="1047" width="2.6640625" customWidth="1"/>
    <col min="1048" max="1049" width="2.109375" customWidth="1"/>
    <col min="1050" max="1050" width="4.6640625" customWidth="1"/>
    <col min="1051" max="1051" width="1.6640625" customWidth="1"/>
    <col min="1052" max="1052" width="6.6640625" customWidth="1"/>
    <col min="1053" max="1054" width="1.88671875" customWidth="1"/>
    <col min="1055" max="1055" width="3" customWidth="1"/>
    <col min="1056" max="1056" width="4" customWidth="1"/>
    <col min="1057" max="1057" width="4.33203125" customWidth="1"/>
    <col min="1058" max="1058" width="1.109375" customWidth="1"/>
    <col min="1059" max="1060" width="4.33203125" customWidth="1"/>
    <col min="1061" max="1061" width="5" customWidth="1"/>
    <col min="1062" max="1062" width="1.33203125" customWidth="1"/>
    <col min="1282" max="1282" width="0.6640625" customWidth="1"/>
    <col min="1283" max="1283" width="3.88671875" customWidth="1"/>
    <col min="1284" max="1284" width="4" customWidth="1"/>
    <col min="1285" max="1285" width="2.44140625" customWidth="1"/>
    <col min="1286" max="1286" width="1.6640625" customWidth="1"/>
    <col min="1287" max="1287" width="11" customWidth="1"/>
    <col min="1288" max="1288" width="2.5546875" customWidth="1"/>
    <col min="1289" max="1289" width="3" customWidth="1"/>
    <col min="1290" max="1291" width="3.109375" customWidth="1"/>
    <col min="1292" max="1292" width="2.44140625" customWidth="1"/>
    <col min="1293" max="1293" width="2.88671875" customWidth="1"/>
    <col min="1294" max="1294" width="0.6640625" customWidth="1"/>
    <col min="1295" max="1295" width="5.33203125" customWidth="1"/>
    <col min="1296" max="1296" width="10.5546875" customWidth="1"/>
    <col min="1297" max="1297" width="5.109375" customWidth="1"/>
    <col min="1298" max="1298" width="7.44140625" customWidth="1"/>
    <col min="1299" max="1299" width="6.6640625" customWidth="1"/>
    <col min="1300" max="1300" width="4.33203125" customWidth="1"/>
    <col min="1301" max="1301" width="2" customWidth="1"/>
    <col min="1302" max="1303" width="2.6640625" customWidth="1"/>
    <col min="1304" max="1305" width="2.109375" customWidth="1"/>
    <col min="1306" max="1306" width="4.6640625" customWidth="1"/>
    <col min="1307" max="1307" width="1.6640625" customWidth="1"/>
    <col min="1308" max="1308" width="6.6640625" customWidth="1"/>
    <col min="1309" max="1310" width="1.88671875" customWidth="1"/>
    <col min="1311" max="1311" width="3" customWidth="1"/>
    <col min="1312" max="1312" width="4" customWidth="1"/>
    <col min="1313" max="1313" width="4.33203125" customWidth="1"/>
    <col min="1314" max="1314" width="1.109375" customWidth="1"/>
    <col min="1315" max="1316" width="4.33203125" customWidth="1"/>
    <col min="1317" max="1317" width="5" customWidth="1"/>
    <col min="1318" max="1318" width="1.33203125" customWidth="1"/>
    <col min="1538" max="1538" width="0.6640625" customWidth="1"/>
    <col min="1539" max="1539" width="3.88671875" customWidth="1"/>
    <col min="1540" max="1540" width="4" customWidth="1"/>
    <col min="1541" max="1541" width="2.44140625" customWidth="1"/>
    <col min="1542" max="1542" width="1.6640625" customWidth="1"/>
    <col min="1543" max="1543" width="11" customWidth="1"/>
    <col min="1544" max="1544" width="2.5546875" customWidth="1"/>
    <col min="1545" max="1545" width="3" customWidth="1"/>
    <col min="1546" max="1547" width="3.109375" customWidth="1"/>
    <col min="1548" max="1548" width="2.44140625" customWidth="1"/>
    <col min="1549" max="1549" width="2.88671875" customWidth="1"/>
    <col min="1550" max="1550" width="0.6640625" customWidth="1"/>
    <col min="1551" max="1551" width="5.33203125" customWidth="1"/>
    <col min="1552" max="1552" width="10.5546875" customWidth="1"/>
    <col min="1553" max="1553" width="5.109375" customWidth="1"/>
    <col min="1554" max="1554" width="7.44140625" customWidth="1"/>
    <col min="1555" max="1555" width="6.6640625" customWidth="1"/>
    <col min="1556" max="1556" width="4.33203125" customWidth="1"/>
    <col min="1557" max="1557" width="2" customWidth="1"/>
    <col min="1558" max="1559" width="2.6640625" customWidth="1"/>
    <col min="1560" max="1561" width="2.109375" customWidth="1"/>
    <col min="1562" max="1562" width="4.6640625" customWidth="1"/>
    <col min="1563" max="1563" width="1.6640625" customWidth="1"/>
    <col min="1564" max="1564" width="6.6640625" customWidth="1"/>
    <col min="1565" max="1566" width="1.88671875" customWidth="1"/>
    <col min="1567" max="1567" width="3" customWidth="1"/>
    <col min="1568" max="1568" width="4" customWidth="1"/>
    <col min="1569" max="1569" width="4.33203125" customWidth="1"/>
    <col min="1570" max="1570" width="1.109375" customWidth="1"/>
    <col min="1571" max="1572" width="4.33203125" customWidth="1"/>
    <col min="1573" max="1573" width="5" customWidth="1"/>
    <col min="1574" max="1574" width="1.33203125" customWidth="1"/>
    <col min="1794" max="1794" width="0.6640625" customWidth="1"/>
    <col min="1795" max="1795" width="3.88671875" customWidth="1"/>
    <col min="1796" max="1796" width="4" customWidth="1"/>
    <col min="1797" max="1797" width="2.44140625" customWidth="1"/>
    <col min="1798" max="1798" width="1.6640625" customWidth="1"/>
    <col min="1799" max="1799" width="11" customWidth="1"/>
    <col min="1800" max="1800" width="2.5546875" customWidth="1"/>
    <col min="1801" max="1801" width="3" customWidth="1"/>
    <col min="1802" max="1803" width="3.109375" customWidth="1"/>
    <col min="1804" max="1804" width="2.44140625" customWidth="1"/>
    <col min="1805" max="1805" width="2.88671875" customWidth="1"/>
    <col min="1806" max="1806" width="0.6640625" customWidth="1"/>
    <col min="1807" max="1807" width="5.33203125" customWidth="1"/>
    <col min="1808" max="1808" width="10.5546875" customWidth="1"/>
    <col min="1809" max="1809" width="5.109375" customWidth="1"/>
    <col min="1810" max="1810" width="7.44140625" customWidth="1"/>
    <col min="1811" max="1811" width="6.6640625" customWidth="1"/>
    <col min="1812" max="1812" width="4.33203125" customWidth="1"/>
    <col min="1813" max="1813" width="2" customWidth="1"/>
    <col min="1814" max="1815" width="2.6640625" customWidth="1"/>
    <col min="1816" max="1817" width="2.109375" customWidth="1"/>
    <col min="1818" max="1818" width="4.6640625" customWidth="1"/>
    <col min="1819" max="1819" width="1.6640625" customWidth="1"/>
    <col min="1820" max="1820" width="6.6640625" customWidth="1"/>
    <col min="1821" max="1822" width="1.88671875" customWidth="1"/>
    <col min="1823" max="1823" width="3" customWidth="1"/>
    <col min="1824" max="1824" width="4" customWidth="1"/>
    <col min="1825" max="1825" width="4.33203125" customWidth="1"/>
    <col min="1826" max="1826" width="1.109375" customWidth="1"/>
    <col min="1827" max="1828" width="4.33203125" customWidth="1"/>
    <col min="1829" max="1829" width="5" customWidth="1"/>
    <col min="1830" max="1830" width="1.33203125" customWidth="1"/>
    <col min="2050" max="2050" width="0.6640625" customWidth="1"/>
    <col min="2051" max="2051" width="3.88671875" customWidth="1"/>
    <col min="2052" max="2052" width="4" customWidth="1"/>
    <col min="2053" max="2053" width="2.44140625" customWidth="1"/>
    <col min="2054" max="2054" width="1.6640625" customWidth="1"/>
    <col min="2055" max="2055" width="11" customWidth="1"/>
    <col min="2056" max="2056" width="2.5546875" customWidth="1"/>
    <col min="2057" max="2057" width="3" customWidth="1"/>
    <col min="2058" max="2059" width="3.109375" customWidth="1"/>
    <col min="2060" max="2060" width="2.44140625" customWidth="1"/>
    <col min="2061" max="2061" width="2.88671875" customWidth="1"/>
    <col min="2062" max="2062" width="0.6640625" customWidth="1"/>
    <col min="2063" max="2063" width="5.33203125" customWidth="1"/>
    <col min="2064" max="2064" width="10.5546875" customWidth="1"/>
    <col min="2065" max="2065" width="5.109375" customWidth="1"/>
    <col min="2066" max="2066" width="7.44140625" customWidth="1"/>
    <col min="2067" max="2067" width="6.6640625" customWidth="1"/>
    <col min="2068" max="2068" width="4.33203125" customWidth="1"/>
    <col min="2069" max="2069" width="2" customWidth="1"/>
    <col min="2070" max="2071" width="2.6640625" customWidth="1"/>
    <col min="2072" max="2073" width="2.109375" customWidth="1"/>
    <col min="2074" max="2074" width="4.6640625" customWidth="1"/>
    <col min="2075" max="2075" width="1.6640625" customWidth="1"/>
    <col min="2076" max="2076" width="6.6640625" customWidth="1"/>
    <col min="2077" max="2078" width="1.88671875" customWidth="1"/>
    <col min="2079" max="2079" width="3" customWidth="1"/>
    <col min="2080" max="2080" width="4" customWidth="1"/>
    <col min="2081" max="2081" width="4.33203125" customWidth="1"/>
    <col min="2082" max="2082" width="1.109375" customWidth="1"/>
    <col min="2083" max="2084" width="4.33203125" customWidth="1"/>
    <col min="2085" max="2085" width="5" customWidth="1"/>
    <col min="2086" max="2086" width="1.33203125" customWidth="1"/>
    <col min="2306" max="2306" width="0.6640625" customWidth="1"/>
    <col min="2307" max="2307" width="3.88671875" customWidth="1"/>
    <col min="2308" max="2308" width="4" customWidth="1"/>
    <col min="2309" max="2309" width="2.44140625" customWidth="1"/>
    <col min="2310" max="2310" width="1.6640625" customWidth="1"/>
    <col min="2311" max="2311" width="11" customWidth="1"/>
    <col min="2312" max="2312" width="2.5546875" customWidth="1"/>
    <col min="2313" max="2313" width="3" customWidth="1"/>
    <col min="2314" max="2315" width="3.109375" customWidth="1"/>
    <col min="2316" max="2316" width="2.44140625" customWidth="1"/>
    <col min="2317" max="2317" width="2.88671875" customWidth="1"/>
    <col min="2318" max="2318" width="0.6640625" customWidth="1"/>
    <col min="2319" max="2319" width="5.33203125" customWidth="1"/>
    <col min="2320" max="2320" width="10.5546875" customWidth="1"/>
    <col min="2321" max="2321" width="5.109375" customWidth="1"/>
    <col min="2322" max="2322" width="7.44140625" customWidth="1"/>
    <col min="2323" max="2323" width="6.6640625" customWidth="1"/>
    <col min="2324" max="2324" width="4.33203125" customWidth="1"/>
    <col min="2325" max="2325" width="2" customWidth="1"/>
    <col min="2326" max="2327" width="2.6640625" customWidth="1"/>
    <col min="2328" max="2329" width="2.109375" customWidth="1"/>
    <col min="2330" max="2330" width="4.6640625" customWidth="1"/>
    <col min="2331" max="2331" width="1.6640625" customWidth="1"/>
    <col min="2332" max="2332" width="6.6640625" customWidth="1"/>
    <col min="2333" max="2334" width="1.88671875" customWidth="1"/>
    <col min="2335" max="2335" width="3" customWidth="1"/>
    <col min="2336" max="2336" width="4" customWidth="1"/>
    <col min="2337" max="2337" width="4.33203125" customWidth="1"/>
    <col min="2338" max="2338" width="1.109375" customWidth="1"/>
    <col min="2339" max="2340" width="4.33203125" customWidth="1"/>
    <col min="2341" max="2341" width="5" customWidth="1"/>
    <col min="2342" max="2342" width="1.33203125" customWidth="1"/>
    <col min="2562" max="2562" width="0.6640625" customWidth="1"/>
    <col min="2563" max="2563" width="3.88671875" customWidth="1"/>
    <col min="2564" max="2564" width="4" customWidth="1"/>
    <col min="2565" max="2565" width="2.44140625" customWidth="1"/>
    <col min="2566" max="2566" width="1.6640625" customWidth="1"/>
    <col min="2567" max="2567" width="11" customWidth="1"/>
    <col min="2568" max="2568" width="2.5546875" customWidth="1"/>
    <col min="2569" max="2569" width="3" customWidth="1"/>
    <col min="2570" max="2571" width="3.109375" customWidth="1"/>
    <col min="2572" max="2572" width="2.44140625" customWidth="1"/>
    <col min="2573" max="2573" width="2.88671875" customWidth="1"/>
    <col min="2574" max="2574" width="0.6640625" customWidth="1"/>
    <col min="2575" max="2575" width="5.33203125" customWidth="1"/>
    <col min="2576" max="2576" width="10.5546875" customWidth="1"/>
    <col min="2577" max="2577" width="5.109375" customWidth="1"/>
    <col min="2578" max="2578" width="7.44140625" customWidth="1"/>
    <col min="2579" max="2579" width="6.6640625" customWidth="1"/>
    <col min="2580" max="2580" width="4.33203125" customWidth="1"/>
    <col min="2581" max="2581" width="2" customWidth="1"/>
    <col min="2582" max="2583" width="2.6640625" customWidth="1"/>
    <col min="2584" max="2585" width="2.109375" customWidth="1"/>
    <col min="2586" max="2586" width="4.6640625" customWidth="1"/>
    <col min="2587" max="2587" width="1.6640625" customWidth="1"/>
    <col min="2588" max="2588" width="6.6640625" customWidth="1"/>
    <col min="2589" max="2590" width="1.88671875" customWidth="1"/>
    <col min="2591" max="2591" width="3" customWidth="1"/>
    <col min="2592" max="2592" width="4" customWidth="1"/>
    <col min="2593" max="2593" width="4.33203125" customWidth="1"/>
    <col min="2594" max="2594" width="1.109375" customWidth="1"/>
    <col min="2595" max="2596" width="4.33203125" customWidth="1"/>
    <col min="2597" max="2597" width="5" customWidth="1"/>
    <col min="2598" max="2598" width="1.33203125" customWidth="1"/>
    <col min="2818" max="2818" width="0.6640625" customWidth="1"/>
    <col min="2819" max="2819" width="3.88671875" customWidth="1"/>
    <col min="2820" max="2820" width="4" customWidth="1"/>
    <col min="2821" max="2821" width="2.44140625" customWidth="1"/>
    <col min="2822" max="2822" width="1.6640625" customWidth="1"/>
    <col min="2823" max="2823" width="11" customWidth="1"/>
    <col min="2824" max="2824" width="2.5546875" customWidth="1"/>
    <col min="2825" max="2825" width="3" customWidth="1"/>
    <col min="2826" max="2827" width="3.109375" customWidth="1"/>
    <col min="2828" max="2828" width="2.44140625" customWidth="1"/>
    <col min="2829" max="2829" width="2.88671875" customWidth="1"/>
    <col min="2830" max="2830" width="0.6640625" customWidth="1"/>
    <col min="2831" max="2831" width="5.33203125" customWidth="1"/>
    <col min="2832" max="2832" width="10.5546875" customWidth="1"/>
    <col min="2833" max="2833" width="5.109375" customWidth="1"/>
    <col min="2834" max="2834" width="7.44140625" customWidth="1"/>
    <col min="2835" max="2835" width="6.6640625" customWidth="1"/>
    <col min="2836" max="2836" width="4.33203125" customWidth="1"/>
    <col min="2837" max="2837" width="2" customWidth="1"/>
    <col min="2838" max="2839" width="2.6640625" customWidth="1"/>
    <col min="2840" max="2841" width="2.109375" customWidth="1"/>
    <col min="2842" max="2842" width="4.6640625" customWidth="1"/>
    <col min="2843" max="2843" width="1.6640625" customWidth="1"/>
    <col min="2844" max="2844" width="6.6640625" customWidth="1"/>
    <col min="2845" max="2846" width="1.88671875" customWidth="1"/>
    <col min="2847" max="2847" width="3" customWidth="1"/>
    <col min="2848" max="2848" width="4" customWidth="1"/>
    <col min="2849" max="2849" width="4.33203125" customWidth="1"/>
    <col min="2850" max="2850" width="1.109375" customWidth="1"/>
    <col min="2851" max="2852" width="4.33203125" customWidth="1"/>
    <col min="2853" max="2853" width="5" customWidth="1"/>
    <col min="2854" max="2854" width="1.33203125" customWidth="1"/>
    <col min="3074" max="3074" width="0.6640625" customWidth="1"/>
    <col min="3075" max="3075" width="3.88671875" customWidth="1"/>
    <col min="3076" max="3076" width="4" customWidth="1"/>
    <col min="3077" max="3077" width="2.44140625" customWidth="1"/>
    <col min="3078" max="3078" width="1.6640625" customWidth="1"/>
    <col min="3079" max="3079" width="11" customWidth="1"/>
    <col min="3080" max="3080" width="2.5546875" customWidth="1"/>
    <col min="3081" max="3081" width="3" customWidth="1"/>
    <col min="3082" max="3083" width="3.109375" customWidth="1"/>
    <col min="3084" max="3084" width="2.44140625" customWidth="1"/>
    <col min="3085" max="3085" width="2.88671875" customWidth="1"/>
    <col min="3086" max="3086" width="0.6640625" customWidth="1"/>
    <col min="3087" max="3087" width="5.33203125" customWidth="1"/>
    <col min="3088" max="3088" width="10.5546875" customWidth="1"/>
    <col min="3089" max="3089" width="5.109375" customWidth="1"/>
    <col min="3090" max="3090" width="7.44140625" customWidth="1"/>
    <col min="3091" max="3091" width="6.6640625" customWidth="1"/>
    <col min="3092" max="3092" width="4.33203125" customWidth="1"/>
    <col min="3093" max="3093" width="2" customWidth="1"/>
    <col min="3094" max="3095" width="2.6640625" customWidth="1"/>
    <col min="3096" max="3097" width="2.109375" customWidth="1"/>
    <col min="3098" max="3098" width="4.6640625" customWidth="1"/>
    <col min="3099" max="3099" width="1.6640625" customWidth="1"/>
    <col min="3100" max="3100" width="6.6640625" customWidth="1"/>
    <col min="3101" max="3102" width="1.88671875" customWidth="1"/>
    <col min="3103" max="3103" width="3" customWidth="1"/>
    <col min="3104" max="3104" width="4" customWidth="1"/>
    <col min="3105" max="3105" width="4.33203125" customWidth="1"/>
    <col min="3106" max="3106" width="1.109375" customWidth="1"/>
    <col min="3107" max="3108" width="4.33203125" customWidth="1"/>
    <col min="3109" max="3109" width="5" customWidth="1"/>
    <col min="3110" max="3110" width="1.33203125" customWidth="1"/>
    <col min="3330" max="3330" width="0.6640625" customWidth="1"/>
    <col min="3331" max="3331" width="3.88671875" customWidth="1"/>
    <col min="3332" max="3332" width="4" customWidth="1"/>
    <col min="3333" max="3333" width="2.44140625" customWidth="1"/>
    <col min="3334" max="3334" width="1.6640625" customWidth="1"/>
    <col min="3335" max="3335" width="11" customWidth="1"/>
    <col min="3336" max="3336" width="2.5546875" customWidth="1"/>
    <col min="3337" max="3337" width="3" customWidth="1"/>
    <col min="3338" max="3339" width="3.109375" customWidth="1"/>
    <col min="3340" max="3340" width="2.44140625" customWidth="1"/>
    <col min="3341" max="3341" width="2.88671875" customWidth="1"/>
    <col min="3342" max="3342" width="0.6640625" customWidth="1"/>
    <col min="3343" max="3343" width="5.33203125" customWidth="1"/>
    <col min="3344" max="3344" width="10.5546875" customWidth="1"/>
    <col min="3345" max="3345" width="5.109375" customWidth="1"/>
    <col min="3346" max="3346" width="7.44140625" customWidth="1"/>
    <col min="3347" max="3347" width="6.6640625" customWidth="1"/>
    <col min="3348" max="3348" width="4.33203125" customWidth="1"/>
    <col min="3349" max="3349" width="2" customWidth="1"/>
    <col min="3350" max="3351" width="2.6640625" customWidth="1"/>
    <col min="3352" max="3353" width="2.109375" customWidth="1"/>
    <col min="3354" max="3354" width="4.6640625" customWidth="1"/>
    <col min="3355" max="3355" width="1.6640625" customWidth="1"/>
    <col min="3356" max="3356" width="6.6640625" customWidth="1"/>
    <col min="3357" max="3358" width="1.88671875" customWidth="1"/>
    <col min="3359" max="3359" width="3" customWidth="1"/>
    <col min="3360" max="3360" width="4" customWidth="1"/>
    <col min="3361" max="3361" width="4.33203125" customWidth="1"/>
    <col min="3362" max="3362" width="1.109375" customWidth="1"/>
    <col min="3363" max="3364" width="4.33203125" customWidth="1"/>
    <col min="3365" max="3365" width="5" customWidth="1"/>
    <col min="3366" max="3366" width="1.33203125" customWidth="1"/>
    <col min="3586" max="3586" width="0.6640625" customWidth="1"/>
    <col min="3587" max="3587" width="3.88671875" customWidth="1"/>
    <col min="3588" max="3588" width="4" customWidth="1"/>
    <col min="3589" max="3589" width="2.44140625" customWidth="1"/>
    <col min="3590" max="3590" width="1.6640625" customWidth="1"/>
    <col min="3591" max="3591" width="11" customWidth="1"/>
    <col min="3592" max="3592" width="2.5546875" customWidth="1"/>
    <col min="3593" max="3593" width="3" customWidth="1"/>
    <col min="3594" max="3595" width="3.109375" customWidth="1"/>
    <col min="3596" max="3596" width="2.44140625" customWidth="1"/>
    <col min="3597" max="3597" width="2.88671875" customWidth="1"/>
    <col min="3598" max="3598" width="0.6640625" customWidth="1"/>
    <col min="3599" max="3599" width="5.33203125" customWidth="1"/>
    <col min="3600" max="3600" width="10.5546875" customWidth="1"/>
    <col min="3601" max="3601" width="5.109375" customWidth="1"/>
    <col min="3602" max="3602" width="7.44140625" customWidth="1"/>
    <col min="3603" max="3603" width="6.6640625" customWidth="1"/>
    <col min="3604" max="3604" width="4.33203125" customWidth="1"/>
    <col min="3605" max="3605" width="2" customWidth="1"/>
    <col min="3606" max="3607" width="2.6640625" customWidth="1"/>
    <col min="3608" max="3609" width="2.109375" customWidth="1"/>
    <col min="3610" max="3610" width="4.6640625" customWidth="1"/>
    <col min="3611" max="3611" width="1.6640625" customWidth="1"/>
    <col min="3612" max="3612" width="6.6640625" customWidth="1"/>
    <col min="3613" max="3614" width="1.88671875" customWidth="1"/>
    <col min="3615" max="3615" width="3" customWidth="1"/>
    <col min="3616" max="3616" width="4" customWidth="1"/>
    <col min="3617" max="3617" width="4.33203125" customWidth="1"/>
    <col min="3618" max="3618" width="1.109375" customWidth="1"/>
    <col min="3619" max="3620" width="4.33203125" customWidth="1"/>
    <col min="3621" max="3621" width="5" customWidth="1"/>
    <col min="3622" max="3622" width="1.33203125" customWidth="1"/>
    <col min="3842" max="3842" width="0.6640625" customWidth="1"/>
    <col min="3843" max="3843" width="3.88671875" customWidth="1"/>
    <col min="3844" max="3844" width="4" customWidth="1"/>
    <col min="3845" max="3845" width="2.44140625" customWidth="1"/>
    <col min="3846" max="3846" width="1.6640625" customWidth="1"/>
    <col min="3847" max="3847" width="11" customWidth="1"/>
    <col min="3848" max="3848" width="2.5546875" customWidth="1"/>
    <col min="3849" max="3849" width="3" customWidth="1"/>
    <col min="3850" max="3851" width="3.109375" customWidth="1"/>
    <col min="3852" max="3852" width="2.44140625" customWidth="1"/>
    <col min="3853" max="3853" width="2.88671875" customWidth="1"/>
    <col min="3854" max="3854" width="0.6640625" customWidth="1"/>
    <col min="3855" max="3855" width="5.33203125" customWidth="1"/>
    <col min="3856" max="3856" width="10.5546875" customWidth="1"/>
    <col min="3857" max="3857" width="5.109375" customWidth="1"/>
    <col min="3858" max="3858" width="7.44140625" customWidth="1"/>
    <col min="3859" max="3859" width="6.6640625" customWidth="1"/>
    <col min="3860" max="3860" width="4.33203125" customWidth="1"/>
    <col min="3861" max="3861" width="2" customWidth="1"/>
    <col min="3862" max="3863" width="2.6640625" customWidth="1"/>
    <col min="3864" max="3865" width="2.109375" customWidth="1"/>
    <col min="3866" max="3866" width="4.6640625" customWidth="1"/>
    <col min="3867" max="3867" width="1.6640625" customWidth="1"/>
    <col min="3868" max="3868" width="6.6640625" customWidth="1"/>
    <col min="3869" max="3870" width="1.88671875" customWidth="1"/>
    <col min="3871" max="3871" width="3" customWidth="1"/>
    <col min="3872" max="3872" width="4" customWidth="1"/>
    <col min="3873" max="3873" width="4.33203125" customWidth="1"/>
    <col min="3874" max="3874" width="1.109375" customWidth="1"/>
    <col min="3875" max="3876" width="4.33203125" customWidth="1"/>
    <col min="3877" max="3877" width="5" customWidth="1"/>
    <col min="3878" max="3878" width="1.33203125" customWidth="1"/>
    <col min="4098" max="4098" width="0.6640625" customWidth="1"/>
    <col min="4099" max="4099" width="3.88671875" customWidth="1"/>
    <col min="4100" max="4100" width="4" customWidth="1"/>
    <col min="4101" max="4101" width="2.44140625" customWidth="1"/>
    <col min="4102" max="4102" width="1.6640625" customWidth="1"/>
    <col min="4103" max="4103" width="11" customWidth="1"/>
    <col min="4104" max="4104" width="2.5546875" customWidth="1"/>
    <col min="4105" max="4105" width="3" customWidth="1"/>
    <col min="4106" max="4107" width="3.109375" customWidth="1"/>
    <col min="4108" max="4108" width="2.44140625" customWidth="1"/>
    <col min="4109" max="4109" width="2.88671875" customWidth="1"/>
    <col min="4110" max="4110" width="0.6640625" customWidth="1"/>
    <col min="4111" max="4111" width="5.33203125" customWidth="1"/>
    <col min="4112" max="4112" width="10.5546875" customWidth="1"/>
    <col min="4113" max="4113" width="5.109375" customWidth="1"/>
    <col min="4114" max="4114" width="7.44140625" customWidth="1"/>
    <col min="4115" max="4115" width="6.6640625" customWidth="1"/>
    <col min="4116" max="4116" width="4.33203125" customWidth="1"/>
    <col min="4117" max="4117" width="2" customWidth="1"/>
    <col min="4118" max="4119" width="2.6640625" customWidth="1"/>
    <col min="4120" max="4121" width="2.109375" customWidth="1"/>
    <col min="4122" max="4122" width="4.6640625" customWidth="1"/>
    <col min="4123" max="4123" width="1.6640625" customWidth="1"/>
    <col min="4124" max="4124" width="6.6640625" customWidth="1"/>
    <col min="4125" max="4126" width="1.88671875" customWidth="1"/>
    <col min="4127" max="4127" width="3" customWidth="1"/>
    <col min="4128" max="4128" width="4" customWidth="1"/>
    <col min="4129" max="4129" width="4.33203125" customWidth="1"/>
    <col min="4130" max="4130" width="1.109375" customWidth="1"/>
    <col min="4131" max="4132" width="4.33203125" customWidth="1"/>
    <col min="4133" max="4133" width="5" customWidth="1"/>
    <col min="4134" max="4134" width="1.33203125" customWidth="1"/>
    <col min="4354" max="4354" width="0.6640625" customWidth="1"/>
    <col min="4355" max="4355" width="3.88671875" customWidth="1"/>
    <col min="4356" max="4356" width="4" customWidth="1"/>
    <col min="4357" max="4357" width="2.44140625" customWidth="1"/>
    <col min="4358" max="4358" width="1.6640625" customWidth="1"/>
    <col min="4359" max="4359" width="11" customWidth="1"/>
    <col min="4360" max="4360" width="2.5546875" customWidth="1"/>
    <col min="4361" max="4361" width="3" customWidth="1"/>
    <col min="4362" max="4363" width="3.109375" customWidth="1"/>
    <col min="4364" max="4364" width="2.44140625" customWidth="1"/>
    <col min="4365" max="4365" width="2.88671875" customWidth="1"/>
    <col min="4366" max="4366" width="0.6640625" customWidth="1"/>
    <col min="4367" max="4367" width="5.33203125" customWidth="1"/>
    <col min="4368" max="4368" width="10.5546875" customWidth="1"/>
    <col min="4369" max="4369" width="5.109375" customWidth="1"/>
    <col min="4370" max="4370" width="7.44140625" customWidth="1"/>
    <col min="4371" max="4371" width="6.6640625" customWidth="1"/>
    <col min="4372" max="4372" width="4.33203125" customWidth="1"/>
    <col min="4373" max="4373" width="2" customWidth="1"/>
    <col min="4374" max="4375" width="2.6640625" customWidth="1"/>
    <col min="4376" max="4377" width="2.109375" customWidth="1"/>
    <col min="4378" max="4378" width="4.6640625" customWidth="1"/>
    <col min="4379" max="4379" width="1.6640625" customWidth="1"/>
    <col min="4380" max="4380" width="6.6640625" customWidth="1"/>
    <col min="4381" max="4382" width="1.88671875" customWidth="1"/>
    <col min="4383" max="4383" width="3" customWidth="1"/>
    <col min="4384" max="4384" width="4" customWidth="1"/>
    <col min="4385" max="4385" width="4.33203125" customWidth="1"/>
    <col min="4386" max="4386" width="1.109375" customWidth="1"/>
    <col min="4387" max="4388" width="4.33203125" customWidth="1"/>
    <col min="4389" max="4389" width="5" customWidth="1"/>
    <col min="4390" max="4390" width="1.33203125" customWidth="1"/>
    <col min="4610" max="4610" width="0.6640625" customWidth="1"/>
    <col min="4611" max="4611" width="3.88671875" customWidth="1"/>
    <col min="4612" max="4612" width="4" customWidth="1"/>
    <col min="4613" max="4613" width="2.44140625" customWidth="1"/>
    <col min="4614" max="4614" width="1.6640625" customWidth="1"/>
    <col min="4615" max="4615" width="11" customWidth="1"/>
    <col min="4616" max="4616" width="2.5546875" customWidth="1"/>
    <col min="4617" max="4617" width="3" customWidth="1"/>
    <col min="4618" max="4619" width="3.109375" customWidth="1"/>
    <col min="4620" max="4620" width="2.44140625" customWidth="1"/>
    <col min="4621" max="4621" width="2.88671875" customWidth="1"/>
    <col min="4622" max="4622" width="0.6640625" customWidth="1"/>
    <col min="4623" max="4623" width="5.33203125" customWidth="1"/>
    <col min="4624" max="4624" width="10.5546875" customWidth="1"/>
    <col min="4625" max="4625" width="5.109375" customWidth="1"/>
    <col min="4626" max="4626" width="7.44140625" customWidth="1"/>
    <col min="4627" max="4627" width="6.6640625" customWidth="1"/>
    <col min="4628" max="4628" width="4.33203125" customWidth="1"/>
    <col min="4629" max="4629" width="2" customWidth="1"/>
    <col min="4630" max="4631" width="2.6640625" customWidth="1"/>
    <col min="4632" max="4633" width="2.109375" customWidth="1"/>
    <col min="4634" max="4634" width="4.6640625" customWidth="1"/>
    <col min="4635" max="4635" width="1.6640625" customWidth="1"/>
    <col min="4636" max="4636" width="6.6640625" customWidth="1"/>
    <col min="4637" max="4638" width="1.88671875" customWidth="1"/>
    <col min="4639" max="4639" width="3" customWidth="1"/>
    <col min="4640" max="4640" width="4" customWidth="1"/>
    <col min="4641" max="4641" width="4.33203125" customWidth="1"/>
    <col min="4642" max="4642" width="1.109375" customWidth="1"/>
    <col min="4643" max="4644" width="4.33203125" customWidth="1"/>
    <col min="4645" max="4645" width="5" customWidth="1"/>
    <col min="4646" max="4646" width="1.33203125" customWidth="1"/>
    <col min="4866" max="4866" width="0.6640625" customWidth="1"/>
    <col min="4867" max="4867" width="3.88671875" customWidth="1"/>
    <col min="4868" max="4868" width="4" customWidth="1"/>
    <col min="4869" max="4869" width="2.44140625" customWidth="1"/>
    <col min="4870" max="4870" width="1.6640625" customWidth="1"/>
    <col min="4871" max="4871" width="11" customWidth="1"/>
    <col min="4872" max="4872" width="2.5546875" customWidth="1"/>
    <col min="4873" max="4873" width="3" customWidth="1"/>
    <col min="4874" max="4875" width="3.109375" customWidth="1"/>
    <col min="4876" max="4876" width="2.44140625" customWidth="1"/>
    <col min="4877" max="4877" width="2.88671875" customWidth="1"/>
    <col min="4878" max="4878" width="0.6640625" customWidth="1"/>
    <col min="4879" max="4879" width="5.33203125" customWidth="1"/>
    <col min="4880" max="4880" width="10.5546875" customWidth="1"/>
    <col min="4881" max="4881" width="5.109375" customWidth="1"/>
    <col min="4882" max="4882" width="7.44140625" customWidth="1"/>
    <col min="4883" max="4883" width="6.6640625" customWidth="1"/>
    <col min="4884" max="4884" width="4.33203125" customWidth="1"/>
    <col min="4885" max="4885" width="2" customWidth="1"/>
    <col min="4886" max="4887" width="2.6640625" customWidth="1"/>
    <col min="4888" max="4889" width="2.109375" customWidth="1"/>
    <col min="4890" max="4890" width="4.6640625" customWidth="1"/>
    <col min="4891" max="4891" width="1.6640625" customWidth="1"/>
    <col min="4892" max="4892" width="6.6640625" customWidth="1"/>
    <col min="4893" max="4894" width="1.88671875" customWidth="1"/>
    <col min="4895" max="4895" width="3" customWidth="1"/>
    <col min="4896" max="4896" width="4" customWidth="1"/>
    <col min="4897" max="4897" width="4.33203125" customWidth="1"/>
    <col min="4898" max="4898" width="1.109375" customWidth="1"/>
    <col min="4899" max="4900" width="4.33203125" customWidth="1"/>
    <col min="4901" max="4901" width="5" customWidth="1"/>
    <col min="4902" max="4902" width="1.33203125" customWidth="1"/>
    <col min="5122" max="5122" width="0.6640625" customWidth="1"/>
    <col min="5123" max="5123" width="3.88671875" customWidth="1"/>
    <col min="5124" max="5124" width="4" customWidth="1"/>
    <col min="5125" max="5125" width="2.44140625" customWidth="1"/>
    <col min="5126" max="5126" width="1.6640625" customWidth="1"/>
    <col min="5127" max="5127" width="11" customWidth="1"/>
    <col min="5128" max="5128" width="2.5546875" customWidth="1"/>
    <col min="5129" max="5129" width="3" customWidth="1"/>
    <col min="5130" max="5131" width="3.109375" customWidth="1"/>
    <col min="5132" max="5132" width="2.44140625" customWidth="1"/>
    <col min="5133" max="5133" width="2.88671875" customWidth="1"/>
    <col min="5134" max="5134" width="0.6640625" customWidth="1"/>
    <col min="5135" max="5135" width="5.33203125" customWidth="1"/>
    <col min="5136" max="5136" width="10.5546875" customWidth="1"/>
    <col min="5137" max="5137" width="5.109375" customWidth="1"/>
    <col min="5138" max="5138" width="7.44140625" customWidth="1"/>
    <col min="5139" max="5139" width="6.6640625" customWidth="1"/>
    <col min="5140" max="5140" width="4.33203125" customWidth="1"/>
    <col min="5141" max="5141" width="2" customWidth="1"/>
    <col min="5142" max="5143" width="2.6640625" customWidth="1"/>
    <col min="5144" max="5145" width="2.109375" customWidth="1"/>
    <col min="5146" max="5146" width="4.6640625" customWidth="1"/>
    <col min="5147" max="5147" width="1.6640625" customWidth="1"/>
    <col min="5148" max="5148" width="6.6640625" customWidth="1"/>
    <col min="5149" max="5150" width="1.88671875" customWidth="1"/>
    <col min="5151" max="5151" width="3" customWidth="1"/>
    <col min="5152" max="5152" width="4" customWidth="1"/>
    <col min="5153" max="5153" width="4.33203125" customWidth="1"/>
    <col min="5154" max="5154" width="1.109375" customWidth="1"/>
    <col min="5155" max="5156" width="4.33203125" customWidth="1"/>
    <col min="5157" max="5157" width="5" customWidth="1"/>
    <col min="5158" max="5158" width="1.33203125" customWidth="1"/>
    <col min="5378" max="5378" width="0.6640625" customWidth="1"/>
    <col min="5379" max="5379" width="3.88671875" customWidth="1"/>
    <col min="5380" max="5380" width="4" customWidth="1"/>
    <col min="5381" max="5381" width="2.44140625" customWidth="1"/>
    <col min="5382" max="5382" width="1.6640625" customWidth="1"/>
    <col min="5383" max="5383" width="11" customWidth="1"/>
    <col min="5384" max="5384" width="2.5546875" customWidth="1"/>
    <col min="5385" max="5385" width="3" customWidth="1"/>
    <col min="5386" max="5387" width="3.109375" customWidth="1"/>
    <col min="5388" max="5388" width="2.44140625" customWidth="1"/>
    <col min="5389" max="5389" width="2.88671875" customWidth="1"/>
    <col min="5390" max="5390" width="0.6640625" customWidth="1"/>
    <col min="5391" max="5391" width="5.33203125" customWidth="1"/>
    <col min="5392" max="5392" width="10.5546875" customWidth="1"/>
    <col min="5393" max="5393" width="5.109375" customWidth="1"/>
    <col min="5394" max="5394" width="7.44140625" customWidth="1"/>
    <col min="5395" max="5395" width="6.6640625" customWidth="1"/>
    <col min="5396" max="5396" width="4.33203125" customWidth="1"/>
    <col min="5397" max="5397" width="2" customWidth="1"/>
    <col min="5398" max="5399" width="2.6640625" customWidth="1"/>
    <col min="5400" max="5401" width="2.109375" customWidth="1"/>
    <col min="5402" max="5402" width="4.6640625" customWidth="1"/>
    <col min="5403" max="5403" width="1.6640625" customWidth="1"/>
    <col min="5404" max="5404" width="6.6640625" customWidth="1"/>
    <col min="5405" max="5406" width="1.88671875" customWidth="1"/>
    <col min="5407" max="5407" width="3" customWidth="1"/>
    <col min="5408" max="5408" width="4" customWidth="1"/>
    <col min="5409" max="5409" width="4.33203125" customWidth="1"/>
    <col min="5410" max="5410" width="1.109375" customWidth="1"/>
    <col min="5411" max="5412" width="4.33203125" customWidth="1"/>
    <col min="5413" max="5413" width="5" customWidth="1"/>
    <col min="5414" max="5414" width="1.33203125" customWidth="1"/>
    <col min="5634" max="5634" width="0.6640625" customWidth="1"/>
    <col min="5635" max="5635" width="3.88671875" customWidth="1"/>
    <col min="5636" max="5636" width="4" customWidth="1"/>
    <col min="5637" max="5637" width="2.44140625" customWidth="1"/>
    <col min="5638" max="5638" width="1.6640625" customWidth="1"/>
    <col min="5639" max="5639" width="11" customWidth="1"/>
    <col min="5640" max="5640" width="2.5546875" customWidth="1"/>
    <col min="5641" max="5641" width="3" customWidth="1"/>
    <col min="5642" max="5643" width="3.109375" customWidth="1"/>
    <col min="5644" max="5644" width="2.44140625" customWidth="1"/>
    <col min="5645" max="5645" width="2.88671875" customWidth="1"/>
    <col min="5646" max="5646" width="0.6640625" customWidth="1"/>
    <col min="5647" max="5647" width="5.33203125" customWidth="1"/>
    <col min="5648" max="5648" width="10.5546875" customWidth="1"/>
    <col min="5649" max="5649" width="5.109375" customWidth="1"/>
    <col min="5650" max="5650" width="7.44140625" customWidth="1"/>
    <col min="5651" max="5651" width="6.6640625" customWidth="1"/>
    <col min="5652" max="5652" width="4.33203125" customWidth="1"/>
    <col min="5653" max="5653" width="2" customWidth="1"/>
    <col min="5654" max="5655" width="2.6640625" customWidth="1"/>
    <col min="5656" max="5657" width="2.109375" customWidth="1"/>
    <col min="5658" max="5658" width="4.6640625" customWidth="1"/>
    <col min="5659" max="5659" width="1.6640625" customWidth="1"/>
    <col min="5660" max="5660" width="6.6640625" customWidth="1"/>
    <col min="5661" max="5662" width="1.88671875" customWidth="1"/>
    <col min="5663" max="5663" width="3" customWidth="1"/>
    <col min="5664" max="5664" width="4" customWidth="1"/>
    <col min="5665" max="5665" width="4.33203125" customWidth="1"/>
    <col min="5666" max="5666" width="1.109375" customWidth="1"/>
    <col min="5667" max="5668" width="4.33203125" customWidth="1"/>
    <col min="5669" max="5669" width="5" customWidth="1"/>
    <col min="5670" max="5670" width="1.33203125" customWidth="1"/>
    <col min="5890" max="5890" width="0.6640625" customWidth="1"/>
    <col min="5891" max="5891" width="3.88671875" customWidth="1"/>
    <col min="5892" max="5892" width="4" customWidth="1"/>
    <col min="5893" max="5893" width="2.44140625" customWidth="1"/>
    <col min="5894" max="5894" width="1.6640625" customWidth="1"/>
    <col min="5895" max="5895" width="11" customWidth="1"/>
    <col min="5896" max="5896" width="2.5546875" customWidth="1"/>
    <col min="5897" max="5897" width="3" customWidth="1"/>
    <col min="5898" max="5899" width="3.109375" customWidth="1"/>
    <col min="5900" max="5900" width="2.44140625" customWidth="1"/>
    <col min="5901" max="5901" width="2.88671875" customWidth="1"/>
    <col min="5902" max="5902" width="0.6640625" customWidth="1"/>
    <col min="5903" max="5903" width="5.33203125" customWidth="1"/>
    <col min="5904" max="5904" width="10.5546875" customWidth="1"/>
    <col min="5905" max="5905" width="5.109375" customWidth="1"/>
    <col min="5906" max="5906" width="7.44140625" customWidth="1"/>
    <col min="5907" max="5907" width="6.6640625" customWidth="1"/>
    <col min="5908" max="5908" width="4.33203125" customWidth="1"/>
    <col min="5909" max="5909" width="2" customWidth="1"/>
    <col min="5910" max="5911" width="2.6640625" customWidth="1"/>
    <col min="5912" max="5913" width="2.109375" customWidth="1"/>
    <col min="5914" max="5914" width="4.6640625" customWidth="1"/>
    <col min="5915" max="5915" width="1.6640625" customWidth="1"/>
    <col min="5916" max="5916" width="6.6640625" customWidth="1"/>
    <col min="5917" max="5918" width="1.88671875" customWidth="1"/>
    <col min="5919" max="5919" width="3" customWidth="1"/>
    <col min="5920" max="5920" width="4" customWidth="1"/>
    <col min="5921" max="5921" width="4.33203125" customWidth="1"/>
    <col min="5922" max="5922" width="1.109375" customWidth="1"/>
    <col min="5923" max="5924" width="4.33203125" customWidth="1"/>
    <col min="5925" max="5925" width="5" customWidth="1"/>
    <col min="5926" max="5926" width="1.33203125" customWidth="1"/>
    <col min="6146" max="6146" width="0.6640625" customWidth="1"/>
    <col min="6147" max="6147" width="3.88671875" customWidth="1"/>
    <col min="6148" max="6148" width="4" customWidth="1"/>
    <col min="6149" max="6149" width="2.44140625" customWidth="1"/>
    <col min="6150" max="6150" width="1.6640625" customWidth="1"/>
    <col min="6151" max="6151" width="11" customWidth="1"/>
    <col min="6152" max="6152" width="2.5546875" customWidth="1"/>
    <col min="6153" max="6153" width="3" customWidth="1"/>
    <col min="6154" max="6155" width="3.109375" customWidth="1"/>
    <col min="6156" max="6156" width="2.44140625" customWidth="1"/>
    <col min="6157" max="6157" width="2.88671875" customWidth="1"/>
    <col min="6158" max="6158" width="0.6640625" customWidth="1"/>
    <col min="6159" max="6159" width="5.33203125" customWidth="1"/>
    <col min="6160" max="6160" width="10.5546875" customWidth="1"/>
    <col min="6161" max="6161" width="5.109375" customWidth="1"/>
    <col min="6162" max="6162" width="7.44140625" customWidth="1"/>
    <col min="6163" max="6163" width="6.6640625" customWidth="1"/>
    <col min="6164" max="6164" width="4.33203125" customWidth="1"/>
    <col min="6165" max="6165" width="2" customWidth="1"/>
    <col min="6166" max="6167" width="2.6640625" customWidth="1"/>
    <col min="6168" max="6169" width="2.109375" customWidth="1"/>
    <col min="6170" max="6170" width="4.6640625" customWidth="1"/>
    <col min="6171" max="6171" width="1.6640625" customWidth="1"/>
    <col min="6172" max="6172" width="6.6640625" customWidth="1"/>
    <col min="6173" max="6174" width="1.88671875" customWidth="1"/>
    <col min="6175" max="6175" width="3" customWidth="1"/>
    <col min="6176" max="6176" width="4" customWidth="1"/>
    <col min="6177" max="6177" width="4.33203125" customWidth="1"/>
    <col min="6178" max="6178" width="1.109375" customWidth="1"/>
    <col min="6179" max="6180" width="4.33203125" customWidth="1"/>
    <col min="6181" max="6181" width="5" customWidth="1"/>
    <col min="6182" max="6182" width="1.33203125" customWidth="1"/>
    <col min="6402" max="6402" width="0.6640625" customWidth="1"/>
    <col min="6403" max="6403" width="3.88671875" customWidth="1"/>
    <col min="6404" max="6404" width="4" customWidth="1"/>
    <col min="6405" max="6405" width="2.44140625" customWidth="1"/>
    <col min="6406" max="6406" width="1.6640625" customWidth="1"/>
    <col min="6407" max="6407" width="11" customWidth="1"/>
    <col min="6408" max="6408" width="2.5546875" customWidth="1"/>
    <col min="6409" max="6409" width="3" customWidth="1"/>
    <col min="6410" max="6411" width="3.109375" customWidth="1"/>
    <col min="6412" max="6412" width="2.44140625" customWidth="1"/>
    <col min="6413" max="6413" width="2.88671875" customWidth="1"/>
    <col min="6414" max="6414" width="0.6640625" customWidth="1"/>
    <col min="6415" max="6415" width="5.33203125" customWidth="1"/>
    <col min="6416" max="6416" width="10.5546875" customWidth="1"/>
    <col min="6417" max="6417" width="5.109375" customWidth="1"/>
    <col min="6418" max="6418" width="7.44140625" customWidth="1"/>
    <col min="6419" max="6419" width="6.6640625" customWidth="1"/>
    <col min="6420" max="6420" width="4.33203125" customWidth="1"/>
    <col min="6421" max="6421" width="2" customWidth="1"/>
    <col min="6422" max="6423" width="2.6640625" customWidth="1"/>
    <col min="6424" max="6425" width="2.109375" customWidth="1"/>
    <col min="6426" max="6426" width="4.6640625" customWidth="1"/>
    <col min="6427" max="6427" width="1.6640625" customWidth="1"/>
    <col min="6428" max="6428" width="6.6640625" customWidth="1"/>
    <col min="6429" max="6430" width="1.88671875" customWidth="1"/>
    <col min="6431" max="6431" width="3" customWidth="1"/>
    <col min="6432" max="6432" width="4" customWidth="1"/>
    <col min="6433" max="6433" width="4.33203125" customWidth="1"/>
    <col min="6434" max="6434" width="1.109375" customWidth="1"/>
    <col min="6435" max="6436" width="4.33203125" customWidth="1"/>
    <col min="6437" max="6437" width="5" customWidth="1"/>
    <col min="6438" max="6438" width="1.33203125" customWidth="1"/>
    <col min="6658" max="6658" width="0.6640625" customWidth="1"/>
    <col min="6659" max="6659" width="3.88671875" customWidth="1"/>
    <col min="6660" max="6660" width="4" customWidth="1"/>
    <col min="6661" max="6661" width="2.44140625" customWidth="1"/>
    <col min="6662" max="6662" width="1.6640625" customWidth="1"/>
    <col min="6663" max="6663" width="11" customWidth="1"/>
    <col min="6664" max="6664" width="2.5546875" customWidth="1"/>
    <col min="6665" max="6665" width="3" customWidth="1"/>
    <col min="6666" max="6667" width="3.109375" customWidth="1"/>
    <col min="6668" max="6668" width="2.44140625" customWidth="1"/>
    <col min="6669" max="6669" width="2.88671875" customWidth="1"/>
    <col min="6670" max="6670" width="0.6640625" customWidth="1"/>
    <col min="6671" max="6671" width="5.33203125" customWidth="1"/>
    <col min="6672" max="6672" width="10.5546875" customWidth="1"/>
    <col min="6673" max="6673" width="5.109375" customWidth="1"/>
    <col min="6674" max="6674" width="7.44140625" customWidth="1"/>
    <col min="6675" max="6675" width="6.6640625" customWidth="1"/>
    <col min="6676" max="6676" width="4.33203125" customWidth="1"/>
    <col min="6677" max="6677" width="2" customWidth="1"/>
    <col min="6678" max="6679" width="2.6640625" customWidth="1"/>
    <col min="6680" max="6681" width="2.109375" customWidth="1"/>
    <col min="6682" max="6682" width="4.6640625" customWidth="1"/>
    <col min="6683" max="6683" width="1.6640625" customWidth="1"/>
    <col min="6684" max="6684" width="6.6640625" customWidth="1"/>
    <col min="6685" max="6686" width="1.88671875" customWidth="1"/>
    <col min="6687" max="6687" width="3" customWidth="1"/>
    <col min="6688" max="6688" width="4" customWidth="1"/>
    <col min="6689" max="6689" width="4.33203125" customWidth="1"/>
    <col min="6690" max="6690" width="1.109375" customWidth="1"/>
    <col min="6691" max="6692" width="4.33203125" customWidth="1"/>
    <col min="6693" max="6693" width="5" customWidth="1"/>
    <col min="6694" max="6694" width="1.33203125" customWidth="1"/>
    <col min="6914" max="6914" width="0.6640625" customWidth="1"/>
    <col min="6915" max="6915" width="3.88671875" customWidth="1"/>
    <col min="6916" max="6916" width="4" customWidth="1"/>
    <col min="6917" max="6917" width="2.44140625" customWidth="1"/>
    <col min="6918" max="6918" width="1.6640625" customWidth="1"/>
    <col min="6919" max="6919" width="11" customWidth="1"/>
    <col min="6920" max="6920" width="2.5546875" customWidth="1"/>
    <col min="6921" max="6921" width="3" customWidth="1"/>
    <col min="6922" max="6923" width="3.109375" customWidth="1"/>
    <col min="6924" max="6924" width="2.44140625" customWidth="1"/>
    <col min="6925" max="6925" width="2.88671875" customWidth="1"/>
    <col min="6926" max="6926" width="0.6640625" customWidth="1"/>
    <col min="6927" max="6927" width="5.33203125" customWidth="1"/>
    <col min="6928" max="6928" width="10.5546875" customWidth="1"/>
    <col min="6929" max="6929" width="5.109375" customWidth="1"/>
    <col min="6930" max="6930" width="7.44140625" customWidth="1"/>
    <col min="6931" max="6931" width="6.6640625" customWidth="1"/>
    <col min="6932" max="6932" width="4.33203125" customWidth="1"/>
    <col min="6933" max="6933" width="2" customWidth="1"/>
    <col min="6934" max="6935" width="2.6640625" customWidth="1"/>
    <col min="6936" max="6937" width="2.109375" customWidth="1"/>
    <col min="6938" max="6938" width="4.6640625" customWidth="1"/>
    <col min="6939" max="6939" width="1.6640625" customWidth="1"/>
    <col min="6940" max="6940" width="6.6640625" customWidth="1"/>
    <col min="6941" max="6942" width="1.88671875" customWidth="1"/>
    <col min="6943" max="6943" width="3" customWidth="1"/>
    <col min="6944" max="6944" width="4" customWidth="1"/>
    <col min="6945" max="6945" width="4.33203125" customWidth="1"/>
    <col min="6946" max="6946" width="1.109375" customWidth="1"/>
    <col min="6947" max="6948" width="4.33203125" customWidth="1"/>
    <col min="6949" max="6949" width="5" customWidth="1"/>
    <col min="6950" max="6950" width="1.33203125" customWidth="1"/>
    <col min="7170" max="7170" width="0.6640625" customWidth="1"/>
    <col min="7171" max="7171" width="3.88671875" customWidth="1"/>
    <col min="7172" max="7172" width="4" customWidth="1"/>
    <col min="7173" max="7173" width="2.44140625" customWidth="1"/>
    <col min="7174" max="7174" width="1.6640625" customWidth="1"/>
    <col min="7175" max="7175" width="11" customWidth="1"/>
    <col min="7176" max="7176" width="2.5546875" customWidth="1"/>
    <col min="7177" max="7177" width="3" customWidth="1"/>
    <col min="7178" max="7179" width="3.109375" customWidth="1"/>
    <col min="7180" max="7180" width="2.44140625" customWidth="1"/>
    <col min="7181" max="7181" width="2.88671875" customWidth="1"/>
    <col min="7182" max="7182" width="0.6640625" customWidth="1"/>
    <col min="7183" max="7183" width="5.33203125" customWidth="1"/>
    <col min="7184" max="7184" width="10.5546875" customWidth="1"/>
    <col min="7185" max="7185" width="5.109375" customWidth="1"/>
    <col min="7186" max="7186" width="7.44140625" customWidth="1"/>
    <col min="7187" max="7187" width="6.6640625" customWidth="1"/>
    <col min="7188" max="7188" width="4.33203125" customWidth="1"/>
    <col min="7189" max="7189" width="2" customWidth="1"/>
    <col min="7190" max="7191" width="2.6640625" customWidth="1"/>
    <col min="7192" max="7193" width="2.109375" customWidth="1"/>
    <col min="7194" max="7194" width="4.6640625" customWidth="1"/>
    <col min="7195" max="7195" width="1.6640625" customWidth="1"/>
    <col min="7196" max="7196" width="6.6640625" customWidth="1"/>
    <col min="7197" max="7198" width="1.88671875" customWidth="1"/>
    <col min="7199" max="7199" width="3" customWidth="1"/>
    <col min="7200" max="7200" width="4" customWidth="1"/>
    <col min="7201" max="7201" width="4.33203125" customWidth="1"/>
    <col min="7202" max="7202" width="1.109375" customWidth="1"/>
    <col min="7203" max="7204" width="4.33203125" customWidth="1"/>
    <col min="7205" max="7205" width="5" customWidth="1"/>
    <col min="7206" max="7206" width="1.33203125" customWidth="1"/>
    <col min="7426" max="7426" width="0.6640625" customWidth="1"/>
    <col min="7427" max="7427" width="3.88671875" customWidth="1"/>
    <col min="7428" max="7428" width="4" customWidth="1"/>
    <col min="7429" max="7429" width="2.44140625" customWidth="1"/>
    <col min="7430" max="7430" width="1.6640625" customWidth="1"/>
    <col min="7431" max="7431" width="11" customWidth="1"/>
    <col min="7432" max="7432" width="2.5546875" customWidth="1"/>
    <col min="7433" max="7433" width="3" customWidth="1"/>
    <col min="7434" max="7435" width="3.109375" customWidth="1"/>
    <col min="7436" max="7436" width="2.44140625" customWidth="1"/>
    <col min="7437" max="7437" width="2.88671875" customWidth="1"/>
    <col min="7438" max="7438" width="0.6640625" customWidth="1"/>
    <col min="7439" max="7439" width="5.33203125" customWidth="1"/>
    <col min="7440" max="7440" width="10.5546875" customWidth="1"/>
    <col min="7441" max="7441" width="5.109375" customWidth="1"/>
    <col min="7442" max="7442" width="7.44140625" customWidth="1"/>
    <col min="7443" max="7443" width="6.6640625" customWidth="1"/>
    <col min="7444" max="7444" width="4.33203125" customWidth="1"/>
    <col min="7445" max="7445" width="2" customWidth="1"/>
    <col min="7446" max="7447" width="2.6640625" customWidth="1"/>
    <col min="7448" max="7449" width="2.109375" customWidth="1"/>
    <col min="7450" max="7450" width="4.6640625" customWidth="1"/>
    <col min="7451" max="7451" width="1.6640625" customWidth="1"/>
    <col min="7452" max="7452" width="6.6640625" customWidth="1"/>
    <col min="7453" max="7454" width="1.88671875" customWidth="1"/>
    <col min="7455" max="7455" width="3" customWidth="1"/>
    <col min="7456" max="7456" width="4" customWidth="1"/>
    <col min="7457" max="7457" width="4.33203125" customWidth="1"/>
    <col min="7458" max="7458" width="1.109375" customWidth="1"/>
    <col min="7459" max="7460" width="4.33203125" customWidth="1"/>
    <col min="7461" max="7461" width="5" customWidth="1"/>
    <col min="7462" max="7462" width="1.33203125" customWidth="1"/>
    <col min="7682" max="7682" width="0.6640625" customWidth="1"/>
    <col min="7683" max="7683" width="3.88671875" customWidth="1"/>
    <col min="7684" max="7684" width="4" customWidth="1"/>
    <col min="7685" max="7685" width="2.44140625" customWidth="1"/>
    <col min="7686" max="7686" width="1.6640625" customWidth="1"/>
    <col min="7687" max="7687" width="11" customWidth="1"/>
    <col min="7688" max="7688" width="2.5546875" customWidth="1"/>
    <col min="7689" max="7689" width="3" customWidth="1"/>
    <col min="7690" max="7691" width="3.109375" customWidth="1"/>
    <col min="7692" max="7692" width="2.44140625" customWidth="1"/>
    <col min="7693" max="7693" width="2.88671875" customWidth="1"/>
    <col min="7694" max="7694" width="0.6640625" customWidth="1"/>
    <col min="7695" max="7695" width="5.33203125" customWidth="1"/>
    <col min="7696" max="7696" width="10.5546875" customWidth="1"/>
    <col min="7697" max="7697" width="5.109375" customWidth="1"/>
    <col min="7698" max="7698" width="7.44140625" customWidth="1"/>
    <col min="7699" max="7699" width="6.6640625" customWidth="1"/>
    <col min="7700" max="7700" width="4.33203125" customWidth="1"/>
    <col min="7701" max="7701" width="2" customWidth="1"/>
    <col min="7702" max="7703" width="2.6640625" customWidth="1"/>
    <col min="7704" max="7705" width="2.109375" customWidth="1"/>
    <col min="7706" max="7706" width="4.6640625" customWidth="1"/>
    <col min="7707" max="7707" width="1.6640625" customWidth="1"/>
    <col min="7708" max="7708" width="6.6640625" customWidth="1"/>
    <col min="7709" max="7710" width="1.88671875" customWidth="1"/>
    <col min="7711" max="7711" width="3" customWidth="1"/>
    <col min="7712" max="7712" width="4" customWidth="1"/>
    <col min="7713" max="7713" width="4.33203125" customWidth="1"/>
    <col min="7714" max="7714" width="1.109375" customWidth="1"/>
    <col min="7715" max="7716" width="4.33203125" customWidth="1"/>
    <col min="7717" max="7717" width="5" customWidth="1"/>
    <col min="7718" max="7718" width="1.33203125" customWidth="1"/>
    <col min="7938" max="7938" width="0.6640625" customWidth="1"/>
    <col min="7939" max="7939" width="3.88671875" customWidth="1"/>
    <col min="7940" max="7940" width="4" customWidth="1"/>
    <col min="7941" max="7941" width="2.44140625" customWidth="1"/>
    <col min="7942" max="7942" width="1.6640625" customWidth="1"/>
    <col min="7943" max="7943" width="11" customWidth="1"/>
    <col min="7944" max="7944" width="2.5546875" customWidth="1"/>
    <col min="7945" max="7945" width="3" customWidth="1"/>
    <col min="7946" max="7947" width="3.109375" customWidth="1"/>
    <col min="7948" max="7948" width="2.44140625" customWidth="1"/>
    <col min="7949" max="7949" width="2.88671875" customWidth="1"/>
    <col min="7950" max="7950" width="0.6640625" customWidth="1"/>
    <col min="7951" max="7951" width="5.33203125" customWidth="1"/>
    <col min="7952" max="7952" width="10.5546875" customWidth="1"/>
    <col min="7953" max="7953" width="5.109375" customWidth="1"/>
    <col min="7954" max="7954" width="7.44140625" customWidth="1"/>
    <col min="7955" max="7955" width="6.6640625" customWidth="1"/>
    <col min="7956" max="7956" width="4.33203125" customWidth="1"/>
    <col min="7957" max="7957" width="2" customWidth="1"/>
    <col min="7958" max="7959" width="2.6640625" customWidth="1"/>
    <col min="7960" max="7961" width="2.109375" customWidth="1"/>
    <col min="7962" max="7962" width="4.6640625" customWidth="1"/>
    <col min="7963" max="7963" width="1.6640625" customWidth="1"/>
    <col min="7964" max="7964" width="6.6640625" customWidth="1"/>
    <col min="7965" max="7966" width="1.88671875" customWidth="1"/>
    <col min="7967" max="7967" width="3" customWidth="1"/>
    <col min="7968" max="7968" width="4" customWidth="1"/>
    <col min="7969" max="7969" width="4.33203125" customWidth="1"/>
    <col min="7970" max="7970" width="1.109375" customWidth="1"/>
    <col min="7971" max="7972" width="4.33203125" customWidth="1"/>
    <col min="7973" max="7973" width="5" customWidth="1"/>
    <col min="7974" max="7974" width="1.33203125" customWidth="1"/>
    <col min="8194" max="8194" width="0.6640625" customWidth="1"/>
    <col min="8195" max="8195" width="3.88671875" customWidth="1"/>
    <col min="8196" max="8196" width="4" customWidth="1"/>
    <col min="8197" max="8197" width="2.44140625" customWidth="1"/>
    <col min="8198" max="8198" width="1.6640625" customWidth="1"/>
    <col min="8199" max="8199" width="11" customWidth="1"/>
    <col min="8200" max="8200" width="2.5546875" customWidth="1"/>
    <col min="8201" max="8201" width="3" customWidth="1"/>
    <col min="8202" max="8203" width="3.109375" customWidth="1"/>
    <col min="8204" max="8204" width="2.44140625" customWidth="1"/>
    <col min="8205" max="8205" width="2.88671875" customWidth="1"/>
    <col min="8206" max="8206" width="0.6640625" customWidth="1"/>
    <col min="8207" max="8207" width="5.33203125" customWidth="1"/>
    <col min="8208" max="8208" width="10.5546875" customWidth="1"/>
    <col min="8209" max="8209" width="5.109375" customWidth="1"/>
    <col min="8210" max="8210" width="7.44140625" customWidth="1"/>
    <col min="8211" max="8211" width="6.6640625" customWidth="1"/>
    <col min="8212" max="8212" width="4.33203125" customWidth="1"/>
    <col min="8213" max="8213" width="2" customWidth="1"/>
    <col min="8214" max="8215" width="2.6640625" customWidth="1"/>
    <col min="8216" max="8217" width="2.109375" customWidth="1"/>
    <col min="8218" max="8218" width="4.6640625" customWidth="1"/>
    <col min="8219" max="8219" width="1.6640625" customWidth="1"/>
    <col min="8220" max="8220" width="6.6640625" customWidth="1"/>
    <col min="8221" max="8222" width="1.88671875" customWidth="1"/>
    <col min="8223" max="8223" width="3" customWidth="1"/>
    <col min="8224" max="8224" width="4" customWidth="1"/>
    <col min="8225" max="8225" width="4.33203125" customWidth="1"/>
    <col min="8226" max="8226" width="1.109375" customWidth="1"/>
    <col min="8227" max="8228" width="4.33203125" customWidth="1"/>
    <col min="8229" max="8229" width="5" customWidth="1"/>
    <col min="8230" max="8230" width="1.33203125" customWidth="1"/>
    <col min="8450" max="8450" width="0.6640625" customWidth="1"/>
    <col min="8451" max="8451" width="3.88671875" customWidth="1"/>
    <col min="8452" max="8452" width="4" customWidth="1"/>
    <col min="8453" max="8453" width="2.44140625" customWidth="1"/>
    <col min="8454" max="8454" width="1.6640625" customWidth="1"/>
    <col min="8455" max="8455" width="11" customWidth="1"/>
    <col min="8456" max="8456" width="2.5546875" customWidth="1"/>
    <col min="8457" max="8457" width="3" customWidth="1"/>
    <col min="8458" max="8459" width="3.109375" customWidth="1"/>
    <col min="8460" max="8460" width="2.44140625" customWidth="1"/>
    <col min="8461" max="8461" width="2.88671875" customWidth="1"/>
    <col min="8462" max="8462" width="0.6640625" customWidth="1"/>
    <col min="8463" max="8463" width="5.33203125" customWidth="1"/>
    <col min="8464" max="8464" width="10.5546875" customWidth="1"/>
    <col min="8465" max="8465" width="5.109375" customWidth="1"/>
    <col min="8466" max="8466" width="7.44140625" customWidth="1"/>
    <col min="8467" max="8467" width="6.6640625" customWidth="1"/>
    <col min="8468" max="8468" width="4.33203125" customWidth="1"/>
    <col min="8469" max="8469" width="2" customWidth="1"/>
    <col min="8470" max="8471" width="2.6640625" customWidth="1"/>
    <col min="8472" max="8473" width="2.109375" customWidth="1"/>
    <col min="8474" max="8474" width="4.6640625" customWidth="1"/>
    <col min="8475" max="8475" width="1.6640625" customWidth="1"/>
    <col min="8476" max="8476" width="6.6640625" customWidth="1"/>
    <col min="8477" max="8478" width="1.88671875" customWidth="1"/>
    <col min="8479" max="8479" width="3" customWidth="1"/>
    <col min="8480" max="8480" width="4" customWidth="1"/>
    <col min="8481" max="8481" width="4.33203125" customWidth="1"/>
    <col min="8482" max="8482" width="1.109375" customWidth="1"/>
    <col min="8483" max="8484" width="4.33203125" customWidth="1"/>
    <col min="8485" max="8485" width="5" customWidth="1"/>
    <col min="8486" max="8486" width="1.33203125" customWidth="1"/>
    <col min="8706" max="8706" width="0.6640625" customWidth="1"/>
    <col min="8707" max="8707" width="3.88671875" customWidth="1"/>
    <col min="8708" max="8708" width="4" customWidth="1"/>
    <col min="8709" max="8709" width="2.44140625" customWidth="1"/>
    <col min="8710" max="8710" width="1.6640625" customWidth="1"/>
    <col min="8711" max="8711" width="11" customWidth="1"/>
    <col min="8712" max="8712" width="2.5546875" customWidth="1"/>
    <col min="8713" max="8713" width="3" customWidth="1"/>
    <col min="8714" max="8715" width="3.109375" customWidth="1"/>
    <col min="8716" max="8716" width="2.44140625" customWidth="1"/>
    <col min="8717" max="8717" width="2.88671875" customWidth="1"/>
    <col min="8718" max="8718" width="0.6640625" customWidth="1"/>
    <col min="8719" max="8719" width="5.33203125" customWidth="1"/>
    <col min="8720" max="8720" width="10.5546875" customWidth="1"/>
    <col min="8721" max="8721" width="5.109375" customWidth="1"/>
    <col min="8722" max="8722" width="7.44140625" customWidth="1"/>
    <col min="8723" max="8723" width="6.6640625" customWidth="1"/>
    <col min="8724" max="8724" width="4.33203125" customWidth="1"/>
    <col min="8725" max="8725" width="2" customWidth="1"/>
    <col min="8726" max="8727" width="2.6640625" customWidth="1"/>
    <col min="8728" max="8729" width="2.109375" customWidth="1"/>
    <col min="8730" max="8730" width="4.6640625" customWidth="1"/>
    <col min="8731" max="8731" width="1.6640625" customWidth="1"/>
    <col min="8732" max="8732" width="6.6640625" customWidth="1"/>
    <col min="8733" max="8734" width="1.88671875" customWidth="1"/>
    <col min="8735" max="8735" width="3" customWidth="1"/>
    <col min="8736" max="8736" width="4" customWidth="1"/>
    <col min="8737" max="8737" width="4.33203125" customWidth="1"/>
    <col min="8738" max="8738" width="1.109375" customWidth="1"/>
    <col min="8739" max="8740" width="4.33203125" customWidth="1"/>
    <col min="8741" max="8741" width="5" customWidth="1"/>
    <col min="8742" max="8742" width="1.33203125" customWidth="1"/>
    <col min="8962" max="8962" width="0.6640625" customWidth="1"/>
    <col min="8963" max="8963" width="3.88671875" customWidth="1"/>
    <col min="8964" max="8964" width="4" customWidth="1"/>
    <col min="8965" max="8965" width="2.44140625" customWidth="1"/>
    <col min="8966" max="8966" width="1.6640625" customWidth="1"/>
    <col min="8967" max="8967" width="11" customWidth="1"/>
    <col min="8968" max="8968" width="2.5546875" customWidth="1"/>
    <col min="8969" max="8969" width="3" customWidth="1"/>
    <col min="8970" max="8971" width="3.109375" customWidth="1"/>
    <col min="8972" max="8972" width="2.44140625" customWidth="1"/>
    <col min="8973" max="8973" width="2.88671875" customWidth="1"/>
    <col min="8974" max="8974" width="0.6640625" customWidth="1"/>
    <col min="8975" max="8975" width="5.33203125" customWidth="1"/>
    <col min="8976" max="8976" width="10.5546875" customWidth="1"/>
    <col min="8977" max="8977" width="5.109375" customWidth="1"/>
    <col min="8978" max="8978" width="7.44140625" customWidth="1"/>
    <col min="8979" max="8979" width="6.6640625" customWidth="1"/>
    <col min="8980" max="8980" width="4.33203125" customWidth="1"/>
    <col min="8981" max="8981" width="2" customWidth="1"/>
    <col min="8982" max="8983" width="2.6640625" customWidth="1"/>
    <col min="8984" max="8985" width="2.109375" customWidth="1"/>
    <col min="8986" max="8986" width="4.6640625" customWidth="1"/>
    <col min="8987" max="8987" width="1.6640625" customWidth="1"/>
    <col min="8988" max="8988" width="6.6640625" customWidth="1"/>
    <col min="8989" max="8990" width="1.88671875" customWidth="1"/>
    <col min="8991" max="8991" width="3" customWidth="1"/>
    <col min="8992" max="8992" width="4" customWidth="1"/>
    <col min="8993" max="8993" width="4.33203125" customWidth="1"/>
    <col min="8994" max="8994" width="1.109375" customWidth="1"/>
    <col min="8995" max="8996" width="4.33203125" customWidth="1"/>
    <col min="8997" max="8997" width="5" customWidth="1"/>
    <col min="8998" max="8998" width="1.33203125" customWidth="1"/>
    <col min="9218" max="9218" width="0.6640625" customWidth="1"/>
    <col min="9219" max="9219" width="3.88671875" customWidth="1"/>
    <col min="9220" max="9220" width="4" customWidth="1"/>
    <col min="9221" max="9221" width="2.44140625" customWidth="1"/>
    <col min="9222" max="9222" width="1.6640625" customWidth="1"/>
    <col min="9223" max="9223" width="11" customWidth="1"/>
    <col min="9224" max="9224" width="2.5546875" customWidth="1"/>
    <col min="9225" max="9225" width="3" customWidth="1"/>
    <col min="9226" max="9227" width="3.109375" customWidth="1"/>
    <col min="9228" max="9228" width="2.44140625" customWidth="1"/>
    <col min="9229" max="9229" width="2.88671875" customWidth="1"/>
    <col min="9230" max="9230" width="0.6640625" customWidth="1"/>
    <col min="9231" max="9231" width="5.33203125" customWidth="1"/>
    <col min="9232" max="9232" width="10.5546875" customWidth="1"/>
    <col min="9233" max="9233" width="5.109375" customWidth="1"/>
    <col min="9234" max="9234" width="7.44140625" customWidth="1"/>
    <col min="9235" max="9235" width="6.6640625" customWidth="1"/>
    <col min="9236" max="9236" width="4.33203125" customWidth="1"/>
    <col min="9237" max="9237" width="2" customWidth="1"/>
    <col min="9238" max="9239" width="2.6640625" customWidth="1"/>
    <col min="9240" max="9241" width="2.109375" customWidth="1"/>
    <col min="9242" max="9242" width="4.6640625" customWidth="1"/>
    <col min="9243" max="9243" width="1.6640625" customWidth="1"/>
    <col min="9244" max="9244" width="6.6640625" customWidth="1"/>
    <col min="9245" max="9246" width="1.88671875" customWidth="1"/>
    <col min="9247" max="9247" width="3" customWidth="1"/>
    <col min="9248" max="9248" width="4" customWidth="1"/>
    <col min="9249" max="9249" width="4.33203125" customWidth="1"/>
    <col min="9250" max="9250" width="1.109375" customWidth="1"/>
    <col min="9251" max="9252" width="4.33203125" customWidth="1"/>
    <col min="9253" max="9253" width="5" customWidth="1"/>
    <col min="9254" max="9254" width="1.33203125" customWidth="1"/>
    <col min="9474" max="9474" width="0.6640625" customWidth="1"/>
    <col min="9475" max="9475" width="3.88671875" customWidth="1"/>
    <col min="9476" max="9476" width="4" customWidth="1"/>
    <col min="9477" max="9477" width="2.44140625" customWidth="1"/>
    <col min="9478" max="9478" width="1.6640625" customWidth="1"/>
    <col min="9479" max="9479" width="11" customWidth="1"/>
    <col min="9480" max="9480" width="2.5546875" customWidth="1"/>
    <col min="9481" max="9481" width="3" customWidth="1"/>
    <col min="9482" max="9483" width="3.109375" customWidth="1"/>
    <col min="9484" max="9484" width="2.44140625" customWidth="1"/>
    <col min="9485" max="9485" width="2.88671875" customWidth="1"/>
    <col min="9486" max="9486" width="0.6640625" customWidth="1"/>
    <col min="9487" max="9487" width="5.33203125" customWidth="1"/>
    <col min="9488" max="9488" width="10.5546875" customWidth="1"/>
    <col min="9489" max="9489" width="5.109375" customWidth="1"/>
    <col min="9490" max="9490" width="7.44140625" customWidth="1"/>
    <col min="9491" max="9491" width="6.6640625" customWidth="1"/>
    <col min="9492" max="9492" width="4.33203125" customWidth="1"/>
    <col min="9493" max="9493" width="2" customWidth="1"/>
    <col min="9494" max="9495" width="2.6640625" customWidth="1"/>
    <col min="9496" max="9497" width="2.109375" customWidth="1"/>
    <col min="9498" max="9498" width="4.6640625" customWidth="1"/>
    <col min="9499" max="9499" width="1.6640625" customWidth="1"/>
    <col min="9500" max="9500" width="6.6640625" customWidth="1"/>
    <col min="9501" max="9502" width="1.88671875" customWidth="1"/>
    <col min="9503" max="9503" width="3" customWidth="1"/>
    <col min="9504" max="9504" width="4" customWidth="1"/>
    <col min="9505" max="9505" width="4.33203125" customWidth="1"/>
    <col min="9506" max="9506" width="1.109375" customWidth="1"/>
    <col min="9507" max="9508" width="4.33203125" customWidth="1"/>
    <col min="9509" max="9509" width="5" customWidth="1"/>
    <col min="9510" max="9510" width="1.33203125" customWidth="1"/>
    <col min="9730" max="9730" width="0.6640625" customWidth="1"/>
    <col min="9731" max="9731" width="3.88671875" customWidth="1"/>
    <col min="9732" max="9732" width="4" customWidth="1"/>
    <col min="9733" max="9733" width="2.44140625" customWidth="1"/>
    <col min="9734" max="9734" width="1.6640625" customWidth="1"/>
    <col min="9735" max="9735" width="11" customWidth="1"/>
    <col min="9736" max="9736" width="2.5546875" customWidth="1"/>
    <col min="9737" max="9737" width="3" customWidth="1"/>
    <col min="9738" max="9739" width="3.109375" customWidth="1"/>
    <col min="9740" max="9740" width="2.44140625" customWidth="1"/>
    <col min="9741" max="9741" width="2.88671875" customWidth="1"/>
    <col min="9742" max="9742" width="0.6640625" customWidth="1"/>
    <col min="9743" max="9743" width="5.33203125" customWidth="1"/>
    <col min="9744" max="9744" width="10.5546875" customWidth="1"/>
    <col min="9745" max="9745" width="5.109375" customWidth="1"/>
    <col min="9746" max="9746" width="7.44140625" customWidth="1"/>
    <col min="9747" max="9747" width="6.6640625" customWidth="1"/>
    <col min="9748" max="9748" width="4.33203125" customWidth="1"/>
    <col min="9749" max="9749" width="2" customWidth="1"/>
    <col min="9750" max="9751" width="2.6640625" customWidth="1"/>
    <col min="9752" max="9753" width="2.109375" customWidth="1"/>
    <col min="9754" max="9754" width="4.6640625" customWidth="1"/>
    <col min="9755" max="9755" width="1.6640625" customWidth="1"/>
    <col min="9756" max="9756" width="6.6640625" customWidth="1"/>
    <col min="9757" max="9758" width="1.88671875" customWidth="1"/>
    <col min="9759" max="9759" width="3" customWidth="1"/>
    <col min="9760" max="9760" width="4" customWidth="1"/>
    <col min="9761" max="9761" width="4.33203125" customWidth="1"/>
    <col min="9762" max="9762" width="1.109375" customWidth="1"/>
    <col min="9763" max="9764" width="4.33203125" customWidth="1"/>
    <col min="9765" max="9765" width="5" customWidth="1"/>
    <col min="9766" max="9766" width="1.33203125" customWidth="1"/>
    <col min="9986" max="9986" width="0.6640625" customWidth="1"/>
    <col min="9987" max="9987" width="3.88671875" customWidth="1"/>
    <col min="9988" max="9988" width="4" customWidth="1"/>
    <col min="9989" max="9989" width="2.44140625" customWidth="1"/>
    <col min="9990" max="9990" width="1.6640625" customWidth="1"/>
    <col min="9991" max="9991" width="11" customWidth="1"/>
    <col min="9992" max="9992" width="2.5546875" customWidth="1"/>
    <col min="9993" max="9993" width="3" customWidth="1"/>
    <col min="9994" max="9995" width="3.109375" customWidth="1"/>
    <col min="9996" max="9996" width="2.44140625" customWidth="1"/>
    <col min="9997" max="9997" width="2.88671875" customWidth="1"/>
    <col min="9998" max="9998" width="0.6640625" customWidth="1"/>
    <col min="9999" max="9999" width="5.33203125" customWidth="1"/>
    <col min="10000" max="10000" width="10.5546875" customWidth="1"/>
    <col min="10001" max="10001" width="5.109375" customWidth="1"/>
    <col min="10002" max="10002" width="7.44140625" customWidth="1"/>
    <col min="10003" max="10003" width="6.6640625" customWidth="1"/>
    <col min="10004" max="10004" width="4.33203125" customWidth="1"/>
    <col min="10005" max="10005" width="2" customWidth="1"/>
    <col min="10006" max="10007" width="2.6640625" customWidth="1"/>
    <col min="10008" max="10009" width="2.109375" customWidth="1"/>
    <col min="10010" max="10010" width="4.6640625" customWidth="1"/>
    <col min="10011" max="10011" width="1.6640625" customWidth="1"/>
    <col min="10012" max="10012" width="6.6640625" customWidth="1"/>
    <col min="10013" max="10014" width="1.88671875" customWidth="1"/>
    <col min="10015" max="10015" width="3" customWidth="1"/>
    <col min="10016" max="10016" width="4" customWidth="1"/>
    <col min="10017" max="10017" width="4.33203125" customWidth="1"/>
    <col min="10018" max="10018" width="1.109375" customWidth="1"/>
    <col min="10019" max="10020" width="4.33203125" customWidth="1"/>
    <col min="10021" max="10021" width="5" customWidth="1"/>
    <col min="10022" max="10022" width="1.33203125" customWidth="1"/>
    <col min="10242" max="10242" width="0.6640625" customWidth="1"/>
    <col min="10243" max="10243" width="3.88671875" customWidth="1"/>
    <col min="10244" max="10244" width="4" customWidth="1"/>
    <col min="10245" max="10245" width="2.44140625" customWidth="1"/>
    <col min="10246" max="10246" width="1.6640625" customWidth="1"/>
    <col min="10247" max="10247" width="11" customWidth="1"/>
    <col min="10248" max="10248" width="2.5546875" customWidth="1"/>
    <col min="10249" max="10249" width="3" customWidth="1"/>
    <col min="10250" max="10251" width="3.109375" customWidth="1"/>
    <col min="10252" max="10252" width="2.44140625" customWidth="1"/>
    <col min="10253" max="10253" width="2.88671875" customWidth="1"/>
    <col min="10254" max="10254" width="0.6640625" customWidth="1"/>
    <col min="10255" max="10255" width="5.33203125" customWidth="1"/>
    <col min="10256" max="10256" width="10.5546875" customWidth="1"/>
    <col min="10257" max="10257" width="5.109375" customWidth="1"/>
    <col min="10258" max="10258" width="7.44140625" customWidth="1"/>
    <col min="10259" max="10259" width="6.6640625" customWidth="1"/>
    <col min="10260" max="10260" width="4.33203125" customWidth="1"/>
    <col min="10261" max="10261" width="2" customWidth="1"/>
    <col min="10262" max="10263" width="2.6640625" customWidth="1"/>
    <col min="10264" max="10265" width="2.109375" customWidth="1"/>
    <col min="10266" max="10266" width="4.6640625" customWidth="1"/>
    <col min="10267" max="10267" width="1.6640625" customWidth="1"/>
    <col min="10268" max="10268" width="6.6640625" customWidth="1"/>
    <col min="10269" max="10270" width="1.88671875" customWidth="1"/>
    <col min="10271" max="10271" width="3" customWidth="1"/>
    <col min="10272" max="10272" width="4" customWidth="1"/>
    <col min="10273" max="10273" width="4.33203125" customWidth="1"/>
    <col min="10274" max="10274" width="1.109375" customWidth="1"/>
    <col min="10275" max="10276" width="4.33203125" customWidth="1"/>
    <col min="10277" max="10277" width="5" customWidth="1"/>
    <col min="10278" max="10278" width="1.33203125" customWidth="1"/>
    <col min="10498" max="10498" width="0.6640625" customWidth="1"/>
    <col min="10499" max="10499" width="3.88671875" customWidth="1"/>
    <col min="10500" max="10500" width="4" customWidth="1"/>
    <col min="10501" max="10501" width="2.44140625" customWidth="1"/>
    <col min="10502" max="10502" width="1.6640625" customWidth="1"/>
    <col min="10503" max="10503" width="11" customWidth="1"/>
    <col min="10504" max="10504" width="2.5546875" customWidth="1"/>
    <col min="10505" max="10505" width="3" customWidth="1"/>
    <col min="10506" max="10507" width="3.109375" customWidth="1"/>
    <col min="10508" max="10508" width="2.44140625" customWidth="1"/>
    <col min="10509" max="10509" width="2.88671875" customWidth="1"/>
    <col min="10510" max="10510" width="0.6640625" customWidth="1"/>
    <col min="10511" max="10511" width="5.33203125" customWidth="1"/>
    <col min="10512" max="10512" width="10.5546875" customWidth="1"/>
    <col min="10513" max="10513" width="5.109375" customWidth="1"/>
    <col min="10514" max="10514" width="7.44140625" customWidth="1"/>
    <col min="10515" max="10515" width="6.6640625" customWidth="1"/>
    <col min="10516" max="10516" width="4.33203125" customWidth="1"/>
    <col min="10517" max="10517" width="2" customWidth="1"/>
    <col min="10518" max="10519" width="2.6640625" customWidth="1"/>
    <col min="10520" max="10521" width="2.109375" customWidth="1"/>
    <col min="10522" max="10522" width="4.6640625" customWidth="1"/>
    <col min="10523" max="10523" width="1.6640625" customWidth="1"/>
    <col min="10524" max="10524" width="6.6640625" customWidth="1"/>
    <col min="10525" max="10526" width="1.88671875" customWidth="1"/>
    <col min="10527" max="10527" width="3" customWidth="1"/>
    <col min="10528" max="10528" width="4" customWidth="1"/>
    <col min="10529" max="10529" width="4.33203125" customWidth="1"/>
    <col min="10530" max="10530" width="1.109375" customWidth="1"/>
    <col min="10531" max="10532" width="4.33203125" customWidth="1"/>
    <col min="10533" max="10533" width="5" customWidth="1"/>
    <col min="10534" max="10534" width="1.33203125" customWidth="1"/>
    <col min="10754" max="10754" width="0.6640625" customWidth="1"/>
    <col min="10755" max="10755" width="3.88671875" customWidth="1"/>
    <col min="10756" max="10756" width="4" customWidth="1"/>
    <col min="10757" max="10757" width="2.44140625" customWidth="1"/>
    <col min="10758" max="10758" width="1.6640625" customWidth="1"/>
    <col min="10759" max="10759" width="11" customWidth="1"/>
    <col min="10760" max="10760" width="2.5546875" customWidth="1"/>
    <col min="10761" max="10761" width="3" customWidth="1"/>
    <col min="10762" max="10763" width="3.109375" customWidth="1"/>
    <col min="10764" max="10764" width="2.44140625" customWidth="1"/>
    <col min="10765" max="10765" width="2.88671875" customWidth="1"/>
    <col min="10766" max="10766" width="0.6640625" customWidth="1"/>
    <col min="10767" max="10767" width="5.33203125" customWidth="1"/>
    <col min="10768" max="10768" width="10.5546875" customWidth="1"/>
    <col min="10769" max="10769" width="5.109375" customWidth="1"/>
    <col min="10770" max="10770" width="7.44140625" customWidth="1"/>
    <col min="10771" max="10771" width="6.6640625" customWidth="1"/>
    <col min="10772" max="10772" width="4.33203125" customWidth="1"/>
    <col min="10773" max="10773" width="2" customWidth="1"/>
    <col min="10774" max="10775" width="2.6640625" customWidth="1"/>
    <col min="10776" max="10777" width="2.109375" customWidth="1"/>
    <col min="10778" max="10778" width="4.6640625" customWidth="1"/>
    <col min="10779" max="10779" width="1.6640625" customWidth="1"/>
    <col min="10780" max="10780" width="6.6640625" customWidth="1"/>
    <col min="10781" max="10782" width="1.88671875" customWidth="1"/>
    <col min="10783" max="10783" width="3" customWidth="1"/>
    <col min="10784" max="10784" width="4" customWidth="1"/>
    <col min="10785" max="10785" width="4.33203125" customWidth="1"/>
    <col min="10786" max="10786" width="1.109375" customWidth="1"/>
    <col min="10787" max="10788" width="4.33203125" customWidth="1"/>
    <col min="10789" max="10789" width="5" customWidth="1"/>
    <col min="10790" max="10790" width="1.33203125" customWidth="1"/>
    <col min="11010" max="11010" width="0.6640625" customWidth="1"/>
    <col min="11011" max="11011" width="3.88671875" customWidth="1"/>
    <col min="11012" max="11012" width="4" customWidth="1"/>
    <col min="11013" max="11013" width="2.44140625" customWidth="1"/>
    <col min="11014" max="11014" width="1.6640625" customWidth="1"/>
    <col min="11015" max="11015" width="11" customWidth="1"/>
    <col min="11016" max="11016" width="2.5546875" customWidth="1"/>
    <col min="11017" max="11017" width="3" customWidth="1"/>
    <col min="11018" max="11019" width="3.109375" customWidth="1"/>
    <col min="11020" max="11020" width="2.44140625" customWidth="1"/>
    <col min="11021" max="11021" width="2.88671875" customWidth="1"/>
    <col min="11022" max="11022" width="0.6640625" customWidth="1"/>
    <col min="11023" max="11023" width="5.33203125" customWidth="1"/>
    <col min="11024" max="11024" width="10.5546875" customWidth="1"/>
    <col min="11025" max="11025" width="5.109375" customWidth="1"/>
    <col min="11026" max="11026" width="7.44140625" customWidth="1"/>
    <col min="11027" max="11027" width="6.6640625" customWidth="1"/>
    <col min="11028" max="11028" width="4.33203125" customWidth="1"/>
    <col min="11029" max="11029" width="2" customWidth="1"/>
    <col min="11030" max="11031" width="2.6640625" customWidth="1"/>
    <col min="11032" max="11033" width="2.109375" customWidth="1"/>
    <col min="11034" max="11034" width="4.6640625" customWidth="1"/>
    <col min="11035" max="11035" width="1.6640625" customWidth="1"/>
    <col min="11036" max="11036" width="6.6640625" customWidth="1"/>
    <col min="11037" max="11038" width="1.88671875" customWidth="1"/>
    <col min="11039" max="11039" width="3" customWidth="1"/>
    <col min="11040" max="11040" width="4" customWidth="1"/>
    <col min="11041" max="11041" width="4.33203125" customWidth="1"/>
    <col min="11042" max="11042" width="1.109375" customWidth="1"/>
    <col min="11043" max="11044" width="4.33203125" customWidth="1"/>
    <col min="11045" max="11045" width="5" customWidth="1"/>
    <col min="11046" max="11046" width="1.33203125" customWidth="1"/>
    <col min="11266" max="11266" width="0.6640625" customWidth="1"/>
    <col min="11267" max="11267" width="3.88671875" customWidth="1"/>
    <col min="11268" max="11268" width="4" customWidth="1"/>
    <col min="11269" max="11269" width="2.44140625" customWidth="1"/>
    <col min="11270" max="11270" width="1.6640625" customWidth="1"/>
    <col min="11271" max="11271" width="11" customWidth="1"/>
    <col min="11272" max="11272" width="2.5546875" customWidth="1"/>
    <col min="11273" max="11273" width="3" customWidth="1"/>
    <col min="11274" max="11275" width="3.109375" customWidth="1"/>
    <col min="11276" max="11276" width="2.44140625" customWidth="1"/>
    <col min="11277" max="11277" width="2.88671875" customWidth="1"/>
    <col min="11278" max="11278" width="0.6640625" customWidth="1"/>
    <col min="11279" max="11279" width="5.33203125" customWidth="1"/>
    <col min="11280" max="11280" width="10.5546875" customWidth="1"/>
    <col min="11281" max="11281" width="5.109375" customWidth="1"/>
    <col min="11282" max="11282" width="7.44140625" customWidth="1"/>
    <col min="11283" max="11283" width="6.6640625" customWidth="1"/>
    <col min="11284" max="11284" width="4.33203125" customWidth="1"/>
    <col min="11285" max="11285" width="2" customWidth="1"/>
    <col min="11286" max="11287" width="2.6640625" customWidth="1"/>
    <col min="11288" max="11289" width="2.109375" customWidth="1"/>
    <col min="11290" max="11290" width="4.6640625" customWidth="1"/>
    <col min="11291" max="11291" width="1.6640625" customWidth="1"/>
    <col min="11292" max="11292" width="6.6640625" customWidth="1"/>
    <col min="11293" max="11294" width="1.88671875" customWidth="1"/>
    <col min="11295" max="11295" width="3" customWidth="1"/>
    <col min="11296" max="11296" width="4" customWidth="1"/>
    <col min="11297" max="11297" width="4.33203125" customWidth="1"/>
    <col min="11298" max="11298" width="1.109375" customWidth="1"/>
    <col min="11299" max="11300" width="4.33203125" customWidth="1"/>
    <col min="11301" max="11301" width="5" customWidth="1"/>
    <col min="11302" max="11302" width="1.33203125" customWidth="1"/>
    <col min="11522" max="11522" width="0.6640625" customWidth="1"/>
    <col min="11523" max="11523" width="3.88671875" customWidth="1"/>
    <col min="11524" max="11524" width="4" customWidth="1"/>
    <col min="11525" max="11525" width="2.44140625" customWidth="1"/>
    <col min="11526" max="11526" width="1.6640625" customWidth="1"/>
    <col min="11527" max="11527" width="11" customWidth="1"/>
    <col min="11528" max="11528" width="2.5546875" customWidth="1"/>
    <col min="11529" max="11529" width="3" customWidth="1"/>
    <col min="11530" max="11531" width="3.109375" customWidth="1"/>
    <col min="11532" max="11532" width="2.44140625" customWidth="1"/>
    <col min="11533" max="11533" width="2.88671875" customWidth="1"/>
    <col min="11534" max="11534" width="0.6640625" customWidth="1"/>
    <col min="11535" max="11535" width="5.33203125" customWidth="1"/>
    <col min="11536" max="11536" width="10.5546875" customWidth="1"/>
    <col min="11537" max="11537" width="5.109375" customWidth="1"/>
    <col min="11538" max="11538" width="7.44140625" customWidth="1"/>
    <col min="11539" max="11539" width="6.6640625" customWidth="1"/>
    <col min="11540" max="11540" width="4.33203125" customWidth="1"/>
    <col min="11541" max="11541" width="2" customWidth="1"/>
    <col min="11542" max="11543" width="2.6640625" customWidth="1"/>
    <col min="11544" max="11545" width="2.109375" customWidth="1"/>
    <col min="11546" max="11546" width="4.6640625" customWidth="1"/>
    <col min="11547" max="11547" width="1.6640625" customWidth="1"/>
    <col min="11548" max="11548" width="6.6640625" customWidth="1"/>
    <col min="11549" max="11550" width="1.88671875" customWidth="1"/>
    <col min="11551" max="11551" width="3" customWidth="1"/>
    <col min="11552" max="11552" width="4" customWidth="1"/>
    <col min="11553" max="11553" width="4.33203125" customWidth="1"/>
    <col min="11554" max="11554" width="1.109375" customWidth="1"/>
    <col min="11555" max="11556" width="4.33203125" customWidth="1"/>
    <col min="11557" max="11557" width="5" customWidth="1"/>
    <col min="11558" max="11558" width="1.33203125" customWidth="1"/>
    <col min="11778" max="11778" width="0.6640625" customWidth="1"/>
    <col min="11779" max="11779" width="3.88671875" customWidth="1"/>
    <col min="11780" max="11780" width="4" customWidth="1"/>
    <col min="11781" max="11781" width="2.44140625" customWidth="1"/>
    <col min="11782" max="11782" width="1.6640625" customWidth="1"/>
    <col min="11783" max="11783" width="11" customWidth="1"/>
    <col min="11784" max="11784" width="2.5546875" customWidth="1"/>
    <col min="11785" max="11785" width="3" customWidth="1"/>
    <col min="11786" max="11787" width="3.109375" customWidth="1"/>
    <col min="11788" max="11788" width="2.44140625" customWidth="1"/>
    <col min="11789" max="11789" width="2.88671875" customWidth="1"/>
    <col min="11790" max="11790" width="0.6640625" customWidth="1"/>
    <col min="11791" max="11791" width="5.33203125" customWidth="1"/>
    <col min="11792" max="11792" width="10.5546875" customWidth="1"/>
    <col min="11793" max="11793" width="5.109375" customWidth="1"/>
    <col min="11794" max="11794" width="7.44140625" customWidth="1"/>
    <col min="11795" max="11795" width="6.6640625" customWidth="1"/>
    <col min="11796" max="11796" width="4.33203125" customWidth="1"/>
    <col min="11797" max="11797" width="2" customWidth="1"/>
    <col min="11798" max="11799" width="2.6640625" customWidth="1"/>
    <col min="11800" max="11801" width="2.109375" customWidth="1"/>
    <col min="11802" max="11802" width="4.6640625" customWidth="1"/>
    <col min="11803" max="11803" width="1.6640625" customWidth="1"/>
    <col min="11804" max="11804" width="6.6640625" customWidth="1"/>
    <col min="11805" max="11806" width="1.88671875" customWidth="1"/>
    <col min="11807" max="11807" width="3" customWidth="1"/>
    <col min="11808" max="11808" width="4" customWidth="1"/>
    <col min="11809" max="11809" width="4.33203125" customWidth="1"/>
    <col min="11810" max="11810" width="1.109375" customWidth="1"/>
    <col min="11811" max="11812" width="4.33203125" customWidth="1"/>
    <col min="11813" max="11813" width="5" customWidth="1"/>
    <col min="11814" max="11814" width="1.33203125" customWidth="1"/>
    <col min="12034" max="12034" width="0.6640625" customWidth="1"/>
    <col min="12035" max="12035" width="3.88671875" customWidth="1"/>
    <col min="12036" max="12036" width="4" customWidth="1"/>
    <col min="12037" max="12037" width="2.44140625" customWidth="1"/>
    <col min="12038" max="12038" width="1.6640625" customWidth="1"/>
    <col min="12039" max="12039" width="11" customWidth="1"/>
    <col min="12040" max="12040" width="2.5546875" customWidth="1"/>
    <col min="12041" max="12041" width="3" customWidth="1"/>
    <col min="12042" max="12043" width="3.109375" customWidth="1"/>
    <col min="12044" max="12044" width="2.44140625" customWidth="1"/>
    <col min="12045" max="12045" width="2.88671875" customWidth="1"/>
    <col min="12046" max="12046" width="0.6640625" customWidth="1"/>
    <col min="12047" max="12047" width="5.33203125" customWidth="1"/>
    <col min="12048" max="12048" width="10.5546875" customWidth="1"/>
    <col min="12049" max="12049" width="5.109375" customWidth="1"/>
    <col min="12050" max="12050" width="7.44140625" customWidth="1"/>
    <col min="12051" max="12051" width="6.6640625" customWidth="1"/>
    <col min="12052" max="12052" width="4.33203125" customWidth="1"/>
    <col min="12053" max="12053" width="2" customWidth="1"/>
    <col min="12054" max="12055" width="2.6640625" customWidth="1"/>
    <col min="12056" max="12057" width="2.109375" customWidth="1"/>
    <col min="12058" max="12058" width="4.6640625" customWidth="1"/>
    <col min="12059" max="12059" width="1.6640625" customWidth="1"/>
    <col min="12060" max="12060" width="6.6640625" customWidth="1"/>
    <col min="12061" max="12062" width="1.88671875" customWidth="1"/>
    <col min="12063" max="12063" width="3" customWidth="1"/>
    <col min="12064" max="12064" width="4" customWidth="1"/>
    <col min="12065" max="12065" width="4.33203125" customWidth="1"/>
    <col min="12066" max="12066" width="1.109375" customWidth="1"/>
    <col min="12067" max="12068" width="4.33203125" customWidth="1"/>
    <col min="12069" max="12069" width="5" customWidth="1"/>
    <col min="12070" max="12070" width="1.33203125" customWidth="1"/>
    <col min="12290" max="12290" width="0.6640625" customWidth="1"/>
    <col min="12291" max="12291" width="3.88671875" customWidth="1"/>
    <col min="12292" max="12292" width="4" customWidth="1"/>
    <col min="12293" max="12293" width="2.44140625" customWidth="1"/>
    <col min="12294" max="12294" width="1.6640625" customWidth="1"/>
    <col min="12295" max="12295" width="11" customWidth="1"/>
    <col min="12296" max="12296" width="2.5546875" customWidth="1"/>
    <col min="12297" max="12297" width="3" customWidth="1"/>
    <col min="12298" max="12299" width="3.109375" customWidth="1"/>
    <col min="12300" max="12300" width="2.44140625" customWidth="1"/>
    <col min="12301" max="12301" width="2.88671875" customWidth="1"/>
    <col min="12302" max="12302" width="0.6640625" customWidth="1"/>
    <col min="12303" max="12303" width="5.33203125" customWidth="1"/>
    <col min="12304" max="12304" width="10.5546875" customWidth="1"/>
    <col min="12305" max="12305" width="5.109375" customWidth="1"/>
    <col min="12306" max="12306" width="7.44140625" customWidth="1"/>
    <col min="12307" max="12307" width="6.6640625" customWidth="1"/>
    <col min="12308" max="12308" width="4.33203125" customWidth="1"/>
    <col min="12309" max="12309" width="2" customWidth="1"/>
    <col min="12310" max="12311" width="2.6640625" customWidth="1"/>
    <col min="12312" max="12313" width="2.109375" customWidth="1"/>
    <col min="12314" max="12314" width="4.6640625" customWidth="1"/>
    <col min="12315" max="12315" width="1.6640625" customWidth="1"/>
    <col min="12316" max="12316" width="6.6640625" customWidth="1"/>
    <col min="12317" max="12318" width="1.88671875" customWidth="1"/>
    <col min="12319" max="12319" width="3" customWidth="1"/>
    <col min="12320" max="12320" width="4" customWidth="1"/>
    <col min="12321" max="12321" width="4.33203125" customWidth="1"/>
    <col min="12322" max="12322" width="1.109375" customWidth="1"/>
    <col min="12323" max="12324" width="4.33203125" customWidth="1"/>
    <col min="12325" max="12325" width="5" customWidth="1"/>
    <col min="12326" max="12326" width="1.33203125" customWidth="1"/>
    <col min="12546" max="12546" width="0.6640625" customWidth="1"/>
    <col min="12547" max="12547" width="3.88671875" customWidth="1"/>
    <col min="12548" max="12548" width="4" customWidth="1"/>
    <col min="12549" max="12549" width="2.44140625" customWidth="1"/>
    <col min="12550" max="12550" width="1.6640625" customWidth="1"/>
    <col min="12551" max="12551" width="11" customWidth="1"/>
    <col min="12552" max="12552" width="2.5546875" customWidth="1"/>
    <col min="12553" max="12553" width="3" customWidth="1"/>
    <col min="12554" max="12555" width="3.109375" customWidth="1"/>
    <col min="12556" max="12556" width="2.44140625" customWidth="1"/>
    <col min="12557" max="12557" width="2.88671875" customWidth="1"/>
    <col min="12558" max="12558" width="0.6640625" customWidth="1"/>
    <col min="12559" max="12559" width="5.33203125" customWidth="1"/>
    <col min="12560" max="12560" width="10.5546875" customWidth="1"/>
    <col min="12561" max="12561" width="5.109375" customWidth="1"/>
    <col min="12562" max="12562" width="7.44140625" customWidth="1"/>
    <col min="12563" max="12563" width="6.6640625" customWidth="1"/>
    <col min="12564" max="12564" width="4.33203125" customWidth="1"/>
    <col min="12565" max="12565" width="2" customWidth="1"/>
    <col min="12566" max="12567" width="2.6640625" customWidth="1"/>
    <col min="12568" max="12569" width="2.109375" customWidth="1"/>
    <col min="12570" max="12570" width="4.6640625" customWidth="1"/>
    <col min="12571" max="12571" width="1.6640625" customWidth="1"/>
    <col min="12572" max="12572" width="6.6640625" customWidth="1"/>
    <col min="12573" max="12574" width="1.88671875" customWidth="1"/>
    <col min="12575" max="12575" width="3" customWidth="1"/>
    <col min="12576" max="12576" width="4" customWidth="1"/>
    <col min="12577" max="12577" width="4.33203125" customWidth="1"/>
    <col min="12578" max="12578" width="1.109375" customWidth="1"/>
    <col min="12579" max="12580" width="4.33203125" customWidth="1"/>
    <col min="12581" max="12581" width="5" customWidth="1"/>
    <col min="12582" max="12582" width="1.33203125" customWidth="1"/>
    <col min="12802" max="12802" width="0.6640625" customWidth="1"/>
    <col min="12803" max="12803" width="3.88671875" customWidth="1"/>
    <col min="12804" max="12804" width="4" customWidth="1"/>
    <col min="12805" max="12805" width="2.44140625" customWidth="1"/>
    <col min="12806" max="12806" width="1.6640625" customWidth="1"/>
    <col min="12807" max="12807" width="11" customWidth="1"/>
    <col min="12808" max="12808" width="2.5546875" customWidth="1"/>
    <col min="12809" max="12809" width="3" customWidth="1"/>
    <col min="12810" max="12811" width="3.109375" customWidth="1"/>
    <col min="12812" max="12812" width="2.44140625" customWidth="1"/>
    <col min="12813" max="12813" width="2.88671875" customWidth="1"/>
    <col min="12814" max="12814" width="0.6640625" customWidth="1"/>
    <col min="12815" max="12815" width="5.33203125" customWidth="1"/>
    <col min="12816" max="12816" width="10.5546875" customWidth="1"/>
    <col min="12817" max="12817" width="5.109375" customWidth="1"/>
    <col min="12818" max="12818" width="7.44140625" customWidth="1"/>
    <col min="12819" max="12819" width="6.6640625" customWidth="1"/>
    <col min="12820" max="12820" width="4.33203125" customWidth="1"/>
    <col min="12821" max="12821" width="2" customWidth="1"/>
    <col min="12822" max="12823" width="2.6640625" customWidth="1"/>
    <col min="12824" max="12825" width="2.109375" customWidth="1"/>
    <col min="12826" max="12826" width="4.6640625" customWidth="1"/>
    <col min="12827" max="12827" width="1.6640625" customWidth="1"/>
    <col min="12828" max="12828" width="6.6640625" customWidth="1"/>
    <col min="12829" max="12830" width="1.88671875" customWidth="1"/>
    <col min="12831" max="12831" width="3" customWidth="1"/>
    <col min="12832" max="12832" width="4" customWidth="1"/>
    <col min="12833" max="12833" width="4.33203125" customWidth="1"/>
    <col min="12834" max="12834" width="1.109375" customWidth="1"/>
    <col min="12835" max="12836" width="4.33203125" customWidth="1"/>
    <col min="12837" max="12837" width="5" customWidth="1"/>
    <col min="12838" max="12838" width="1.33203125" customWidth="1"/>
    <col min="13058" max="13058" width="0.6640625" customWidth="1"/>
    <col min="13059" max="13059" width="3.88671875" customWidth="1"/>
    <col min="13060" max="13060" width="4" customWidth="1"/>
    <col min="13061" max="13061" width="2.44140625" customWidth="1"/>
    <col min="13062" max="13062" width="1.6640625" customWidth="1"/>
    <col min="13063" max="13063" width="11" customWidth="1"/>
    <col min="13064" max="13064" width="2.5546875" customWidth="1"/>
    <col min="13065" max="13065" width="3" customWidth="1"/>
    <col min="13066" max="13067" width="3.109375" customWidth="1"/>
    <col min="13068" max="13068" width="2.44140625" customWidth="1"/>
    <col min="13069" max="13069" width="2.88671875" customWidth="1"/>
    <col min="13070" max="13070" width="0.6640625" customWidth="1"/>
    <col min="13071" max="13071" width="5.33203125" customWidth="1"/>
    <col min="13072" max="13072" width="10.5546875" customWidth="1"/>
    <col min="13073" max="13073" width="5.109375" customWidth="1"/>
    <col min="13074" max="13074" width="7.44140625" customWidth="1"/>
    <col min="13075" max="13075" width="6.6640625" customWidth="1"/>
    <col min="13076" max="13076" width="4.33203125" customWidth="1"/>
    <col min="13077" max="13077" width="2" customWidth="1"/>
    <col min="13078" max="13079" width="2.6640625" customWidth="1"/>
    <col min="13080" max="13081" width="2.109375" customWidth="1"/>
    <col min="13082" max="13082" width="4.6640625" customWidth="1"/>
    <col min="13083" max="13083" width="1.6640625" customWidth="1"/>
    <col min="13084" max="13084" width="6.6640625" customWidth="1"/>
    <col min="13085" max="13086" width="1.88671875" customWidth="1"/>
    <col min="13087" max="13087" width="3" customWidth="1"/>
    <col min="13088" max="13088" width="4" customWidth="1"/>
    <col min="13089" max="13089" width="4.33203125" customWidth="1"/>
    <col min="13090" max="13090" width="1.109375" customWidth="1"/>
    <col min="13091" max="13092" width="4.33203125" customWidth="1"/>
    <col min="13093" max="13093" width="5" customWidth="1"/>
    <col min="13094" max="13094" width="1.33203125" customWidth="1"/>
    <col min="13314" max="13314" width="0.6640625" customWidth="1"/>
    <col min="13315" max="13315" width="3.88671875" customWidth="1"/>
    <col min="13316" max="13316" width="4" customWidth="1"/>
    <col min="13317" max="13317" width="2.44140625" customWidth="1"/>
    <col min="13318" max="13318" width="1.6640625" customWidth="1"/>
    <col min="13319" max="13319" width="11" customWidth="1"/>
    <col min="13320" max="13320" width="2.5546875" customWidth="1"/>
    <col min="13321" max="13321" width="3" customWidth="1"/>
    <col min="13322" max="13323" width="3.109375" customWidth="1"/>
    <col min="13324" max="13324" width="2.44140625" customWidth="1"/>
    <col min="13325" max="13325" width="2.88671875" customWidth="1"/>
    <col min="13326" max="13326" width="0.6640625" customWidth="1"/>
    <col min="13327" max="13327" width="5.33203125" customWidth="1"/>
    <col min="13328" max="13328" width="10.5546875" customWidth="1"/>
    <col min="13329" max="13329" width="5.109375" customWidth="1"/>
    <col min="13330" max="13330" width="7.44140625" customWidth="1"/>
    <col min="13331" max="13331" width="6.6640625" customWidth="1"/>
    <col min="13332" max="13332" width="4.33203125" customWidth="1"/>
    <col min="13333" max="13333" width="2" customWidth="1"/>
    <col min="13334" max="13335" width="2.6640625" customWidth="1"/>
    <col min="13336" max="13337" width="2.109375" customWidth="1"/>
    <col min="13338" max="13338" width="4.6640625" customWidth="1"/>
    <col min="13339" max="13339" width="1.6640625" customWidth="1"/>
    <col min="13340" max="13340" width="6.6640625" customWidth="1"/>
    <col min="13341" max="13342" width="1.88671875" customWidth="1"/>
    <col min="13343" max="13343" width="3" customWidth="1"/>
    <col min="13344" max="13344" width="4" customWidth="1"/>
    <col min="13345" max="13345" width="4.33203125" customWidth="1"/>
    <col min="13346" max="13346" width="1.109375" customWidth="1"/>
    <col min="13347" max="13348" width="4.33203125" customWidth="1"/>
    <col min="13349" max="13349" width="5" customWidth="1"/>
    <col min="13350" max="13350" width="1.33203125" customWidth="1"/>
    <col min="13570" max="13570" width="0.6640625" customWidth="1"/>
    <col min="13571" max="13571" width="3.88671875" customWidth="1"/>
    <col min="13572" max="13572" width="4" customWidth="1"/>
    <col min="13573" max="13573" width="2.44140625" customWidth="1"/>
    <col min="13574" max="13574" width="1.6640625" customWidth="1"/>
    <col min="13575" max="13575" width="11" customWidth="1"/>
    <col min="13576" max="13576" width="2.5546875" customWidth="1"/>
    <col min="13577" max="13577" width="3" customWidth="1"/>
    <col min="13578" max="13579" width="3.109375" customWidth="1"/>
    <col min="13580" max="13580" width="2.44140625" customWidth="1"/>
    <col min="13581" max="13581" width="2.88671875" customWidth="1"/>
    <col min="13582" max="13582" width="0.6640625" customWidth="1"/>
    <col min="13583" max="13583" width="5.33203125" customWidth="1"/>
    <col min="13584" max="13584" width="10.5546875" customWidth="1"/>
    <col min="13585" max="13585" width="5.109375" customWidth="1"/>
    <col min="13586" max="13586" width="7.44140625" customWidth="1"/>
    <col min="13587" max="13587" width="6.6640625" customWidth="1"/>
    <col min="13588" max="13588" width="4.33203125" customWidth="1"/>
    <col min="13589" max="13589" width="2" customWidth="1"/>
    <col min="13590" max="13591" width="2.6640625" customWidth="1"/>
    <col min="13592" max="13593" width="2.109375" customWidth="1"/>
    <col min="13594" max="13594" width="4.6640625" customWidth="1"/>
    <col min="13595" max="13595" width="1.6640625" customWidth="1"/>
    <col min="13596" max="13596" width="6.6640625" customWidth="1"/>
    <col min="13597" max="13598" width="1.88671875" customWidth="1"/>
    <col min="13599" max="13599" width="3" customWidth="1"/>
    <col min="13600" max="13600" width="4" customWidth="1"/>
    <col min="13601" max="13601" width="4.33203125" customWidth="1"/>
    <col min="13602" max="13602" width="1.109375" customWidth="1"/>
    <col min="13603" max="13604" width="4.33203125" customWidth="1"/>
    <col min="13605" max="13605" width="5" customWidth="1"/>
    <col min="13606" max="13606" width="1.33203125" customWidth="1"/>
    <col min="13826" max="13826" width="0.6640625" customWidth="1"/>
    <col min="13827" max="13827" width="3.88671875" customWidth="1"/>
    <col min="13828" max="13828" width="4" customWidth="1"/>
    <col min="13829" max="13829" width="2.44140625" customWidth="1"/>
    <col min="13830" max="13830" width="1.6640625" customWidth="1"/>
    <col min="13831" max="13831" width="11" customWidth="1"/>
    <col min="13832" max="13832" width="2.5546875" customWidth="1"/>
    <col min="13833" max="13833" width="3" customWidth="1"/>
    <col min="13834" max="13835" width="3.109375" customWidth="1"/>
    <col min="13836" max="13836" width="2.44140625" customWidth="1"/>
    <col min="13837" max="13837" width="2.88671875" customWidth="1"/>
    <col min="13838" max="13838" width="0.6640625" customWidth="1"/>
    <col min="13839" max="13839" width="5.33203125" customWidth="1"/>
    <col min="13840" max="13840" width="10.5546875" customWidth="1"/>
    <col min="13841" max="13841" width="5.109375" customWidth="1"/>
    <col min="13842" max="13842" width="7.44140625" customWidth="1"/>
    <col min="13843" max="13843" width="6.6640625" customWidth="1"/>
    <col min="13844" max="13844" width="4.33203125" customWidth="1"/>
    <col min="13845" max="13845" width="2" customWidth="1"/>
    <col min="13846" max="13847" width="2.6640625" customWidth="1"/>
    <col min="13848" max="13849" width="2.109375" customWidth="1"/>
    <col min="13850" max="13850" width="4.6640625" customWidth="1"/>
    <col min="13851" max="13851" width="1.6640625" customWidth="1"/>
    <col min="13852" max="13852" width="6.6640625" customWidth="1"/>
    <col min="13853" max="13854" width="1.88671875" customWidth="1"/>
    <col min="13855" max="13855" width="3" customWidth="1"/>
    <col min="13856" max="13856" width="4" customWidth="1"/>
    <col min="13857" max="13857" width="4.33203125" customWidth="1"/>
    <col min="13858" max="13858" width="1.109375" customWidth="1"/>
    <col min="13859" max="13860" width="4.33203125" customWidth="1"/>
    <col min="13861" max="13861" width="5" customWidth="1"/>
    <col min="13862" max="13862" width="1.33203125" customWidth="1"/>
    <col min="14082" max="14082" width="0.6640625" customWidth="1"/>
    <col min="14083" max="14083" width="3.88671875" customWidth="1"/>
    <col min="14084" max="14084" width="4" customWidth="1"/>
    <col min="14085" max="14085" width="2.44140625" customWidth="1"/>
    <col min="14086" max="14086" width="1.6640625" customWidth="1"/>
    <col min="14087" max="14087" width="11" customWidth="1"/>
    <col min="14088" max="14088" width="2.5546875" customWidth="1"/>
    <col min="14089" max="14089" width="3" customWidth="1"/>
    <col min="14090" max="14091" width="3.109375" customWidth="1"/>
    <col min="14092" max="14092" width="2.44140625" customWidth="1"/>
    <col min="14093" max="14093" width="2.88671875" customWidth="1"/>
    <col min="14094" max="14094" width="0.6640625" customWidth="1"/>
    <col min="14095" max="14095" width="5.33203125" customWidth="1"/>
    <col min="14096" max="14096" width="10.5546875" customWidth="1"/>
    <col min="14097" max="14097" width="5.109375" customWidth="1"/>
    <col min="14098" max="14098" width="7.44140625" customWidth="1"/>
    <col min="14099" max="14099" width="6.6640625" customWidth="1"/>
    <col min="14100" max="14100" width="4.33203125" customWidth="1"/>
    <col min="14101" max="14101" width="2" customWidth="1"/>
    <col min="14102" max="14103" width="2.6640625" customWidth="1"/>
    <col min="14104" max="14105" width="2.109375" customWidth="1"/>
    <col min="14106" max="14106" width="4.6640625" customWidth="1"/>
    <col min="14107" max="14107" width="1.6640625" customWidth="1"/>
    <col min="14108" max="14108" width="6.6640625" customWidth="1"/>
    <col min="14109" max="14110" width="1.88671875" customWidth="1"/>
    <col min="14111" max="14111" width="3" customWidth="1"/>
    <col min="14112" max="14112" width="4" customWidth="1"/>
    <col min="14113" max="14113" width="4.33203125" customWidth="1"/>
    <col min="14114" max="14114" width="1.109375" customWidth="1"/>
    <col min="14115" max="14116" width="4.33203125" customWidth="1"/>
    <col min="14117" max="14117" width="5" customWidth="1"/>
    <col min="14118" max="14118" width="1.33203125" customWidth="1"/>
    <col min="14338" max="14338" width="0.6640625" customWidth="1"/>
    <col min="14339" max="14339" width="3.88671875" customWidth="1"/>
    <col min="14340" max="14340" width="4" customWidth="1"/>
    <col min="14341" max="14341" width="2.44140625" customWidth="1"/>
    <col min="14342" max="14342" width="1.6640625" customWidth="1"/>
    <col min="14343" max="14343" width="11" customWidth="1"/>
    <col min="14344" max="14344" width="2.5546875" customWidth="1"/>
    <col min="14345" max="14345" width="3" customWidth="1"/>
    <col min="14346" max="14347" width="3.109375" customWidth="1"/>
    <col min="14348" max="14348" width="2.44140625" customWidth="1"/>
    <col min="14349" max="14349" width="2.88671875" customWidth="1"/>
    <col min="14350" max="14350" width="0.6640625" customWidth="1"/>
    <col min="14351" max="14351" width="5.33203125" customWidth="1"/>
    <col min="14352" max="14352" width="10.5546875" customWidth="1"/>
    <col min="14353" max="14353" width="5.109375" customWidth="1"/>
    <col min="14354" max="14354" width="7.44140625" customWidth="1"/>
    <col min="14355" max="14355" width="6.6640625" customWidth="1"/>
    <col min="14356" max="14356" width="4.33203125" customWidth="1"/>
    <col min="14357" max="14357" width="2" customWidth="1"/>
    <col min="14358" max="14359" width="2.6640625" customWidth="1"/>
    <col min="14360" max="14361" width="2.109375" customWidth="1"/>
    <col min="14362" max="14362" width="4.6640625" customWidth="1"/>
    <col min="14363" max="14363" width="1.6640625" customWidth="1"/>
    <col min="14364" max="14364" width="6.6640625" customWidth="1"/>
    <col min="14365" max="14366" width="1.88671875" customWidth="1"/>
    <col min="14367" max="14367" width="3" customWidth="1"/>
    <col min="14368" max="14368" width="4" customWidth="1"/>
    <col min="14369" max="14369" width="4.33203125" customWidth="1"/>
    <col min="14370" max="14370" width="1.109375" customWidth="1"/>
    <col min="14371" max="14372" width="4.33203125" customWidth="1"/>
    <col min="14373" max="14373" width="5" customWidth="1"/>
    <col min="14374" max="14374" width="1.33203125" customWidth="1"/>
    <col min="14594" max="14594" width="0.6640625" customWidth="1"/>
    <col min="14595" max="14595" width="3.88671875" customWidth="1"/>
    <col min="14596" max="14596" width="4" customWidth="1"/>
    <col min="14597" max="14597" width="2.44140625" customWidth="1"/>
    <col min="14598" max="14598" width="1.6640625" customWidth="1"/>
    <col min="14599" max="14599" width="11" customWidth="1"/>
    <col min="14600" max="14600" width="2.5546875" customWidth="1"/>
    <col min="14601" max="14601" width="3" customWidth="1"/>
    <col min="14602" max="14603" width="3.109375" customWidth="1"/>
    <col min="14604" max="14604" width="2.44140625" customWidth="1"/>
    <col min="14605" max="14605" width="2.88671875" customWidth="1"/>
    <col min="14606" max="14606" width="0.6640625" customWidth="1"/>
    <col min="14607" max="14607" width="5.33203125" customWidth="1"/>
    <col min="14608" max="14608" width="10.5546875" customWidth="1"/>
    <col min="14609" max="14609" width="5.109375" customWidth="1"/>
    <col min="14610" max="14610" width="7.44140625" customWidth="1"/>
    <col min="14611" max="14611" width="6.6640625" customWidth="1"/>
    <col min="14612" max="14612" width="4.33203125" customWidth="1"/>
    <col min="14613" max="14613" width="2" customWidth="1"/>
    <col min="14614" max="14615" width="2.6640625" customWidth="1"/>
    <col min="14616" max="14617" width="2.109375" customWidth="1"/>
    <col min="14618" max="14618" width="4.6640625" customWidth="1"/>
    <col min="14619" max="14619" width="1.6640625" customWidth="1"/>
    <col min="14620" max="14620" width="6.6640625" customWidth="1"/>
    <col min="14621" max="14622" width="1.88671875" customWidth="1"/>
    <col min="14623" max="14623" width="3" customWidth="1"/>
    <col min="14624" max="14624" width="4" customWidth="1"/>
    <col min="14625" max="14625" width="4.33203125" customWidth="1"/>
    <col min="14626" max="14626" width="1.109375" customWidth="1"/>
    <col min="14627" max="14628" width="4.33203125" customWidth="1"/>
    <col min="14629" max="14629" width="5" customWidth="1"/>
    <col min="14630" max="14630" width="1.33203125" customWidth="1"/>
    <col min="14850" max="14850" width="0.6640625" customWidth="1"/>
    <col min="14851" max="14851" width="3.88671875" customWidth="1"/>
    <col min="14852" max="14852" width="4" customWidth="1"/>
    <col min="14853" max="14853" width="2.44140625" customWidth="1"/>
    <col min="14854" max="14854" width="1.6640625" customWidth="1"/>
    <col min="14855" max="14855" width="11" customWidth="1"/>
    <col min="14856" max="14856" width="2.5546875" customWidth="1"/>
    <col min="14857" max="14857" width="3" customWidth="1"/>
    <col min="14858" max="14859" width="3.109375" customWidth="1"/>
    <col min="14860" max="14860" width="2.44140625" customWidth="1"/>
    <col min="14861" max="14861" width="2.88671875" customWidth="1"/>
    <col min="14862" max="14862" width="0.6640625" customWidth="1"/>
    <col min="14863" max="14863" width="5.33203125" customWidth="1"/>
    <col min="14864" max="14864" width="10.5546875" customWidth="1"/>
    <col min="14865" max="14865" width="5.109375" customWidth="1"/>
    <col min="14866" max="14866" width="7.44140625" customWidth="1"/>
    <col min="14867" max="14867" width="6.6640625" customWidth="1"/>
    <col min="14868" max="14868" width="4.33203125" customWidth="1"/>
    <col min="14869" max="14869" width="2" customWidth="1"/>
    <col min="14870" max="14871" width="2.6640625" customWidth="1"/>
    <col min="14872" max="14873" width="2.109375" customWidth="1"/>
    <col min="14874" max="14874" width="4.6640625" customWidth="1"/>
    <col min="14875" max="14875" width="1.6640625" customWidth="1"/>
    <col min="14876" max="14876" width="6.6640625" customWidth="1"/>
    <col min="14877" max="14878" width="1.88671875" customWidth="1"/>
    <col min="14879" max="14879" width="3" customWidth="1"/>
    <col min="14880" max="14880" width="4" customWidth="1"/>
    <col min="14881" max="14881" width="4.33203125" customWidth="1"/>
    <col min="14882" max="14882" width="1.109375" customWidth="1"/>
    <col min="14883" max="14884" width="4.33203125" customWidth="1"/>
    <col min="14885" max="14885" width="5" customWidth="1"/>
    <col min="14886" max="14886" width="1.33203125" customWidth="1"/>
    <col min="15106" max="15106" width="0.6640625" customWidth="1"/>
    <col min="15107" max="15107" width="3.88671875" customWidth="1"/>
    <col min="15108" max="15108" width="4" customWidth="1"/>
    <col min="15109" max="15109" width="2.44140625" customWidth="1"/>
    <col min="15110" max="15110" width="1.6640625" customWidth="1"/>
    <col min="15111" max="15111" width="11" customWidth="1"/>
    <col min="15112" max="15112" width="2.5546875" customWidth="1"/>
    <col min="15113" max="15113" width="3" customWidth="1"/>
    <col min="15114" max="15115" width="3.109375" customWidth="1"/>
    <col min="15116" max="15116" width="2.44140625" customWidth="1"/>
    <col min="15117" max="15117" width="2.88671875" customWidth="1"/>
    <col min="15118" max="15118" width="0.6640625" customWidth="1"/>
    <col min="15119" max="15119" width="5.33203125" customWidth="1"/>
    <col min="15120" max="15120" width="10.5546875" customWidth="1"/>
    <col min="15121" max="15121" width="5.109375" customWidth="1"/>
    <col min="15122" max="15122" width="7.44140625" customWidth="1"/>
    <col min="15123" max="15123" width="6.6640625" customWidth="1"/>
    <col min="15124" max="15124" width="4.33203125" customWidth="1"/>
    <col min="15125" max="15125" width="2" customWidth="1"/>
    <col min="15126" max="15127" width="2.6640625" customWidth="1"/>
    <col min="15128" max="15129" width="2.109375" customWidth="1"/>
    <col min="15130" max="15130" width="4.6640625" customWidth="1"/>
    <col min="15131" max="15131" width="1.6640625" customWidth="1"/>
    <col min="15132" max="15132" width="6.6640625" customWidth="1"/>
    <col min="15133" max="15134" width="1.88671875" customWidth="1"/>
    <col min="15135" max="15135" width="3" customWidth="1"/>
    <col min="15136" max="15136" width="4" customWidth="1"/>
    <col min="15137" max="15137" width="4.33203125" customWidth="1"/>
    <col min="15138" max="15138" width="1.109375" customWidth="1"/>
    <col min="15139" max="15140" width="4.33203125" customWidth="1"/>
    <col min="15141" max="15141" width="5" customWidth="1"/>
    <col min="15142" max="15142" width="1.33203125" customWidth="1"/>
    <col min="15362" max="15362" width="0.6640625" customWidth="1"/>
    <col min="15363" max="15363" width="3.88671875" customWidth="1"/>
    <col min="15364" max="15364" width="4" customWidth="1"/>
    <col min="15365" max="15365" width="2.44140625" customWidth="1"/>
    <col min="15366" max="15366" width="1.6640625" customWidth="1"/>
    <col min="15367" max="15367" width="11" customWidth="1"/>
    <col min="15368" max="15368" width="2.5546875" customWidth="1"/>
    <col min="15369" max="15369" width="3" customWidth="1"/>
    <col min="15370" max="15371" width="3.109375" customWidth="1"/>
    <col min="15372" max="15372" width="2.44140625" customWidth="1"/>
    <col min="15373" max="15373" width="2.88671875" customWidth="1"/>
    <col min="15374" max="15374" width="0.6640625" customWidth="1"/>
    <col min="15375" max="15375" width="5.33203125" customWidth="1"/>
    <col min="15376" max="15376" width="10.5546875" customWidth="1"/>
    <col min="15377" max="15377" width="5.109375" customWidth="1"/>
    <col min="15378" max="15378" width="7.44140625" customWidth="1"/>
    <col min="15379" max="15379" width="6.6640625" customWidth="1"/>
    <col min="15380" max="15380" width="4.33203125" customWidth="1"/>
    <col min="15381" max="15381" width="2" customWidth="1"/>
    <col min="15382" max="15383" width="2.6640625" customWidth="1"/>
    <col min="15384" max="15385" width="2.109375" customWidth="1"/>
    <col min="15386" max="15386" width="4.6640625" customWidth="1"/>
    <col min="15387" max="15387" width="1.6640625" customWidth="1"/>
    <col min="15388" max="15388" width="6.6640625" customWidth="1"/>
    <col min="15389" max="15390" width="1.88671875" customWidth="1"/>
    <col min="15391" max="15391" width="3" customWidth="1"/>
    <col min="15392" max="15392" width="4" customWidth="1"/>
    <col min="15393" max="15393" width="4.33203125" customWidth="1"/>
    <col min="15394" max="15394" width="1.109375" customWidth="1"/>
    <col min="15395" max="15396" width="4.33203125" customWidth="1"/>
    <col min="15397" max="15397" width="5" customWidth="1"/>
    <col min="15398" max="15398" width="1.33203125" customWidth="1"/>
    <col min="15618" max="15618" width="0.6640625" customWidth="1"/>
    <col min="15619" max="15619" width="3.88671875" customWidth="1"/>
    <col min="15620" max="15620" width="4" customWidth="1"/>
    <col min="15621" max="15621" width="2.44140625" customWidth="1"/>
    <col min="15622" max="15622" width="1.6640625" customWidth="1"/>
    <col min="15623" max="15623" width="11" customWidth="1"/>
    <col min="15624" max="15624" width="2.5546875" customWidth="1"/>
    <col min="15625" max="15625" width="3" customWidth="1"/>
    <col min="15626" max="15627" width="3.109375" customWidth="1"/>
    <col min="15628" max="15628" width="2.44140625" customWidth="1"/>
    <col min="15629" max="15629" width="2.88671875" customWidth="1"/>
    <col min="15630" max="15630" width="0.6640625" customWidth="1"/>
    <col min="15631" max="15631" width="5.33203125" customWidth="1"/>
    <col min="15632" max="15632" width="10.5546875" customWidth="1"/>
    <col min="15633" max="15633" width="5.109375" customWidth="1"/>
    <col min="15634" max="15634" width="7.44140625" customWidth="1"/>
    <col min="15635" max="15635" width="6.6640625" customWidth="1"/>
    <col min="15636" max="15636" width="4.33203125" customWidth="1"/>
    <col min="15637" max="15637" width="2" customWidth="1"/>
    <col min="15638" max="15639" width="2.6640625" customWidth="1"/>
    <col min="15640" max="15641" width="2.109375" customWidth="1"/>
    <col min="15642" max="15642" width="4.6640625" customWidth="1"/>
    <col min="15643" max="15643" width="1.6640625" customWidth="1"/>
    <col min="15644" max="15644" width="6.6640625" customWidth="1"/>
    <col min="15645" max="15646" width="1.88671875" customWidth="1"/>
    <col min="15647" max="15647" width="3" customWidth="1"/>
    <col min="15648" max="15648" width="4" customWidth="1"/>
    <col min="15649" max="15649" width="4.33203125" customWidth="1"/>
    <col min="15650" max="15650" width="1.109375" customWidth="1"/>
    <col min="15651" max="15652" width="4.33203125" customWidth="1"/>
    <col min="15653" max="15653" width="5" customWidth="1"/>
    <col min="15654" max="15654" width="1.33203125" customWidth="1"/>
    <col min="15874" max="15874" width="0.6640625" customWidth="1"/>
    <col min="15875" max="15875" width="3.88671875" customWidth="1"/>
    <col min="15876" max="15876" width="4" customWidth="1"/>
    <col min="15877" max="15877" width="2.44140625" customWidth="1"/>
    <col min="15878" max="15878" width="1.6640625" customWidth="1"/>
    <col min="15879" max="15879" width="11" customWidth="1"/>
    <col min="15880" max="15880" width="2.5546875" customWidth="1"/>
    <col min="15881" max="15881" width="3" customWidth="1"/>
    <col min="15882" max="15883" width="3.109375" customWidth="1"/>
    <col min="15884" max="15884" width="2.44140625" customWidth="1"/>
    <col min="15885" max="15885" width="2.88671875" customWidth="1"/>
    <col min="15886" max="15886" width="0.6640625" customWidth="1"/>
    <col min="15887" max="15887" width="5.33203125" customWidth="1"/>
    <col min="15888" max="15888" width="10.5546875" customWidth="1"/>
    <col min="15889" max="15889" width="5.109375" customWidth="1"/>
    <col min="15890" max="15890" width="7.44140625" customWidth="1"/>
    <col min="15891" max="15891" width="6.6640625" customWidth="1"/>
    <col min="15892" max="15892" width="4.33203125" customWidth="1"/>
    <col min="15893" max="15893" width="2" customWidth="1"/>
    <col min="15894" max="15895" width="2.6640625" customWidth="1"/>
    <col min="15896" max="15897" width="2.109375" customWidth="1"/>
    <col min="15898" max="15898" width="4.6640625" customWidth="1"/>
    <col min="15899" max="15899" width="1.6640625" customWidth="1"/>
    <col min="15900" max="15900" width="6.6640625" customWidth="1"/>
    <col min="15901" max="15902" width="1.88671875" customWidth="1"/>
    <col min="15903" max="15903" width="3" customWidth="1"/>
    <col min="15904" max="15904" width="4" customWidth="1"/>
    <col min="15905" max="15905" width="4.33203125" customWidth="1"/>
    <col min="15906" max="15906" width="1.109375" customWidth="1"/>
    <col min="15907" max="15908" width="4.33203125" customWidth="1"/>
    <col min="15909" max="15909" width="5" customWidth="1"/>
    <col min="15910" max="15910" width="1.33203125" customWidth="1"/>
    <col min="16130" max="16130" width="0.6640625" customWidth="1"/>
    <col min="16131" max="16131" width="3.88671875" customWidth="1"/>
    <col min="16132" max="16132" width="4" customWidth="1"/>
    <col min="16133" max="16133" width="2.44140625" customWidth="1"/>
    <col min="16134" max="16134" width="1.6640625" customWidth="1"/>
    <col min="16135" max="16135" width="11" customWidth="1"/>
    <col min="16136" max="16136" width="2.5546875" customWidth="1"/>
    <col min="16137" max="16137" width="3" customWidth="1"/>
    <col min="16138" max="16139" width="3.109375" customWidth="1"/>
    <col min="16140" max="16140" width="2.44140625" customWidth="1"/>
    <col min="16141" max="16141" width="2.88671875" customWidth="1"/>
    <col min="16142" max="16142" width="0.6640625" customWidth="1"/>
    <col min="16143" max="16143" width="5.33203125" customWidth="1"/>
    <col min="16144" max="16144" width="10.5546875" customWidth="1"/>
    <col min="16145" max="16145" width="5.109375" customWidth="1"/>
    <col min="16146" max="16146" width="7.44140625" customWidth="1"/>
    <col min="16147" max="16147" width="6.6640625" customWidth="1"/>
    <col min="16148" max="16148" width="4.33203125" customWidth="1"/>
    <col min="16149" max="16149" width="2" customWidth="1"/>
    <col min="16150" max="16151" width="2.6640625" customWidth="1"/>
    <col min="16152" max="16153" width="2.109375" customWidth="1"/>
    <col min="16154" max="16154" width="4.6640625" customWidth="1"/>
    <col min="16155" max="16155" width="1.6640625" customWidth="1"/>
    <col min="16156" max="16156" width="6.6640625" customWidth="1"/>
    <col min="16157" max="16158" width="1.88671875" customWidth="1"/>
    <col min="16159" max="16159" width="3" customWidth="1"/>
    <col min="16160" max="16160" width="4" customWidth="1"/>
    <col min="16161" max="16161" width="4.33203125" customWidth="1"/>
    <col min="16162" max="16162" width="1.109375" customWidth="1"/>
    <col min="16163" max="16164" width="4.33203125" customWidth="1"/>
    <col min="16165" max="16165" width="5" customWidth="1"/>
    <col min="16166" max="16166" width="1.33203125" customWidth="1"/>
  </cols>
  <sheetData>
    <row r="1" spans="1:38" ht="13.5" customHeight="1">
      <c r="A1" s="697"/>
      <c r="B1" s="595"/>
      <c r="C1" s="595"/>
      <c r="D1" s="595"/>
      <c r="E1" s="595"/>
      <c r="F1" s="595"/>
      <c r="G1" s="595"/>
      <c r="H1" s="595"/>
      <c r="I1" s="595"/>
      <c r="J1" s="595"/>
      <c r="K1" s="595"/>
      <c r="L1" s="595"/>
      <c r="M1" s="595"/>
      <c r="N1" s="595"/>
      <c r="O1" s="595"/>
      <c r="P1" s="595"/>
      <c r="Q1" s="595"/>
      <c r="R1" s="812"/>
      <c r="S1" s="812"/>
      <c r="T1" s="812"/>
      <c r="U1" s="595"/>
      <c r="V1" s="595"/>
      <c r="W1" s="595"/>
      <c r="X1" s="595"/>
      <c r="Y1" s="595"/>
      <c r="Z1" s="595"/>
      <c r="AA1" s="595"/>
      <c r="AB1" s="595"/>
      <c r="AC1" s="595"/>
      <c r="AD1" s="595"/>
      <c r="AE1" s="595"/>
      <c r="AF1" s="595"/>
      <c r="AG1" s="595"/>
      <c r="AH1" s="595"/>
      <c r="AI1" s="1831" t="str">
        <f>'DS Log Pg 1'!U1</f>
        <v>700-010-84</v>
      </c>
      <c r="AJ1" s="1832"/>
      <c r="AK1" s="1832"/>
      <c r="AL1" s="595"/>
    </row>
    <row r="2" spans="1:38" ht="12.75" customHeight="1">
      <c r="A2" s="697"/>
      <c r="B2" s="595"/>
      <c r="C2" s="595"/>
      <c r="D2" s="1833" t="s">
        <v>933</v>
      </c>
      <c r="E2" s="1833"/>
      <c r="F2" s="1833"/>
      <c r="G2" s="1833"/>
      <c r="H2" s="1833"/>
      <c r="I2" s="1833"/>
      <c r="J2" s="1833"/>
      <c r="K2" s="1833"/>
      <c r="L2" s="1833"/>
      <c r="M2" s="1833"/>
      <c r="N2" s="1833"/>
      <c r="O2" s="1833"/>
      <c r="P2" s="1833"/>
      <c r="Q2" s="1833"/>
      <c r="R2" s="1833"/>
      <c r="S2" s="1833"/>
      <c r="T2" s="1833"/>
      <c r="U2" s="1833"/>
      <c r="V2" s="1833"/>
      <c r="W2" s="1833"/>
      <c r="X2" s="1833"/>
      <c r="Y2" s="1833"/>
      <c r="Z2" s="1833"/>
      <c r="AA2" s="1833"/>
      <c r="AB2" s="1833"/>
      <c r="AC2" s="1833"/>
      <c r="AD2" s="1833"/>
      <c r="AE2" s="1833"/>
      <c r="AF2" s="1833"/>
      <c r="AG2" s="1833"/>
      <c r="AH2" s="1831" t="s">
        <v>8</v>
      </c>
      <c r="AI2" s="1831"/>
      <c r="AJ2" s="1831"/>
      <c r="AK2" s="1831"/>
      <c r="AL2" s="595"/>
    </row>
    <row r="3" spans="1:38" ht="21.75" customHeight="1">
      <c r="A3" s="697"/>
      <c r="B3" s="595"/>
      <c r="C3" s="595"/>
      <c r="D3" s="1834" t="s">
        <v>932</v>
      </c>
      <c r="E3" s="1835"/>
      <c r="F3" s="1835"/>
      <c r="G3" s="1835"/>
      <c r="H3" s="1835"/>
      <c r="I3" s="1835"/>
      <c r="J3" s="1835"/>
      <c r="K3" s="1835"/>
      <c r="L3" s="1835"/>
      <c r="M3" s="1835"/>
      <c r="N3" s="1835"/>
      <c r="O3" s="1835"/>
      <c r="P3" s="1835"/>
      <c r="Q3" s="1835"/>
      <c r="R3" s="1835"/>
      <c r="S3" s="1835"/>
      <c r="T3" s="1835"/>
      <c r="U3" s="1835"/>
      <c r="V3" s="1835"/>
      <c r="W3" s="1835"/>
      <c r="X3" s="1835"/>
      <c r="Y3" s="1835"/>
      <c r="Z3" s="1835"/>
      <c r="AA3" s="1835"/>
      <c r="AB3" s="1835"/>
      <c r="AC3" s="1835"/>
      <c r="AD3" s="1835"/>
      <c r="AE3" s="1835"/>
      <c r="AF3" s="1835"/>
      <c r="AG3" s="1835"/>
      <c r="AH3" s="596"/>
      <c r="AI3" s="596"/>
      <c r="AJ3" s="1836">
        <f>'DS Log Pg 1'!U3</f>
        <v>45222</v>
      </c>
      <c r="AK3" s="1837"/>
      <c r="AL3" s="595"/>
    </row>
    <row r="4" spans="1:38" ht="15" customHeight="1" thickBot="1">
      <c r="A4" s="697"/>
      <c r="B4" s="595"/>
      <c r="C4" s="595"/>
      <c r="D4" s="595"/>
      <c r="E4" s="1838"/>
      <c r="F4" s="1838"/>
      <c r="G4" s="1838"/>
      <c r="H4" s="1838"/>
      <c r="I4" s="1838"/>
      <c r="J4" s="1838"/>
      <c r="K4" s="1838"/>
      <c r="L4" s="1838"/>
      <c r="M4" s="1838"/>
      <c r="N4" s="1838"/>
      <c r="O4" s="1838"/>
      <c r="P4" s="1838"/>
      <c r="Q4" s="1838"/>
      <c r="R4" s="1838"/>
      <c r="S4" s="1838"/>
      <c r="T4" s="1838"/>
      <c r="U4" s="1838"/>
      <c r="V4" s="1838"/>
      <c r="W4" s="1838"/>
      <c r="X4" s="1838"/>
      <c r="Y4" s="1838"/>
      <c r="Z4" s="1838"/>
      <c r="AA4" s="1838"/>
      <c r="AB4" s="1838"/>
      <c r="AC4" s="1838"/>
      <c r="AD4" s="1838"/>
      <c r="AE4" s="1838"/>
      <c r="AF4" s="1838"/>
      <c r="AG4" s="1838"/>
      <c r="AH4" s="872"/>
      <c r="AI4" s="872"/>
      <c r="AJ4" s="846"/>
      <c r="AK4" s="595"/>
      <c r="AL4" s="595"/>
    </row>
    <row r="5" spans="1:38" ht="18" customHeight="1" thickTop="1">
      <c r="A5" s="595"/>
      <c r="B5" s="845"/>
      <c r="C5" s="843"/>
      <c r="D5" s="843"/>
      <c r="E5" s="843"/>
      <c r="F5" s="843"/>
      <c r="G5" s="843"/>
      <c r="H5" s="843"/>
      <c r="I5" s="843"/>
      <c r="J5" s="843"/>
      <c r="K5" s="843"/>
      <c r="L5" s="843"/>
      <c r="M5" s="843"/>
      <c r="N5" s="843"/>
      <c r="O5" s="843"/>
      <c r="P5" s="843"/>
      <c r="Q5" s="843"/>
      <c r="R5" s="844"/>
      <c r="S5" s="844"/>
      <c r="T5" s="844"/>
      <c r="U5" s="843"/>
      <c r="V5" s="843"/>
      <c r="W5" s="843"/>
      <c r="X5" s="843"/>
      <c r="Y5" s="843"/>
      <c r="Z5" s="843"/>
      <c r="AA5" s="843"/>
      <c r="AB5" s="843"/>
      <c r="AC5" s="843"/>
      <c r="AD5" s="843"/>
      <c r="AE5" s="843"/>
      <c r="AF5" s="843"/>
      <c r="AG5" s="843"/>
      <c r="AH5" s="843"/>
      <c r="AI5" s="843"/>
      <c r="AJ5" s="843"/>
      <c r="AK5" s="842"/>
      <c r="AL5" s="595"/>
    </row>
    <row r="6" spans="1:38" ht="18" customHeight="1" thickBot="1">
      <c r="A6" s="595"/>
      <c r="B6" s="841"/>
      <c r="C6" s="840"/>
      <c r="D6" s="840"/>
      <c r="E6" s="840"/>
      <c r="F6" s="840"/>
      <c r="G6" s="840"/>
      <c r="H6" s="840"/>
      <c r="I6" s="840"/>
      <c r="J6" s="840"/>
      <c r="K6" s="840"/>
      <c r="L6" s="840"/>
      <c r="M6" s="840"/>
      <c r="N6" s="840"/>
      <c r="O6" s="840"/>
      <c r="P6" s="840"/>
      <c r="Q6" s="840"/>
      <c r="R6" s="873"/>
      <c r="S6" s="873"/>
      <c r="T6" s="873"/>
      <c r="U6" s="840"/>
      <c r="V6" s="1843" t="s">
        <v>10</v>
      </c>
      <c r="W6" s="1843"/>
      <c r="X6" s="1843"/>
      <c r="Y6" s="1843"/>
      <c r="Z6" s="1843"/>
      <c r="AA6" s="1841"/>
      <c r="AB6" s="1841"/>
      <c r="AC6" s="1846"/>
      <c r="AD6" s="1846"/>
      <c r="AE6" s="1846"/>
      <c r="AF6" s="1846"/>
      <c r="AG6" s="1099" t="s">
        <v>981</v>
      </c>
      <c r="AH6" s="1846"/>
      <c r="AI6" s="1846"/>
      <c r="AJ6" s="1846"/>
      <c r="AK6" s="827"/>
      <c r="AL6" s="595"/>
    </row>
    <row r="7" spans="1:38" ht="18" customHeight="1" thickBot="1">
      <c r="A7" s="595"/>
      <c r="B7" s="841"/>
      <c r="C7" s="1843" t="s">
        <v>669</v>
      </c>
      <c r="D7" s="1843"/>
      <c r="E7" s="1843"/>
      <c r="F7" s="1843"/>
      <c r="G7" s="870"/>
      <c r="H7" s="1840" t="str">
        <f>IF('DS Log Pg 1'!D7="","",'DS Log Pg 1'!D7)</f>
        <v/>
      </c>
      <c r="I7" s="1840"/>
      <c r="J7" s="1840"/>
      <c r="K7" s="1840"/>
      <c r="L7" s="1840"/>
      <c r="M7" s="1840"/>
      <c r="N7" s="1840"/>
      <c r="O7" s="1840"/>
      <c r="P7" s="1840"/>
      <c r="Q7" s="1840"/>
      <c r="R7" s="1840"/>
      <c r="S7" s="1840"/>
      <c r="T7" s="1840"/>
      <c r="U7" s="873"/>
      <c r="V7" s="1843" t="s">
        <v>670</v>
      </c>
      <c r="W7" s="1843"/>
      <c r="X7" s="1843"/>
      <c r="Y7" s="1843"/>
      <c r="Z7" s="1843"/>
      <c r="AA7" s="1843"/>
      <c r="AB7" s="1843"/>
      <c r="AC7" s="1842" t="str">
        <f>IF('DS Log Pg 1'!S7="","",'DS Log Pg 1'!S7)</f>
        <v/>
      </c>
      <c r="AD7" s="1842"/>
      <c r="AE7" s="1842"/>
      <c r="AF7" s="1842"/>
      <c r="AG7" s="1842"/>
      <c r="AH7" s="1842"/>
      <c r="AI7" s="1842"/>
      <c r="AJ7" s="1842"/>
      <c r="AK7" s="827"/>
      <c r="AL7" s="595"/>
    </row>
    <row r="8" spans="1:38" ht="18" customHeight="1" thickBot="1">
      <c r="A8" s="595"/>
      <c r="B8" s="841"/>
      <c r="C8" s="1839" t="s">
        <v>688</v>
      </c>
      <c r="D8" s="1839"/>
      <c r="E8" s="1839"/>
      <c r="F8" s="1839"/>
      <c r="G8" s="870"/>
      <c r="H8" s="1840" t="str">
        <f>IF('DS Log Pg 1'!D8="","",'DS Log Pg 1'!D8)</f>
        <v/>
      </c>
      <c r="I8" s="1840"/>
      <c r="J8" s="1840"/>
      <c r="K8" s="1840"/>
      <c r="L8" s="1840"/>
      <c r="M8" s="1840"/>
      <c r="N8" s="1840"/>
      <c r="O8" s="1840"/>
      <c r="P8" s="1840"/>
      <c r="Q8" s="1840"/>
      <c r="R8" s="1840"/>
      <c r="S8" s="1840"/>
      <c r="T8" s="1840"/>
      <c r="U8" s="873"/>
      <c r="V8" s="1841" t="s">
        <v>671</v>
      </c>
      <c r="W8" s="1841"/>
      <c r="X8" s="1841"/>
      <c r="Y8" s="1841"/>
      <c r="Z8" s="1841"/>
      <c r="AA8" s="1841"/>
      <c r="AB8" s="1841"/>
      <c r="AC8" s="1842" t="str">
        <f>IF('DS Log Pg 1'!S8="","",'DS Log Pg 1'!S8)</f>
        <v/>
      </c>
      <c r="AD8" s="1842"/>
      <c r="AE8" s="1842"/>
      <c r="AF8" s="1842"/>
      <c r="AG8" s="1842"/>
      <c r="AH8" s="1842"/>
      <c r="AI8" s="1842"/>
      <c r="AJ8" s="1842"/>
      <c r="AK8" s="827"/>
      <c r="AL8" s="595"/>
    </row>
    <row r="9" spans="1:38" ht="18" customHeight="1" thickBot="1">
      <c r="A9" s="595"/>
      <c r="B9" s="841"/>
      <c r="C9" s="1843" t="s">
        <v>672</v>
      </c>
      <c r="D9" s="1843"/>
      <c r="E9" s="1843"/>
      <c r="F9" s="1843"/>
      <c r="G9" s="870"/>
      <c r="H9" s="1844" t="str">
        <f>IF('DS Log Pg 1'!D9="","",'DS Log Pg 1'!D9)</f>
        <v/>
      </c>
      <c r="I9" s="1844"/>
      <c r="J9" s="1844"/>
      <c r="K9" s="1844"/>
      <c r="L9" s="1844"/>
      <c r="M9" s="1844"/>
      <c r="N9" s="1844"/>
      <c r="O9" s="1844"/>
      <c r="P9" s="1844"/>
      <c r="Q9" s="1844"/>
      <c r="R9" s="1844"/>
      <c r="S9" s="1844"/>
      <c r="T9" s="1844"/>
      <c r="U9" s="840"/>
      <c r="V9" s="1841" t="s">
        <v>673</v>
      </c>
      <c r="W9" s="1841"/>
      <c r="X9" s="1841"/>
      <c r="Y9" s="1841"/>
      <c r="Z9" s="1841"/>
      <c r="AA9" s="1841"/>
      <c r="AB9" s="1841"/>
      <c r="AC9" s="1845" t="str">
        <f>IF('DS Log Pg 1'!S9="","",'DS Log Pg 1'!S9)</f>
        <v/>
      </c>
      <c r="AD9" s="1845"/>
      <c r="AE9" s="1845"/>
      <c r="AF9" s="1845"/>
      <c r="AG9" s="1845"/>
      <c r="AH9" s="1845"/>
      <c r="AI9" s="1845"/>
      <c r="AJ9" s="1845"/>
      <c r="AK9" s="827"/>
      <c r="AL9" s="595"/>
    </row>
    <row r="10" spans="1:38" ht="18" customHeight="1" thickBot="1">
      <c r="A10" s="595"/>
      <c r="B10" s="841"/>
      <c r="C10" s="1843" t="s">
        <v>930</v>
      </c>
      <c r="D10" s="1843"/>
      <c r="E10" s="1843"/>
      <c r="F10" s="1843"/>
      <c r="G10" s="870"/>
      <c r="H10" s="1851"/>
      <c r="I10" s="1851"/>
      <c r="J10" s="1851"/>
      <c r="K10" s="1851"/>
      <c r="L10" s="1851"/>
      <c r="M10" s="1851"/>
      <c r="N10" s="1851"/>
      <c r="O10" s="873" t="s">
        <v>674</v>
      </c>
      <c r="P10" s="1847"/>
      <c r="Q10" s="1847"/>
      <c r="R10" s="839" t="s">
        <v>675</v>
      </c>
      <c r="S10" s="1852"/>
      <c r="T10" s="1852"/>
      <c r="U10" s="840"/>
      <c r="V10" s="1841" t="s">
        <v>676</v>
      </c>
      <c r="W10" s="1841"/>
      <c r="X10" s="1841"/>
      <c r="Y10" s="1841"/>
      <c r="Z10" s="1841"/>
      <c r="AA10" s="1841"/>
      <c r="AB10" s="1841"/>
      <c r="AC10" s="1845" t="str">
        <f>IF('DS Log Pg 1'!S10="","",'DS Log Pg 1'!S10)</f>
        <v/>
      </c>
      <c r="AD10" s="1845"/>
      <c r="AE10" s="1845"/>
      <c r="AF10" s="1845"/>
      <c r="AG10" s="1845"/>
      <c r="AH10" s="1845"/>
      <c r="AI10" s="1845"/>
      <c r="AJ10" s="1845"/>
      <c r="AK10" s="827"/>
      <c r="AL10" s="595"/>
    </row>
    <row r="11" spans="1:38" ht="18" customHeight="1" thickBot="1">
      <c r="A11" s="595"/>
      <c r="B11" s="841"/>
      <c r="C11" s="1843" t="s">
        <v>929</v>
      </c>
      <c r="D11" s="1843"/>
      <c r="E11" s="1843"/>
      <c r="F11" s="1843"/>
      <c r="G11" s="870"/>
      <c r="H11" s="1847"/>
      <c r="I11" s="1847"/>
      <c r="J11" s="1847"/>
      <c r="K11" s="1847"/>
      <c r="L11" s="1847"/>
      <c r="M11" s="1847"/>
      <c r="N11" s="1847"/>
      <c r="O11" s="1847"/>
      <c r="P11" s="1847"/>
      <c r="Q11" s="1847"/>
      <c r="R11" s="839" t="s">
        <v>675</v>
      </c>
      <c r="S11" s="1848"/>
      <c r="T11" s="1848"/>
      <c r="U11" s="840"/>
      <c r="V11" s="1841" t="s">
        <v>928</v>
      </c>
      <c r="W11" s="1841"/>
      <c r="X11" s="1841"/>
      <c r="Y11" s="1841"/>
      <c r="Z11" s="1841"/>
      <c r="AA11" s="1841"/>
      <c r="AB11" s="1841"/>
      <c r="AC11" s="1842" t="str">
        <f>IF('DS Log Pg 1'!S11="","",'DS Log Pg 1'!S11)</f>
        <v/>
      </c>
      <c r="AD11" s="1842"/>
      <c r="AE11" s="1842"/>
      <c r="AF11" s="1842"/>
      <c r="AG11" s="1842"/>
      <c r="AH11" s="1842"/>
      <c r="AI11" s="1842"/>
      <c r="AJ11" s="1842"/>
      <c r="AK11" s="827"/>
      <c r="AL11" s="595"/>
    </row>
    <row r="12" spans="1:38" ht="15.75" customHeight="1">
      <c r="A12" s="595"/>
      <c r="B12" s="841"/>
      <c r="C12" s="840"/>
      <c r="D12" s="840"/>
      <c r="E12" s="840"/>
      <c r="F12" s="839"/>
      <c r="G12" s="839"/>
      <c r="H12" s="1849" t="s">
        <v>991</v>
      </c>
      <c r="I12" s="1849"/>
      <c r="J12" s="1849"/>
      <c r="K12" s="1849"/>
      <c r="L12" s="1849"/>
      <c r="M12" s="1849"/>
      <c r="N12" s="1849"/>
      <c r="O12" s="1849"/>
      <c r="P12" s="1849"/>
      <c r="Q12" s="1849"/>
      <c r="R12" s="1849"/>
      <c r="S12" s="1849"/>
      <c r="T12" s="1849"/>
      <c r="U12" s="840"/>
      <c r="V12" s="840"/>
      <c r="W12" s="840"/>
      <c r="X12" s="840"/>
      <c r="Y12" s="840"/>
      <c r="Z12" s="840"/>
      <c r="AA12" s="840"/>
      <c r="AB12" s="840"/>
      <c r="AC12" s="840"/>
      <c r="AD12" s="840"/>
      <c r="AE12" s="840"/>
      <c r="AF12" s="839"/>
      <c r="AG12" s="1850"/>
      <c r="AH12" s="1850"/>
      <c r="AI12" s="1850"/>
      <c r="AJ12" s="1850"/>
      <c r="AK12" s="827"/>
      <c r="AL12" s="595"/>
    </row>
    <row r="13" spans="1:38" ht="9.75" customHeight="1" thickBot="1">
      <c r="A13" s="595"/>
      <c r="B13" s="838"/>
      <c r="C13" s="837"/>
      <c r="D13" s="837"/>
      <c r="E13" s="837"/>
      <c r="F13" s="836"/>
      <c r="G13" s="836"/>
      <c r="H13" s="835"/>
      <c r="I13" s="835"/>
      <c r="J13" s="835"/>
      <c r="K13" s="835"/>
      <c r="L13" s="835"/>
      <c r="M13" s="835"/>
      <c r="N13" s="835"/>
      <c r="O13" s="835"/>
      <c r="P13" s="835"/>
      <c r="Q13" s="835"/>
      <c r="R13" s="835"/>
      <c r="S13" s="835"/>
      <c r="T13" s="835"/>
      <c r="U13" s="837"/>
      <c r="V13" s="837"/>
      <c r="W13" s="837"/>
      <c r="X13" s="837"/>
      <c r="Y13" s="837"/>
      <c r="Z13" s="837"/>
      <c r="AA13" s="837"/>
      <c r="AB13" s="837"/>
      <c r="AC13" s="837"/>
      <c r="AD13" s="837"/>
      <c r="AE13" s="837"/>
      <c r="AF13" s="836"/>
      <c r="AG13" s="835"/>
      <c r="AH13" s="835"/>
      <c r="AI13" s="835"/>
      <c r="AJ13" s="835"/>
      <c r="AK13" s="834"/>
      <c r="AL13" s="595"/>
    </row>
    <row r="14" spans="1:38" ht="18" customHeight="1">
      <c r="A14" s="595"/>
      <c r="B14" s="819"/>
      <c r="C14" s="595"/>
      <c r="D14" s="595"/>
      <c r="E14" s="595"/>
      <c r="F14" s="833"/>
      <c r="G14" s="833"/>
      <c r="H14" s="1858"/>
      <c r="I14" s="1858"/>
      <c r="J14" s="1858"/>
      <c r="K14" s="1858"/>
      <c r="L14" s="1858"/>
      <c r="M14" s="1858"/>
      <c r="N14" s="1858"/>
      <c r="O14" s="1858"/>
      <c r="P14" s="1858"/>
      <c r="Q14" s="1858"/>
      <c r="R14" s="1858"/>
      <c r="S14" s="1858"/>
      <c r="T14" s="953"/>
      <c r="U14" s="1859"/>
      <c r="V14" s="1859"/>
      <c r="W14" s="1859"/>
      <c r="X14" s="1859"/>
      <c r="Y14" s="1859"/>
      <c r="Z14" s="1859"/>
      <c r="AA14" s="1859"/>
      <c r="AB14" s="1859"/>
      <c r="AC14" s="1859"/>
      <c r="AD14" s="1859"/>
      <c r="AE14" s="1859"/>
      <c r="AF14" s="1859"/>
      <c r="AG14" s="1859"/>
      <c r="AH14" s="1859"/>
      <c r="AI14" s="1859"/>
      <c r="AJ14" s="1859"/>
      <c r="AK14" s="816"/>
      <c r="AL14" s="595"/>
    </row>
    <row r="15" spans="1:38" ht="18" customHeight="1">
      <c r="A15" s="595"/>
      <c r="B15" s="819"/>
      <c r="C15" s="595"/>
      <c r="D15" s="595"/>
      <c r="E15" s="595"/>
      <c r="F15" s="832"/>
      <c r="G15" s="832"/>
      <c r="H15" s="831"/>
      <c r="I15" s="831"/>
      <c r="J15" s="831"/>
      <c r="K15" s="831"/>
      <c r="L15" s="831"/>
      <c r="M15" s="831"/>
      <c r="N15" s="831"/>
      <c r="O15" s="831"/>
      <c r="P15" s="831"/>
      <c r="Q15" s="831"/>
      <c r="R15" s="830" t="s">
        <v>926</v>
      </c>
      <c r="S15" s="1864" t="s">
        <v>1190</v>
      </c>
      <c r="T15" s="1865"/>
      <c r="U15" s="1865"/>
      <c r="V15" s="1865"/>
      <c r="W15" s="1865"/>
      <c r="X15" s="1865"/>
      <c r="Y15" s="1865"/>
      <c r="Z15" s="1865"/>
      <c r="AA15" s="1865"/>
      <c r="AB15" s="1865"/>
      <c r="AC15" s="1865"/>
      <c r="AD15" s="1865"/>
      <c r="AE15" s="1865"/>
      <c r="AF15" s="1865"/>
      <c r="AG15" s="1865"/>
      <c r="AH15" s="820"/>
      <c r="AI15" s="820"/>
      <c r="AJ15" s="820"/>
      <c r="AK15" s="816"/>
      <c r="AL15" s="595"/>
    </row>
    <row r="16" spans="1:38" ht="15.6">
      <c r="A16" s="595"/>
      <c r="B16" s="819"/>
      <c r="C16" s="595"/>
      <c r="D16" s="595"/>
      <c r="E16" s="595"/>
      <c r="F16" s="595"/>
      <c r="G16" s="595"/>
      <c r="H16" s="1860" t="s">
        <v>925</v>
      </c>
      <c r="I16" s="1861"/>
      <c r="J16" s="1861"/>
      <c r="K16" s="1861"/>
      <c r="L16" s="829"/>
      <c r="M16" s="829"/>
      <c r="N16" s="595"/>
      <c r="O16" s="595"/>
      <c r="P16" s="595"/>
      <c r="Q16" s="595"/>
      <c r="R16" s="825"/>
      <c r="S16" s="1853" t="s">
        <v>1176</v>
      </c>
      <c r="T16" s="1853"/>
      <c r="U16" s="1853"/>
      <c r="V16" s="1853"/>
      <c r="W16" s="1853"/>
      <c r="X16" s="1853"/>
      <c r="Y16" s="1853"/>
      <c r="Z16" s="1853"/>
      <c r="AA16" s="1853"/>
      <c r="AB16" s="1853"/>
      <c r="AC16" s="1853"/>
      <c r="AD16" s="1853"/>
      <c r="AE16" s="1853"/>
      <c r="AF16" s="1853"/>
      <c r="AG16" s="1856"/>
      <c r="AH16" s="1856"/>
      <c r="AI16" s="1856"/>
      <c r="AJ16" s="1856"/>
      <c r="AK16" s="816"/>
      <c r="AL16" s="595"/>
    </row>
    <row r="17" spans="1:57" ht="15" customHeight="1">
      <c r="A17" s="595"/>
      <c r="B17" s="819"/>
      <c r="C17" s="595"/>
      <c r="D17" s="595"/>
      <c r="E17" s="595"/>
      <c r="F17" s="595"/>
      <c r="G17" s="595"/>
      <c r="H17" s="1861"/>
      <c r="I17" s="1861"/>
      <c r="J17" s="1861"/>
      <c r="K17" s="1861"/>
      <c r="L17" s="1862"/>
      <c r="M17" s="1862"/>
      <c r="N17" s="595">
        <v>1000</v>
      </c>
      <c r="O17" s="595"/>
      <c r="P17" s="595"/>
      <c r="Q17" s="595"/>
      <c r="R17" s="825"/>
      <c r="S17" s="1863" t="str">
        <f>CONCATENATE("( Based on Cage Dia., should be = ", IF((L17/12)&lt;3,4,ROUNDUP(L17/12+1,0))," Access tubes )")</f>
        <v>( Based on Cage Dia., should be = 4 Access tubes )</v>
      </c>
      <c r="T17" s="1863"/>
      <c r="U17" s="1863"/>
      <c r="V17" s="1863"/>
      <c r="W17" s="1863"/>
      <c r="X17" s="1863"/>
      <c r="Y17" s="1863"/>
      <c r="Z17" s="1863"/>
      <c r="AA17" s="1863"/>
      <c r="AB17" s="1863"/>
      <c r="AC17" s="1863"/>
      <c r="AD17" s="1863"/>
      <c r="AE17" s="1863"/>
      <c r="AF17" s="1863"/>
      <c r="AG17" s="1856"/>
      <c r="AH17" s="1856"/>
      <c r="AI17" s="1856"/>
      <c r="AJ17" s="1856"/>
      <c r="AK17" s="816"/>
      <c r="AL17" s="595"/>
    </row>
    <row r="18" spans="1:57">
      <c r="A18" s="595"/>
      <c r="B18" s="819"/>
      <c r="C18" s="595"/>
      <c r="D18" s="595"/>
      <c r="E18" s="595"/>
      <c r="F18" s="595"/>
      <c r="G18" s="595"/>
      <c r="H18" s="823"/>
      <c r="I18" s="595"/>
      <c r="J18" s="595"/>
      <c r="K18" s="595"/>
      <c r="L18" s="595"/>
      <c r="M18" s="595"/>
      <c r="N18" s="828"/>
      <c r="O18" s="595"/>
      <c r="P18" s="595"/>
      <c r="Q18" s="595"/>
      <c r="R18" s="825"/>
      <c r="S18" s="1853" t="s">
        <v>1177</v>
      </c>
      <c r="T18" s="1853"/>
      <c r="U18" s="1853"/>
      <c r="V18" s="1853"/>
      <c r="W18" s="1853"/>
      <c r="X18" s="1853"/>
      <c r="Y18" s="1853"/>
      <c r="Z18" s="1853"/>
      <c r="AA18" s="1853"/>
      <c r="AB18" s="1853"/>
      <c r="AC18" s="1853"/>
      <c r="AD18" s="1853"/>
      <c r="AE18" s="1853"/>
      <c r="AF18" s="1853"/>
      <c r="AG18" s="1854"/>
      <c r="AH18" s="1854"/>
      <c r="AI18" s="1854"/>
      <c r="AJ18" s="1854"/>
      <c r="AK18" s="816"/>
      <c r="AL18" s="595"/>
    </row>
    <row r="19" spans="1:57">
      <c r="A19" s="595"/>
      <c r="B19" s="819"/>
      <c r="C19" s="595"/>
      <c r="D19" s="595"/>
      <c r="E19" s="595"/>
      <c r="F19" s="595"/>
      <c r="G19" s="595"/>
      <c r="H19" s="823"/>
      <c r="I19" s="595"/>
      <c r="J19" s="595"/>
      <c r="K19" s="595"/>
      <c r="L19" s="595"/>
      <c r="M19" s="595"/>
      <c r="N19" s="828"/>
      <c r="O19" s="595"/>
      <c r="P19" s="595"/>
      <c r="Q19" s="595"/>
      <c r="R19" s="825"/>
      <c r="S19" s="825"/>
      <c r="T19" s="825"/>
      <c r="U19" s="820"/>
      <c r="V19" s="820"/>
      <c r="W19" s="820"/>
      <c r="X19" s="820"/>
      <c r="Y19" s="820"/>
      <c r="Z19" s="820"/>
      <c r="AA19" s="820"/>
      <c r="AB19" s="820"/>
      <c r="AC19" s="820"/>
      <c r="AD19" s="820"/>
      <c r="AE19" s="820"/>
      <c r="AF19" s="820"/>
      <c r="AG19" s="820"/>
      <c r="AH19" s="820"/>
      <c r="AI19" s="820"/>
      <c r="AJ19" s="820"/>
      <c r="AK19" s="816"/>
      <c r="AL19" s="595"/>
    </row>
    <row r="20" spans="1:57" ht="18" customHeight="1">
      <c r="A20" s="595"/>
      <c r="B20" s="819"/>
      <c r="C20" s="595"/>
      <c r="D20" s="595"/>
      <c r="E20" s="595"/>
      <c r="F20" s="595"/>
      <c r="G20" s="595"/>
      <c r="H20" s="823"/>
      <c r="I20" s="595"/>
      <c r="J20" s="595"/>
      <c r="K20" s="595"/>
      <c r="L20" s="595"/>
      <c r="M20" s="595"/>
      <c r="N20" s="828"/>
      <c r="O20" s="595"/>
      <c r="P20" s="595"/>
      <c r="Q20" s="595"/>
      <c r="R20" s="825"/>
      <c r="S20" s="1855" t="s">
        <v>1178</v>
      </c>
      <c r="T20" s="1832"/>
      <c r="U20" s="1832"/>
      <c r="V20" s="1832"/>
      <c r="W20" s="1832"/>
      <c r="X20" s="1832"/>
      <c r="Y20" s="1832"/>
      <c r="Z20" s="1832"/>
      <c r="AA20" s="1832"/>
      <c r="AB20" s="1832"/>
      <c r="AC20" s="596"/>
      <c r="AD20" s="596"/>
      <c r="AE20" s="820"/>
      <c r="AF20" s="1856"/>
      <c r="AG20" s="1856"/>
      <c r="AH20" s="975"/>
      <c r="AI20" s="1856"/>
      <c r="AJ20" s="1856"/>
      <c r="AK20" s="816"/>
      <c r="AL20" s="595"/>
      <c r="AN20" s="874"/>
      <c r="AO20" s="874"/>
    </row>
    <row r="21" spans="1:57" ht="18" customHeight="1">
      <c r="A21" s="595"/>
      <c r="B21" s="819"/>
      <c r="C21" s="595"/>
      <c r="D21" s="595"/>
      <c r="E21" s="595"/>
      <c r="F21" s="595"/>
      <c r="G21" s="595"/>
      <c r="H21" s="595"/>
      <c r="I21" s="595"/>
      <c r="J21" s="595"/>
      <c r="K21" s="595"/>
      <c r="L21" s="595"/>
      <c r="M21" s="595"/>
      <c r="N21" s="595"/>
      <c r="O21" s="595"/>
      <c r="P21" s="595"/>
      <c r="Q21" s="595"/>
      <c r="R21" s="825"/>
      <c r="S21" s="1857" t="s">
        <v>992</v>
      </c>
      <c r="T21" s="1832"/>
      <c r="U21" s="1832"/>
      <c r="V21" s="1832"/>
      <c r="W21" s="1832"/>
      <c r="X21" s="1832"/>
      <c r="Y21" s="1832"/>
      <c r="Z21" s="1832"/>
      <c r="AA21" s="1832"/>
      <c r="AB21" s="1832"/>
      <c r="AC21" s="596"/>
      <c r="AD21" s="596"/>
      <c r="AE21" s="820"/>
      <c r="AF21" s="1856"/>
      <c r="AG21" s="1856"/>
      <c r="AH21" s="975"/>
      <c r="AI21" s="1856"/>
      <c r="AJ21" s="1856"/>
      <c r="AK21" s="816"/>
      <c r="AL21" s="595"/>
      <c r="AN21" s="874"/>
      <c r="AO21" s="874"/>
    </row>
    <row r="22" spans="1:57" ht="18" customHeight="1">
      <c r="A22" s="595"/>
      <c r="B22" s="819"/>
      <c r="C22" s="595"/>
      <c r="D22" s="595"/>
      <c r="E22" s="595"/>
      <c r="F22" s="595"/>
      <c r="G22" s="595"/>
      <c r="H22" s="595"/>
      <c r="I22" s="595"/>
      <c r="J22" s="595"/>
      <c r="K22" s="595"/>
      <c r="L22" s="595"/>
      <c r="M22" s="595"/>
      <c r="N22" s="595"/>
      <c r="O22" s="595"/>
      <c r="P22" s="595"/>
      <c r="Q22" s="595"/>
      <c r="R22" s="825"/>
      <c r="S22" s="825"/>
      <c r="T22" s="825"/>
      <c r="U22" s="820"/>
      <c r="V22" s="820"/>
      <c r="W22" s="820"/>
      <c r="X22" s="820"/>
      <c r="Y22" s="820"/>
      <c r="Z22" s="820"/>
      <c r="AA22" s="820"/>
      <c r="AB22" s="820"/>
      <c r="AC22" s="820"/>
      <c r="AD22" s="820"/>
      <c r="AE22" s="820"/>
      <c r="AF22" s="1856"/>
      <c r="AG22" s="1856"/>
      <c r="AH22" s="975"/>
      <c r="AI22" s="1856"/>
      <c r="AJ22" s="1856"/>
      <c r="AK22" s="816"/>
      <c r="AL22" s="595"/>
      <c r="BB22" s="182"/>
      <c r="BC22" s="18"/>
      <c r="BE22" s="18"/>
    </row>
    <row r="23" spans="1:57" ht="18" customHeight="1">
      <c r="A23" s="595"/>
      <c r="B23" s="819"/>
      <c r="C23" s="595"/>
      <c r="D23" s="595"/>
      <c r="E23" s="595"/>
      <c r="F23" s="595"/>
      <c r="G23" s="595"/>
      <c r="H23" s="595"/>
      <c r="I23" s="595"/>
      <c r="J23" s="595"/>
      <c r="K23" s="595"/>
      <c r="L23" s="595"/>
      <c r="M23" s="595"/>
      <c r="N23" s="595"/>
      <c r="O23" s="595"/>
      <c r="P23" s="595"/>
      <c r="Q23" s="595"/>
      <c r="R23" s="825"/>
      <c r="S23" s="952"/>
      <c r="T23" s="952"/>
      <c r="U23" s="820"/>
      <c r="V23" s="820"/>
      <c r="W23" s="820"/>
      <c r="X23" s="820"/>
      <c r="Y23" s="820"/>
      <c r="Z23" s="820"/>
      <c r="AA23" s="820"/>
      <c r="AB23" s="820"/>
      <c r="AC23" s="820"/>
      <c r="AD23" s="820"/>
      <c r="AE23" s="820"/>
      <c r="AF23" s="1856"/>
      <c r="AG23" s="1856"/>
      <c r="AH23" s="975"/>
      <c r="AI23" s="1856"/>
      <c r="AJ23" s="1856"/>
      <c r="AK23" s="816"/>
      <c r="AL23" s="595"/>
      <c r="BC23" s="18"/>
    </row>
    <row r="24" spans="1:57" ht="15.9" customHeight="1">
      <c r="A24" s="595"/>
      <c r="B24" s="819"/>
      <c r="C24" s="595"/>
      <c r="D24" s="595"/>
      <c r="E24" s="595"/>
      <c r="F24" s="595"/>
      <c r="G24" s="595"/>
      <c r="H24" s="595"/>
      <c r="I24" s="595"/>
      <c r="J24" s="595"/>
      <c r="K24" s="595"/>
      <c r="L24" s="595"/>
      <c r="M24" s="595"/>
      <c r="N24" s="595"/>
      <c r="O24" s="595"/>
      <c r="P24" s="595"/>
      <c r="Q24" s="595"/>
      <c r="R24" s="825"/>
      <c r="S24" s="825"/>
      <c r="T24" s="825"/>
      <c r="U24" s="820"/>
      <c r="V24" s="820"/>
      <c r="W24" s="820"/>
      <c r="X24" s="820"/>
      <c r="Y24" s="820"/>
      <c r="Z24" s="820"/>
      <c r="AA24" s="820"/>
      <c r="AB24" s="820"/>
      <c r="AC24" s="820"/>
      <c r="AD24" s="820"/>
      <c r="AE24" s="820"/>
      <c r="AF24" s="1856"/>
      <c r="AG24" s="1856"/>
      <c r="AH24" s="975"/>
      <c r="AI24" s="1856"/>
      <c r="AJ24" s="1856"/>
      <c r="AK24" s="816"/>
      <c r="AL24" s="595"/>
      <c r="BC24" s="18"/>
    </row>
    <row r="25" spans="1:57" ht="15.9" customHeight="1">
      <c r="A25" s="595"/>
      <c r="B25" s="819"/>
      <c r="C25" s="595"/>
      <c r="D25" s="595"/>
      <c r="E25" s="595"/>
      <c r="F25" s="595"/>
      <c r="G25" s="595"/>
      <c r="H25" s="595"/>
      <c r="I25" s="595"/>
      <c r="J25" s="595"/>
      <c r="K25" s="595"/>
      <c r="L25" s="595"/>
      <c r="M25" s="595"/>
      <c r="N25" s="595"/>
      <c r="O25" s="595"/>
      <c r="P25" s="595"/>
      <c r="Q25" s="595"/>
      <c r="R25" s="825"/>
      <c r="S25" s="825"/>
      <c r="T25" s="825"/>
      <c r="U25" s="825"/>
      <c r="V25" s="825"/>
      <c r="W25" s="825"/>
      <c r="X25" s="825"/>
      <c r="Y25" s="825"/>
      <c r="Z25" s="825"/>
      <c r="AA25" s="825"/>
      <c r="AB25" s="825"/>
      <c r="AC25" s="825"/>
      <c r="AD25" s="825"/>
      <c r="AE25" s="825"/>
      <c r="AF25" s="825"/>
      <c r="AG25" s="825"/>
      <c r="AH25" s="825"/>
      <c r="AI25" s="825"/>
      <c r="AJ25" s="825"/>
      <c r="AK25" s="827"/>
      <c r="AL25" s="595"/>
    </row>
    <row r="26" spans="1:57" ht="12" customHeight="1">
      <c r="A26" s="595"/>
      <c r="B26" s="819"/>
      <c r="C26" s="595"/>
      <c r="D26" s="595"/>
      <c r="E26" s="595"/>
      <c r="F26" s="595"/>
      <c r="G26" s="595"/>
      <c r="H26" s="595"/>
      <c r="I26" s="595"/>
      <c r="J26" s="595"/>
      <c r="K26" s="595"/>
      <c r="L26" s="595"/>
      <c r="M26" s="595"/>
      <c r="N26" s="595"/>
      <c r="O26" s="595"/>
      <c r="P26" s="595"/>
      <c r="Q26" s="595"/>
      <c r="R26" s="825"/>
      <c r="S26" s="1866" t="s">
        <v>993</v>
      </c>
      <c r="T26" s="1866"/>
      <c r="U26" s="1866"/>
      <c r="V26" s="1866"/>
      <c r="W26" s="1866"/>
      <c r="X26" s="1866"/>
      <c r="Y26" s="1866"/>
      <c r="Z26" s="1866"/>
      <c r="AA26" s="1866"/>
      <c r="AB26" s="1866"/>
      <c r="AC26" s="1866"/>
      <c r="AD26" s="1866"/>
      <c r="AE26" s="1866"/>
      <c r="AF26" s="1866"/>
      <c r="AG26" s="1866"/>
      <c r="AH26" s="1867"/>
      <c r="AI26" s="1867"/>
      <c r="AJ26" s="1867"/>
      <c r="AK26" s="816"/>
      <c r="AL26" s="595"/>
    </row>
    <row r="27" spans="1:57" ht="8.25" customHeight="1">
      <c r="A27" s="595"/>
      <c r="B27" s="819"/>
      <c r="C27" s="595"/>
      <c r="D27" s="595"/>
      <c r="E27" s="595"/>
      <c r="F27" s="595"/>
      <c r="G27" s="595"/>
      <c r="H27" s="976"/>
      <c r="I27" s="595"/>
      <c r="J27" s="595"/>
      <c r="K27" s="976"/>
      <c r="L27" s="595"/>
      <c r="M27" s="595"/>
      <c r="N27" s="977"/>
      <c r="O27" s="595"/>
      <c r="P27" s="595"/>
      <c r="Q27" s="595"/>
      <c r="R27" s="825"/>
      <c r="S27" s="1866"/>
      <c r="T27" s="1866"/>
      <c r="U27" s="1866"/>
      <c r="V27" s="1866"/>
      <c r="W27" s="1866"/>
      <c r="X27" s="1866"/>
      <c r="Y27" s="1866"/>
      <c r="Z27" s="1866"/>
      <c r="AA27" s="1866"/>
      <c r="AB27" s="1866"/>
      <c r="AC27" s="1866"/>
      <c r="AD27" s="1866"/>
      <c r="AE27" s="1866"/>
      <c r="AF27" s="1866"/>
      <c r="AG27" s="1866"/>
      <c r="AH27" s="1856"/>
      <c r="AI27" s="1856"/>
      <c r="AJ27" s="1856"/>
      <c r="AK27" s="816"/>
      <c r="AL27" s="595"/>
    </row>
    <row r="28" spans="1:57" ht="14.25" customHeight="1">
      <c r="A28" s="595"/>
      <c r="B28" s="819"/>
      <c r="C28" s="595"/>
      <c r="D28" s="595"/>
      <c r="E28" s="595"/>
      <c r="F28" s="595"/>
      <c r="G28" s="595"/>
      <c r="H28" s="978"/>
      <c r="I28" s="979"/>
      <c r="J28" s="979"/>
      <c r="K28" s="978"/>
      <c r="L28" s="979"/>
      <c r="M28" s="980"/>
      <c r="N28" s="595"/>
      <c r="O28" s="595"/>
      <c r="P28" s="595"/>
      <c r="Q28" s="595"/>
      <c r="R28" s="1868" t="s">
        <v>924</v>
      </c>
      <c r="S28" s="1870" t="s">
        <v>994</v>
      </c>
      <c r="T28" s="1870"/>
      <c r="U28" s="1871"/>
      <c r="V28" s="1871"/>
      <c r="W28" s="1871"/>
      <c r="X28" s="1871"/>
      <c r="Y28" s="1871"/>
      <c r="Z28" s="1871"/>
      <c r="AA28" s="1871"/>
      <c r="AB28" s="1871"/>
      <c r="AC28" s="1871"/>
      <c r="AD28" s="1871"/>
      <c r="AE28" s="1871"/>
      <c r="AF28" s="1871"/>
      <c r="AG28" s="1832"/>
      <c r="AH28" s="820"/>
      <c r="AI28" s="820"/>
      <c r="AJ28" s="820"/>
      <c r="AK28" s="816"/>
      <c r="AL28" s="595"/>
    </row>
    <row r="29" spans="1:57" ht="17.25" customHeight="1">
      <c r="A29" s="595"/>
      <c r="B29" s="819"/>
      <c r="C29" s="595"/>
      <c r="D29" s="595"/>
      <c r="E29" s="595"/>
      <c r="F29" s="595"/>
      <c r="G29" s="595"/>
      <c r="H29" s="981"/>
      <c r="I29" s="982"/>
      <c r="J29" s="983"/>
      <c r="K29" s="981"/>
      <c r="L29" s="982"/>
      <c r="M29" s="983"/>
      <c r="N29" s="595"/>
      <c r="O29" s="595"/>
      <c r="P29" s="595"/>
      <c r="Q29" s="595"/>
      <c r="R29" s="1869"/>
      <c r="S29" s="1871"/>
      <c r="T29" s="1871"/>
      <c r="U29" s="1871"/>
      <c r="V29" s="1871"/>
      <c r="W29" s="1871"/>
      <c r="X29" s="1871"/>
      <c r="Y29" s="1871"/>
      <c r="Z29" s="1871"/>
      <c r="AA29" s="1871"/>
      <c r="AB29" s="1871"/>
      <c r="AC29" s="1871"/>
      <c r="AD29" s="1871"/>
      <c r="AE29" s="1871"/>
      <c r="AF29" s="1871"/>
      <c r="AG29" s="1832"/>
      <c r="AH29" s="820"/>
      <c r="AI29" s="820"/>
      <c r="AJ29" s="820"/>
      <c r="AK29" s="816"/>
      <c r="AL29" s="595"/>
    </row>
    <row r="30" spans="1:57" ht="18.75" customHeight="1">
      <c r="A30" s="595"/>
      <c r="B30" s="819"/>
      <c r="C30" s="595"/>
      <c r="D30" s="595"/>
      <c r="E30" s="1872"/>
      <c r="F30" s="1872"/>
      <c r="G30" s="954"/>
      <c r="H30" s="984"/>
      <c r="I30" s="985"/>
      <c r="J30" s="986"/>
      <c r="K30" s="984"/>
      <c r="L30" s="985"/>
      <c r="M30" s="987"/>
      <c r="N30" s="595"/>
      <c r="O30" s="595"/>
      <c r="P30" s="595"/>
      <c r="Q30" s="595"/>
      <c r="R30" s="825"/>
      <c r="S30" s="988" t="s">
        <v>923</v>
      </c>
      <c r="T30" s="1856"/>
      <c r="U30" s="1856"/>
      <c r="V30" s="1856"/>
      <c r="W30" s="1856"/>
      <c r="X30" s="1856"/>
      <c r="Y30" s="26"/>
      <c r="Z30" s="988" t="s">
        <v>922</v>
      </c>
      <c r="AA30" s="1856"/>
      <c r="AB30" s="1856"/>
      <c r="AC30" s="1856"/>
      <c r="AD30" s="1856"/>
      <c r="AE30" s="139"/>
      <c r="AF30" s="988" t="s">
        <v>921</v>
      </c>
      <c r="AG30" s="1856"/>
      <c r="AH30" s="1856"/>
      <c r="AI30" s="1856"/>
      <c r="AJ30" s="1856"/>
      <c r="AK30" s="816"/>
      <c r="AL30" s="595"/>
    </row>
    <row r="31" spans="1:57" ht="14.1" customHeight="1">
      <c r="A31" s="595"/>
      <c r="B31" s="819"/>
      <c r="C31" s="595"/>
      <c r="D31" s="595"/>
      <c r="E31" s="595"/>
      <c r="F31" s="595"/>
      <c r="G31" s="595"/>
      <c r="H31" s="981"/>
      <c r="I31" s="982"/>
      <c r="J31" s="989"/>
      <c r="K31" s="981"/>
      <c r="L31" s="982"/>
      <c r="M31" s="983"/>
      <c r="N31" s="595"/>
      <c r="O31" s="824"/>
      <c r="P31" s="1874" t="s">
        <v>920</v>
      </c>
      <c r="Q31" s="951"/>
      <c r="R31" s="973"/>
      <c r="S31" s="990"/>
      <c r="T31" s="991"/>
      <c r="U31" s="991"/>
      <c r="V31" s="991"/>
      <c r="W31" s="991"/>
      <c r="X31" s="991"/>
      <c r="Y31" s="992"/>
      <c r="Z31" s="990"/>
      <c r="AA31" s="991"/>
      <c r="AB31" s="991"/>
      <c r="AC31" s="991"/>
      <c r="AD31" s="991"/>
      <c r="AE31" s="992"/>
      <c r="AF31" s="992"/>
      <c r="AG31" s="991"/>
      <c r="AH31" s="991"/>
      <c r="AI31" s="991"/>
      <c r="AJ31" s="991"/>
      <c r="AK31" s="826"/>
      <c r="AL31" s="595"/>
    </row>
    <row r="32" spans="1:57" ht="14.1" customHeight="1">
      <c r="A32" s="595"/>
      <c r="B32" s="819"/>
      <c r="C32" s="595"/>
      <c r="D32" s="595"/>
      <c r="E32" s="595"/>
      <c r="F32" s="595"/>
      <c r="G32" s="595"/>
      <c r="H32" s="993"/>
      <c r="I32" s="994"/>
      <c r="J32" s="995"/>
      <c r="K32" s="993"/>
      <c r="L32" s="994"/>
      <c r="M32" s="996"/>
      <c r="N32" s="595"/>
      <c r="O32" s="595"/>
      <c r="P32" s="1874"/>
      <c r="Q32" s="951"/>
      <c r="R32" s="825"/>
      <c r="S32" s="988" t="s">
        <v>919</v>
      </c>
      <c r="T32" s="1856"/>
      <c r="U32" s="1856"/>
      <c r="V32" s="1856"/>
      <c r="W32" s="1856"/>
      <c r="X32" s="1856"/>
      <c r="Y32" s="26"/>
      <c r="Z32" s="988" t="s">
        <v>918</v>
      </c>
      <c r="AA32" s="1856"/>
      <c r="AB32" s="1856"/>
      <c r="AC32" s="1856"/>
      <c r="AD32" s="1856"/>
      <c r="AE32" s="975"/>
      <c r="AF32" s="988" t="s">
        <v>917</v>
      </c>
      <c r="AG32" s="1856"/>
      <c r="AH32" s="1856"/>
      <c r="AI32" s="1856"/>
      <c r="AJ32" s="1856"/>
      <c r="AK32" s="816"/>
      <c r="AL32" s="595"/>
    </row>
    <row r="33" spans="1:57" ht="14.1" customHeight="1">
      <c r="A33" s="595"/>
      <c r="B33" s="819"/>
      <c r="C33" s="595"/>
      <c r="D33" s="595"/>
      <c r="E33" s="595"/>
      <c r="F33" s="595"/>
      <c r="G33" s="595"/>
      <c r="H33" s="984"/>
      <c r="I33" s="985"/>
      <c r="J33" s="986"/>
      <c r="K33" s="984"/>
      <c r="L33" s="985"/>
      <c r="M33" s="987"/>
      <c r="N33" s="595"/>
      <c r="O33" s="595"/>
      <c r="P33" s="1874"/>
      <c r="Q33" s="951"/>
      <c r="R33" s="825"/>
      <c r="S33" s="988"/>
      <c r="T33" s="991"/>
      <c r="U33" s="991"/>
      <c r="V33" s="991"/>
      <c r="W33" s="991"/>
      <c r="X33" s="991"/>
      <c r="Y33" s="975"/>
      <c r="Z33" s="988"/>
      <c r="AA33" s="991"/>
      <c r="AB33" s="991"/>
      <c r="AC33" s="991"/>
      <c r="AD33" s="991"/>
      <c r="AE33" s="975"/>
      <c r="AF33" s="975"/>
      <c r="AG33" s="991"/>
      <c r="AH33" s="991"/>
      <c r="AI33" s="991"/>
      <c r="AJ33" s="991"/>
      <c r="AK33" s="816"/>
      <c r="AL33" s="595"/>
    </row>
    <row r="34" spans="1:57" ht="14.1" customHeight="1">
      <c r="A34" s="595"/>
      <c r="B34" s="819"/>
      <c r="C34" s="595"/>
      <c r="D34" s="595"/>
      <c r="E34" s="595"/>
      <c r="F34" s="595"/>
      <c r="G34" s="595"/>
      <c r="H34" s="984"/>
      <c r="I34" s="985"/>
      <c r="J34" s="986"/>
      <c r="K34" s="984"/>
      <c r="L34" s="985"/>
      <c r="M34" s="987"/>
      <c r="N34" s="595"/>
      <c r="O34" s="595"/>
      <c r="P34" s="1874"/>
      <c r="Q34" s="951"/>
      <c r="R34" s="825"/>
      <c r="S34" s="988" t="s">
        <v>916</v>
      </c>
      <c r="T34" s="1856"/>
      <c r="U34" s="1856"/>
      <c r="V34" s="1856"/>
      <c r="W34" s="1856"/>
      <c r="X34" s="1856"/>
      <c r="Y34" s="26"/>
      <c r="Z34" s="988" t="s">
        <v>915</v>
      </c>
      <c r="AA34" s="1856"/>
      <c r="AB34" s="1856"/>
      <c r="AC34" s="1856"/>
      <c r="AD34" s="1856"/>
      <c r="AE34" s="975"/>
      <c r="AF34" s="988" t="s">
        <v>914</v>
      </c>
      <c r="AG34" s="1856"/>
      <c r="AH34" s="1856"/>
      <c r="AI34" s="1856"/>
      <c r="AJ34" s="1856"/>
      <c r="AK34" s="816"/>
      <c r="AL34" s="595"/>
      <c r="AM34" s="1876"/>
      <c r="AN34" s="1832"/>
      <c r="AO34" s="1832"/>
      <c r="AP34" s="1832"/>
    </row>
    <row r="35" spans="1:57" ht="14.1" customHeight="1">
      <c r="A35" s="595"/>
      <c r="B35" s="819"/>
      <c r="C35" s="595"/>
      <c r="D35" s="595"/>
      <c r="E35" s="595"/>
      <c r="F35" s="595"/>
      <c r="G35" s="595"/>
      <c r="H35" s="981"/>
      <c r="I35" s="982"/>
      <c r="J35" s="989"/>
      <c r="K35" s="981"/>
      <c r="L35" s="982"/>
      <c r="M35" s="983"/>
      <c r="N35" s="595"/>
      <c r="O35" s="824"/>
      <c r="P35" s="1874" t="s">
        <v>913</v>
      </c>
      <c r="Q35" s="951"/>
      <c r="R35" s="825"/>
      <c r="S35" s="988"/>
      <c r="T35" s="991"/>
      <c r="U35" s="991"/>
      <c r="V35" s="991"/>
      <c r="W35" s="991"/>
      <c r="X35" s="991"/>
      <c r="Y35" s="975"/>
      <c r="Z35" s="988"/>
      <c r="AA35" s="991"/>
      <c r="AB35" s="991"/>
      <c r="AC35" s="991"/>
      <c r="AD35" s="991"/>
      <c r="AE35" s="975"/>
      <c r="AF35" s="975"/>
      <c r="AG35" s="991"/>
      <c r="AH35" s="991"/>
      <c r="AI35" s="991"/>
      <c r="AJ35" s="991"/>
      <c r="AK35" s="816"/>
      <c r="AL35" s="595"/>
    </row>
    <row r="36" spans="1:57" ht="14.1" customHeight="1">
      <c r="A36" s="595"/>
      <c r="B36" s="819"/>
      <c r="C36" s="595"/>
      <c r="D36" s="595"/>
      <c r="E36" s="595"/>
      <c r="F36" s="595"/>
      <c r="G36" s="595"/>
      <c r="H36" s="993"/>
      <c r="I36" s="994"/>
      <c r="J36" s="995"/>
      <c r="K36" s="993"/>
      <c r="L36" s="994"/>
      <c r="M36" s="996"/>
      <c r="N36" s="595"/>
      <c r="O36" s="595"/>
      <c r="P36" s="1874"/>
      <c r="Q36" s="951"/>
      <c r="R36" s="825"/>
      <c r="S36" s="988" t="s">
        <v>912</v>
      </c>
      <c r="T36" s="1856"/>
      <c r="U36" s="1856"/>
      <c r="V36" s="1856"/>
      <c r="W36" s="1856"/>
      <c r="X36" s="1856"/>
      <c r="Y36" s="26"/>
      <c r="Z36" s="988" t="s">
        <v>911</v>
      </c>
      <c r="AA36" s="1856"/>
      <c r="AB36" s="1856"/>
      <c r="AC36" s="1856"/>
      <c r="AD36" s="1856"/>
      <c r="AE36" s="975"/>
      <c r="AF36" s="988" t="s">
        <v>910</v>
      </c>
      <c r="AG36" s="1856"/>
      <c r="AH36" s="1856"/>
      <c r="AI36" s="1856"/>
      <c r="AJ36" s="1856"/>
      <c r="AK36" s="816"/>
      <c r="AL36" s="595"/>
      <c r="BB36" s="182"/>
      <c r="BE36" s="112"/>
    </row>
    <row r="37" spans="1:57" ht="14.25" customHeight="1">
      <c r="A37" s="595"/>
      <c r="B37" s="819"/>
      <c r="C37" s="595"/>
      <c r="D37" s="595"/>
      <c r="E37" s="595"/>
      <c r="F37" s="595"/>
      <c r="G37" s="595"/>
      <c r="H37" s="984"/>
      <c r="I37" s="985"/>
      <c r="J37" s="986"/>
      <c r="K37" s="984"/>
      <c r="L37" s="985"/>
      <c r="M37" s="987"/>
      <c r="N37" s="595"/>
      <c r="O37" s="595"/>
      <c r="P37" s="1874"/>
      <c r="Q37" s="951"/>
      <c r="R37" s="825"/>
      <c r="S37" s="997"/>
      <c r="T37" s="991"/>
      <c r="U37" s="991"/>
      <c r="V37" s="991"/>
      <c r="W37" s="991"/>
      <c r="X37" s="991"/>
      <c r="Y37" s="975"/>
      <c r="Z37" s="139"/>
      <c r="AA37" s="998"/>
      <c r="AB37" s="991"/>
      <c r="AC37" s="991"/>
      <c r="AD37" s="991"/>
      <c r="AE37" s="975"/>
      <c r="AF37" s="975"/>
      <c r="AG37" s="991"/>
      <c r="AH37" s="991"/>
      <c r="AI37" s="991"/>
      <c r="AJ37" s="991"/>
      <c r="AK37" s="816"/>
      <c r="AL37" s="595"/>
      <c r="BA37" s="1873"/>
      <c r="BB37" s="1617"/>
      <c r="BC37" s="18"/>
      <c r="BE37" s="112"/>
    </row>
    <row r="38" spans="1:57" ht="16.5" customHeight="1">
      <c r="A38" s="595"/>
      <c r="B38" s="819"/>
      <c r="C38" s="595"/>
      <c r="D38" s="595"/>
      <c r="E38" s="595"/>
      <c r="F38" s="595"/>
      <c r="G38" s="595"/>
      <c r="H38" s="984"/>
      <c r="I38" s="985"/>
      <c r="J38" s="986"/>
      <c r="K38" s="984"/>
      <c r="L38" s="985"/>
      <c r="M38" s="987"/>
      <c r="N38" s="595"/>
      <c r="O38" s="595"/>
      <c r="P38" s="1874"/>
      <c r="Q38" s="1102" t="s">
        <v>909</v>
      </c>
      <c r="R38" s="825"/>
      <c r="S38" s="988" t="s">
        <v>908</v>
      </c>
      <c r="T38" s="1856"/>
      <c r="U38" s="1856"/>
      <c r="V38" s="1856"/>
      <c r="W38" s="1856"/>
      <c r="X38" s="1856"/>
      <c r="Y38" s="26"/>
      <c r="Z38" s="988" t="s">
        <v>907</v>
      </c>
      <c r="AA38" s="1856"/>
      <c r="AB38" s="1856"/>
      <c r="AC38" s="1856"/>
      <c r="AD38" s="1856"/>
      <c r="AE38" s="975"/>
      <c r="AF38" s="988" t="s">
        <v>906</v>
      </c>
      <c r="AG38" s="1856"/>
      <c r="AH38" s="1856"/>
      <c r="AI38" s="1856"/>
      <c r="AJ38" s="1856"/>
      <c r="AK38" s="816"/>
      <c r="AL38" s="595"/>
    </row>
    <row r="39" spans="1:57" ht="14.1" customHeight="1">
      <c r="A39" s="595"/>
      <c r="B39" s="819"/>
      <c r="C39" s="595"/>
      <c r="D39" s="595"/>
      <c r="E39" s="595"/>
      <c r="F39" s="595"/>
      <c r="G39" s="595"/>
      <c r="H39" s="981"/>
      <c r="I39" s="982"/>
      <c r="J39" s="989"/>
      <c r="K39" s="981"/>
      <c r="L39" s="982"/>
      <c r="M39" s="983"/>
      <c r="N39" s="595"/>
      <c r="O39" s="824"/>
      <c r="P39" s="1874" t="s">
        <v>905</v>
      </c>
      <c r="Q39" s="951"/>
      <c r="R39" s="825"/>
      <c r="S39" s="825"/>
      <c r="T39" s="825"/>
      <c r="U39" s="820"/>
      <c r="V39" s="820"/>
      <c r="W39" s="820"/>
      <c r="X39" s="820"/>
      <c r="Y39" s="820"/>
      <c r="Z39" s="820"/>
      <c r="AA39" s="820"/>
      <c r="AB39" s="820"/>
      <c r="AC39" s="820"/>
      <c r="AD39" s="820"/>
      <c r="AE39" s="820"/>
      <c r="AF39" s="820"/>
      <c r="AG39" s="820"/>
      <c r="AH39" s="820"/>
      <c r="AI39" s="820"/>
      <c r="AJ39" s="820"/>
      <c r="AK39" s="816"/>
      <c r="AL39" s="595"/>
    </row>
    <row r="40" spans="1:57" ht="15" customHeight="1">
      <c r="A40" s="595"/>
      <c r="B40" s="819"/>
      <c r="C40" s="595"/>
      <c r="D40" s="595"/>
      <c r="E40" s="595"/>
      <c r="F40" s="595"/>
      <c r="G40" s="595"/>
      <c r="H40" s="993"/>
      <c r="I40" s="994"/>
      <c r="J40" s="995"/>
      <c r="K40" s="993"/>
      <c r="L40" s="994"/>
      <c r="M40" s="996"/>
      <c r="N40" s="595"/>
      <c r="O40" s="595"/>
      <c r="P40" s="1874"/>
      <c r="Q40" s="951"/>
      <c r="R40" s="825" t="s">
        <v>904</v>
      </c>
      <c r="S40" s="1853" t="s">
        <v>995</v>
      </c>
      <c r="T40" s="1853"/>
      <c r="U40" s="1853"/>
      <c r="V40" s="1853"/>
      <c r="W40" s="1853"/>
      <c r="X40" s="1853"/>
      <c r="Y40" s="1853"/>
      <c r="Z40" s="1853"/>
      <c r="AA40" s="1853"/>
      <c r="AB40" s="1853"/>
      <c r="AC40" s="1875" t="str">
        <f>CONCATENATE("(should be ",IF(ROUNDUP(L17*PI()/30,0)&lt;4,4,ROUNDUP(L17*PI()/30,0)),")")</f>
        <v>(should be 4)</v>
      </c>
      <c r="AD40" s="1875"/>
      <c r="AE40" s="1875"/>
      <c r="AF40" s="1875"/>
      <c r="AG40" s="1856"/>
      <c r="AH40" s="1856"/>
      <c r="AI40" s="1856"/>
      <c r="AJ40" s="1856"/>
      <c r="AK40" s="816"/>
      <c r="AL40" s="595"/>
    </row>
    <row r="41" spans="1:57" ht="15" customHeight="1">
      <c r="A41" s="595"/>
      <c r="B41" s="819"/>
      <c r="C41" s="595"/>
      <c r="D41" s="595"/>
      <c r="E41" s="595"/>
      <c r="F41" s="595"/>
      <c r="G41" s="595"/>
      <c r="H41" s="984"/>
      <c r="I41" s="985"/>
      <c r="J41" s="986"/>
      <c r="K41" s="984"/>
      <c r="L41" s="985"/>
      <c r="M41" s="987"/>
      <c r="N41" s="595"/>
      <c r="O41" s="595"/>
      <c r="P41" s="1874"/>
      <c r="Q41" s="951"/>
      <c r="R41" s="825" t="s">
        <v>903</v>
      </c>
      <c r="S41" s="1853" t="s">
        <v>996</v>
      </c>
      <c r="T41" s="1853"/>
      <c r="U41" s="1853"/>
      <c r="V41" s="1853"/>
      <c r="W41" s="1853"/>
      <c r="X41" s="1853"/>
      <c r="Y41" s="1853"/>
      <c r="Z41" s="1853"/>
      <c r="AA41" s="1853"/>
      <c r="AB41" s="1853"/>
      <c r="AC41" s="1853"/>
      <c r="AD41" s="1853"/>
      <c r="AE41" s="1853"/>
      <c r="AF41" s="1853"/>
      <c r="AG41" s="1856"/>
      <c r="AH41" s="1856"/>
      <c r="AI41" s="1856"/>
      <c r="AJ41" s="1856"/>
      <c r="AK41" s="816"/>
      <c r="AL41" s="595"/>
    </row>
    <row r="42" spans="1:57" ht="15" customHeight="1">
      <c r="A42" s="595"/>
      <c r="B42" s="819"/>
      <c r="C42" s="595"/>
      <c r="D42" s="595"/>
      <c r="E42" s="595"/>
      <c r="F42" s="595"/>
      <c r="G42" s="595"/>
      <c r="H42" s="984"/>
      <c r="I42" s="985"/>
      <c r="J42" s="986"/>
      <c r="K42" s="984"/>
      <c r="L42" s="985"/>
      <c r="M42" s="987"/>
      <c r="N42" s="595"/>
      <c r="O42" s="595"/>
      <c r="P42" s="1874"/>
      <c r="Q42" s="951"/>
      <c r="R42" s="825" t="s">
        <v>902</v>
      </c>
      <c r="S42" s="1853" t="s">
        <v>997</v>
      </c>
      <c r="T42" s="1853"/>
      <c r="U42" s="1853"/>
      <c r="V42" s="1853"/>
      <c r="W42" s="1853"/>
      <c r="X42" s="1853"/>
      <c r="Y42" s="1853"/>
      <c r="Z42" s="1853"/>
      <c r="AA42" s="1853"/>
      <c r="AB42" s="1853"/>
      <c r="AC42" s="1853"/>
      <c r="AD42" s="1853"/>
      <c r="AE42" s="1853"/>
      <c r="AF42" s="1853"/>
      <c r="AG42" s="1856"/>
      <c r="AH42" s="1856"/>
      <c r="AI42" s="1856"/>
      <c r="AJ42" s="1856"/>
      <c r="AK42" s="816"/>
      <c r="AL42" s="595"/>
    </row>
    <row r="43" spans="1:57" ht="15" customHeight="1">
      <c r="A43" s="595"/>
      <c r="B43" s="819"/>
      <c r="C43" s="595"/>
      <c r="D43" s="595"/>
      <c r="E43" s="595"/>
      <c r="F43" s="595"/>
      <c r="G43" s="595"/>
      <c r="H43" s="981"/>
      <c r="I43" s="982"/>
      <c r="J43" s="989"/>
      <c r="K43" s="981"/>
      <c r="L43" s="982"/>
      <c r="M43" s="983"/>
      <c r="N43" s="595"/>
      <c r="O43" s="824"/>
      <c r="P43" s="1874" t="s">
        <v>901</v>
      </c>
      <c r="Q43" s="951"/>
      <c r="R43" s="825"/>
      <c r="S43" s="825"/>
      <c r="T43" s="825"/>
      <c r="U43" s="820"/>
      <c r="V43" s="820"/>
      <c r="W43" s="820"/>
      <c r="X43" s="820"/>
      <c r="Y43" s="820"/>
      <c r="Z43" s="820"/>
      <c r="AA43" s="820"/>
      <c r="AB43" s="820"/>
      <c r="AC43" s="820"/>
      <c r="AD43" s="820"/>
      <c r="AE43" s="820"/>
      <c r="AF43" s="820"/>
      <c r="AG43" s="820"/>
      <c r="AH43" s="820"/>
      <c r="AI43" s="820"/>
      <c r="AJ43" s="820"/>
      <c r="AK43" s="816"/>
      <c r="AL43" s="595"/>
      <c r="AN43" s="182"/>
    </row>
    <row r="44" spans="1:57" ht="15" customHeight="1">
      <c r="A44" s="595"/>
      <c r="B44" s="819"/>
      <c r="C44" s="595"/>
      <c r="D44" s="595"/>
      <c r="E44" s="595"/>
      <c r="F44" s="595"/>
      <c r="G44" s="595"/>
      <c r="H44" s="993"/>
      <c r="I44" s="994"/>
      <c r="J44" s="995"/>
      <c r="K44" s="993"/>
      <c r="L44" s="994"/>
      <c r="M44" s="996"/>
      <c r="N44" s="595"/>
      <c r="O44" s="595"/>
      <c r="P44" s="1874"/>
      <c r="Q44" s="951"/>
      <c r="R44" s="825" t="s">
        <v>900</v>
      </c>
      <c r="S44" s="1881" t="str">
        <f>CONCATENATE("No. of Long. (Vert.) Bars ","(should be  ",IF('Est Steel Vol'!F9="","___",'Est Steel Vol'!F9)," )  (Qty) = ")</f>
        <v xml:space="preserve">No. of Long. (Vert.) Bars (should be  ___ )  (Qty) = </v>
      </c>
      <c r="T44" s="1881"/>
      <c r="U44" s="1881"/>
      <c r="V44" s="1881"/>
      <c r="W44" s="1881"/>
      <c r="X44" s="1881"/>
      <c r="Y44" s="1881"/>
      <c r="Z44" s="1881"/>
      <c r="AA44" s="1881"/>
      <c r="AB44" s="1881"/>
      <c r="AC44" s="1881"/>
      <c r="AD44" s="1881"/>
      <c r="AE44" s="1881"/>
      <c r="AF44" s="1881"/>
      <c r="AG44" s="1856"/>
      <c r="AH44" s="1856"/>
      <c r="AI44" s="1856"/>
      <c r="AJ44" s="1856"/>
      <c r="AK44" s="816"/>
      <c r="AL44" s="595"/>
      <c r="AN44" s="182"/>
    </row>
    <row r="45" spans="1:57" ht="15" customHeight="1">
      <c r="A45" s="595"/>
      <c r="B45" s="819"/>
      <c r="C45" s="595"/>
      <c r="D45" s="595"/>
      <c r="E45" s="595"/>
      <c r="F45" s="595"/>
      <c r="G45" s="595"/>
      <c r="H45" s="984"/>
      <c r="I45" s="985"/>
      <c r="J45" s="986"/>
      <c r="K45" s="984"/>
      <c r="L45" s="985"/>
      <c r="M45" s="987"/>
      <c r="N45" s="595"/>
      <c r="O45" s="595"/>
      <c r="P45" s="1874"/>
      <c r="Q45" s="951"/>
      <c r="R45" s="825" t="s">
        <v>899</v>
      </c>
      <c r="S45" s="1882" t="str">
        <f>CONCATENATE("Long. (Vert.) Rebar Dia. (bar # /8= ",IF('Est Steel Vol'!G9="","___",'Est Steel Vol'!G9),"/8)    (in) = ")</f>
        <v xml:space="preserve">Long. (Vert.) Rebar Dia. (bar # /8= ___/8)    (in) = </v>
      </c>
      <c r="T45" s="1882"/>
      <c r="U45" s="1882"/>
      <c r="V45" s="1882"/>
      <c r="W45" s="1882"/>
      <c r="X45" s="1882"/>
      <c r="Y45" s="1882"/>
      <c r="Z45" s="1882"/>
      <c r="AA45" s="1882"/>
      <c r="AB45" s="1882"/>
      <c r="AC45" s="1882"/>
      <c r="AD45" s="1882"/>
      <c r="AE45" s="1882"/>
      <c r="AF45" s="1882"/>
      <c r="AG45" s="1878"/>
      <c r="AH45" s="1878"/>
      <c r="AI45" s="1878"/>
      <c r="AJ45" s="1878"/>
      <c r="AK45" s="816"/>
      <c r="AL45" s="595"/>
      <c r="AN45" s="182"/>
    </row>
    <row r="46" spans="1:57" ht="15" customHeight="1">
      <c r="A46" s="595"/>
      <c r="B46" s="819"/>
      <c r="C46" s="595"/>
      <c r="D46" s="595"/>
      <c r="E46" s="595"/>
      <c r="F46" s="595"/>
      <c r="G46" s="595"/>
      <c r="H46" s="984"/>
      <c r="I46" s="985"/>
      <c r="J46" s="986"/>
      <c r="K46" s="984"/>
      <c r="L46" s="985"/>
      <c r="M46" s="987"/>
      <c r="N46" s="595"/>
      <c r="O46" s="822"/>
      <c r="P46" s="1874"/>
      <c r="Q46" s="951"/>
      <c r="R46" s="825" t="s">
        <v>898</v>
      </c>
      <c r="S46" s="1883" t="s">
        <v>1097</v>
      </c>
      <c r="T46" s="1882"/>
      <c r="U46" s="1882"/>
      <c r="V46" s="1882"/>
      <c r="W46" s="1882"/>
      <c r="X46" s="1882"/>
      <c r="Y46" s="1882"/>
      <c r="Z46" s="1882"/>
      <c r="AA46" s="1882"/>
      <c r="AB46" s="1882"/>
      <c r="AC46" s="1882"/>
      <c r="AD46" s="1882"/>
      <c r="AE46" s="1882"/>
      <c r="AF46" s="1882"/>
      <c r="AG46" s="1856"/>
      <c r="AH46" s="1856"/>
      <c r="AI46" s="1856"/>
      <c r="AJ46" s="1856"/>
      <c r="AK46" s="816"/>
      <c r="AL46" s="595"/>
    </row>
    <row r="47" spans="1:57" ht="18" customHeight="1">
      <c r="A47" s="595"/>
      <c r="B47" s="819"/>
      <c r="C47" s="595"/>
      <c r="D47" s="595"/>
      <c r="E47" s="595"/>
      <c r="F47" s="595"/>
      <c r="G47" s="595"/>
      <c r="H47" s="999"/>
      <c r="I47" s="1000"/>
      <c r="J47" s="1001"/>
      <c r="K47" s="999"/>
      <c r="L47" s="1000"/>
      <c r="M47" s="1001"/>
      <c r="N47" s="595"/>
      <c r="O47" s="1283"/>
      <c r="P47" s="1282" t="s">
        <v>897</v>
      </c>
      <c r="Q47" s="951"/>
      <c r="R47" s="825" t="s">
        <v>896</v>
      </c>
      <c r="S47" s="1877" t="s">
        <v>998</v>
      </c>
      <c r="T47" s="1877"/>
      <c r="U47" s="1877"/>
      <c r="V47" s="1877"/>
      <c r="W47" s="1877"/>
      <c r="X47" s="1877"/>
      <c r="Y47" s="1877"/>
      <c r="Z47" s="1877"/>
      <c r="AA47" s="1877"/>
      <c r="AB47" s="1877"/>
      <c r="AC47" s="1877"/>
      <c r="AD47" s="1877"/>
      <c r="AE47" s="1877"/>
      <c r="AF47" s="1877"/>
      <c r="AG47" s="1878"/>
      <c r="AH47" s="1878"/>
      <c r="AI47" s="1878"/>
      <c r="AJ47" s="1878"/>
      <c r="AK47" s="816"/>
      <c r="AL47" s="595"/>
    </row>
    <row r="48" spans="1:57" ht="15" customHeight="1">
      <c r="A48" s="595"/>
      <c r="B48" s="819"/>
      <c r="C48" s="595"/>
      <c r="D48" s="595"/>
      <c r="E48" s="1879"/>
      <c r="F48" s="1879"/>
      <c r="G48" s="940"/>
      <c r="H48" s="1002"/>
      <c r="I48" s="1003"/>
      <c r="J48" s="1003"/>
      <c r="K48" s="1002"/>
      <c r="L48" s="1003"/>
      <c r="M48" s="1004"/>
      <c r="N48" s="595"/>
      <c r="O48" s="595"/>
      <c r="P48" s="1282"/>
      <c r="Q48" s="951"/>
      <c r="R48" s="825" t="s">
        <v>895</v>
      </c>
      <c r="S48" s="1880" t="str">
        <f>CONCATENATE("No. of Tie Bars (should be &gt; or =    ",IF('Est Steel Vol'!D22="","___",'Est Steel Vol'!D22)," )    (Qty) = ")</f>
        <v xml:space="preserve">No. of Tie Bars (should be &gt; or =    ___ )    (Qty) = </v>
      </c>
      <c r="T48" s="1880"/>
      <c r="U48" s="1880"/>
      <c r="V48" s="1880"/>
      <c r="W48" s="1880"/>
      <c r="X48" s="1880"/>
      <c r="Y48" s="1880"/>
      <c r="Z48" s="1880"/>
      <c r="AA48" s="1880"/>
      <c r="AB48" s="1880"/>
      <c r="AC48" s="1880"/>
      <c r="AD48" s="1880"/>
      <c r="AE48" s="1880"/>
      <c r="AF48" s="1880"/>
      <c r="AG48" s="1856"/>
      <c r="AH48" s="1856"/>
      <c r="AI48" s="1856"/>
      <c r="AJ48" s="1856"/>
      <c r="AK48" s="816"/>
      <c r="AL48" s="595"/>
    </row>
    <row r="49" spans="1:52" ht="15" customHeight="1">
      <c r="A49" s="595"/>
      <c r="B49" s="819"/>
      <c r="C49" s="595"/>
      <c r="D49" s="595"/>
      <c r="E49" s="595"/>
      <c r="F49" s="595"/>
      <c r="G49" s="595"/>
      <c r="H49" s="595"/>
      <c r="I49" s="595"/>
      <c r="J49" s="595"/>
      <c r="K49" s="595"/>
      <c r="L49" s="595"/>
      <c r="M49" s="595"/>
      <c r="N49" s="595"/>
      <c r="O49" s="595"/>
      <c r="P49" s="595"/>
      <c r="Q49" s="595"/>
      <c r="R49" s="825" t="s">
        <v>892</v>
      </c>
      <c r="S49" s="1853" t="s">
        <v>999</v>
      </c>
      <c r="T49" s="1853"/>
      <c r="U49" s="1853"/>
      <c r="V49" s="1853"/>
      <c r="W49" s="1853"/>
      <c r="X49" s="1853"/>
      <c r="Y49" s="1853"/>
      <c r="Z49" s="1853"/>
      <c r="AA49" s="1853"/>
      <c r="AB49" s="1853"/>
      <c r="AC49" s="1853"/>
      <c r="AD49" s="1853"/>
      <c r="AE49" s="1853"/>
      <c r="AF49" s="1853"/>
      <c r="AG49" s="825" t="s">
        <v>677</v>
      </c>
      <c r="AH49" s="825"/>
      <c r="AI49" s="825"/>
      <c r="AJ49" s="825" t="s">
        <v>678</v>
      </c>
      <c r="AK49" s="816"/>
      <c r="AL49" s="595"/>
    </row>
    <row r="50" spans="1:52" ht="15" customHeight="1">
      <c r="A50" s="595"/>
      <c r="B50" s="819"/>
      <c r="C50" s="595"/>
      <c r="D50" s="595"/>
      <c r="E50" s="595"/>
      <c r="F50" s="595"/>
      <c r="G50" s="595"/>
      <c r="H50" s="595"/>
      <c r="I50" s="595"/>
      <c r="J50" s="595"/>
      <c r="K50" s="595"/>
      <c r="L50" s="595"/>
      <c r="M50" s="595"/>
      <c r="N50" s="595"/>
      <c r="O50" s="595"/>
      <c r="P50" s="595"/>
      <c r="Q50" s="595"/>
      <c r="R50" s="825"/>
      <c r="S50" s="821" t="s">
        <v>894</v>
      </c>
      <c r="T50" s="821"/>
      <c r="U50" s="821"/>
      <c r="V50" s="821"/>
      <c r="W50" s="821"/>
      <c r="X50" s="821"/>
      <c r="Y50" s="821"/>
      <c r="Z50" s="821"/>
      <c r="AA50" s="821"/>
      <c r="AB50" s="821"/>
      <c r="AC50" s="821"/>
      <c r="AD50" s="821"/>
      <c r="AE50" s="821"/>
      <c r="AF50" s="821"/>
      <c r="AG50" s="1005"/>
      <c r="AH50" s="1869"/>
      <c r="AI50" s="1869"/>
      <c r="AJ50" s="1005"/>
      <c r="AK50" s="816"/>
      <c r="AL50" s="595"/>
    </row>
    <row r="51" spans="1:52" ht="15" customHeight="1">
      <c r="A51" s="595"/>
      <c r="B51" s="1006"/>
      <c r="C51" s="1007"/>
      <c r="D51" s="1007"/>
      <c r="E51" s="1007"/>
      <c r="F51" s="1007"/>
      <c r="G51" s="1007"/>
      <c r="H51" s="1007"/>
      <c r="I51" s="1007"/>
      <c r="J51" s="1007"/>
      <c r="K51" s="1007"/>
      <c r="L51" s="1007"/>
      <c r="M51" s="1007"/>
      <c r="N51" s="1007"/>
      <c r="O51" s="1007"/>
      <c r="P51" s="1007"/>
      <c r="Q51" s="1007"/>
      <c r="R51" s="825"/>
      <c r="S51" s="1853" t="s">
        <v>1000</v>
      </c>
      <c r="T51" s="1853"/>
      <c r="U51" s="1853"/>
      <c r="V51" s="1853"/>
      <c r="W51" s="1853"/>
      <c r="X51" s="1853"/>
      <c r="Y51" s="1853"/>
      <c r="Z51" s="1853"/>
      <c r="AA51" s="1853"/>
      <c r="AB51" s="1853"/>
      <c r="AC51" s="1853"/>
      <c r="AD51" s="1853"/>
      <c r="AE51" s="1853"/>
      <c r="AF51" s="1853"/>
      <c r="AG51" s="1856"/>
      <c r="AH51" s="1856"/>
      <c r="AI51" s="1856"/>
      <c r="AJ51" s="1856"/>
      <c r="AK51" s="816"/>
      <c r="AL51" s="595"/>
      <c r="AO51" s="182"/>
      <c r="AQ51" s="274"/>
      <c r="AR51" s="274"/>
      <c r="AS51" s="274"/>
      <c r="AT51" s="274"/>
      <c r="AU51" s="274"/>
      <c r="AV51" s="274"/>
      <c r="AW51" s="274"/>
      <c r="AX51" s="274"/>
      <c r="AY51" s="274"/>
      <c r="AZ51" s="274"/>
    </row>
    <row r="52" spans="1:52" ht="15" customHeight="1">
      <c r="A52" s="595"/>
      <c r="B52" s="1006"/>
      <c r="C52" s="1007"/>
      <c r="D52" s="1007"/>
      <c r="E52" s="1007"/>
      <c r="F52" s="1007"/>
      <c r="G52" s="1007"/>
      <c r="H52" s="1007"/>
      <c r="I52" s="1007"/>
      <c r="J52" s="1007"/>
      <c r="K52" s="1007"/>
      <c r="L52" s="1007"/>
      <c r="M52" s="1007"/>
      <c r="N52" s="1007"/>
      <c r="O52" s="1007"/>
      <c r="P52" s="1007"/>
      <c r="Q52" s="1007"/>
      <c r="R52" s="825"/>
      <c r="S52" s="1853" t="s">
        <v>893</v>
      </c>
      <c r="T52" s="1853"/>
      <c r="U52" s="1853"/>
      <c r="V52" s="1853"/>
      <c r="W52" s="1853"/>
      <c r="X52" s="1853"/>
      <c r="Y52" s="1853"/>
      <c r="Z52" s="1853"/>
      <c r="AA52" s="1853"/>
      <c r="AB52" s="1853"/>
      <c r="AC52" s="1853"/>
      <c r="AD52" s="1853"/>
      <c r="AE52" s="1853"/>
      <c r="AF52" s="1853"/>
      <c r="AG52" s="1856"/>
      <c r="AH52" s="1856"/>
      <c r="AI52" s="1856"/>
      <c r="AJ52" s="1856"/>
      <c r="AK52" s="816"/>
      <c r="AL52" s="595"/>
      <c r="AO52" s="182"/>
      <c r="AQ52" s="274"/>
      <c r="AR52" s="274"/>
      <c r="AS52" s="274"/>
      <c r="AT52" s="274"/>
      <c r="AU52" s="274"/>
      <c r="AV52" s="274"/>
      <c r="AW52" s="274"/>
      <c r="AX52" s="274"/>
      <c r="AY52" s="274"/>
      <c r="AZ52" s="274"/>
    </row>
    <row r="53" spans="1:52" ht="15" customHeight="1">
      <c r="A53" s="595"/>
      <c r="B53" s="1006"/>
      <c r="C53" s="1007"/>
      <c r="D53" s="1007"/>
      <c r="E53" s="1007"/>
      <c r="F53" s="1884" t="s">
        <v>1001</v>
      </c>
      <c r="G53" s="1884"/>
      <c r="H53" s="1884"/>
      <c r="I53" s="1884"/>
      <c r="J53" s="1884"/>
      <c r="K53" s="1884"/>
      <c r="L53" s="1884"/>
      <c r="M53" s="1884"/>
      <c r="N53" s="1884"/>
      <c r="O53" s="1007"/>
      <c r="P53" s="1007"/>
      <c r="Q53" s="1007"/>
      <c r="R53" s="825"/>
      <c r="S53" s="1877" t="s">
        <v>1002</v>
      </c>
      <c r="T53" s="1877"/>
      <c r="U53" s="1877"/>
      <c r="V53" s="1877"/>
      <c r="W53" s="1877"/>
      <c r="X53" s="1877"/>
      <c r="Y53" s="1877"/>
      <c r="Z53" s="1877"/>
      <c r="AA53" s="1877"/>
      <c r="AB53" s="1877"/>
      <c r="AC53" s="1877"/>
      <c r="AD53" s="1877"/>
      <c r="AE53" s="1877"/>
      <c r="AF53" s="1877"/>
      <c r="AG53" s="1856"/>
      <c r="AH53" s="1856"/>
      <c r="AI53" s="1856"/>
      <c r="AJ53" s="1856"/>
      <c r="AK53" s="816"/>
      <c r="AL53" s="595"/>
    </row>
    <row r="54" spans="1:52" ht="15" customHeight="1">
      <c r="A54" s="595"/>
      <c r="B54" s="1006"/>
      <c r="C54" s="1007"/>
      <c r="D54" s="1007"/>
      <c r="E54" s="1007"/>
      <c r="F54" s="1885" t="s">
        <v>1003</v>
      </c>
      <c r="G54" s="1886"/>
      <c r="H54" s="1886"/>
      <c r="I54" s="1886"/>
      <c r="J54" s="1886"/>
      <c r="K54" s="1887" t="str">
        <f>IF(OR(AG44="",AG45="",AG46=""),"",AG44*PI()*(AG45/12)*(AG45/12)*AG46/108)</f>
        <v/>
      </c>
      <c r="L54" s="1888"/>
      <c r="M54" s="1888"/>
      <c r="N54" s="1889"/>
      <c r="O54" s="1007"/>
      <c r="P54" s="1007"/>
      <c r="Q54" s="1007"/>
      <c r="R54" s="825"/>
      <c r="S54" s="1890"/>
      <c r="T54" s="1890"/>
      <c r="U54" s="1890"/>
      <c r="V54" s="1890"/>
      <c r="W54" s="1890"/>
      <c r="X54" s="1890"/>
      <c r="Y54" s="1890"/>
      <c r="Z54" s="1890"/>
      <c r="AA54" s="1890"/>
      <c r="AB54" s="1890"/>
      <c r="AC54" s="1890"/>
      <c r="AD54" s="1890"/>
      <c r="AE54" s="1890"/>
      <c r="AF54" s="1890"/>
      <c r="AG54" s="1891"/>
      <c r="AH54" s="1891"/>
      <c r="AI54" s="1891"/>
      <c r="AJ54" s="1891"/>
      <c r="AK54" s="816"/>
      <c r="AL54" s="595"/>
    </row>
    <row r="55" spans="1:52" ht="15" customHeight="1">
      <c r="A55" s="595"/>
      <c r="B55" s="1006"/>
      <c r="C55" s="1007"/>
      <c r="D55" s="1007"/>
      <c r="E55" s="1007"/>
      <c r="F55" s="1892" t="s">
        <v>1004</v>
      </c>
      <c r="G55" s="1893"/>
      <c r="H55" s="1893"/>
      <c r="I55" s="1893"/>
      <c r="J55" s="1893"/>
      <c r="K55" s="1897" t="str">
        <f>IF(OR(AG48="",AG47="",L17=""),"",AG48*PI()*(AG47/12)*(AG47/12)*(PI()*(L17/12)+26/12)/108)</f>
        <v/>
      </c>
      <c r="L55" s="1897"/>
      <c r="M55" s="1897"/>
      <c r="N55" s="1898"/>
      <c r="O55" s="1007"/>
      <c r="P55" s="1007"/>
      <c r="Q55" s="1007"/>
      <c r="R55" s="825" t="s">
        <v>891</v>
      </c>
      <c r="S55" s="1855" t="s">
        <v>1005</v>
      </c>
      <c r="T55" s="1855"/>
      <c r="U55" s="1855"/>
      <c r="V55" s="1855"/>
      <c r="W55" s="1855"/>
      <c r="X55" s="1855"/>
      <c r="Y55" s="1855"/>
      <c r="Z55" s="1855"/>
      <c r="AA55" s="1855"/>
      <c r="AB55" s="1855"/>
      <c r="AC55" s="1855"/>
      <c r="AD55" s="1855"/>
      <c r="AE55" s="1855"/>
      <c r="AF55" s="1855"/>
      <c r="AG55" s="1856"/>
      <c r="AH55" s="1856"/>
      <c r="AI55" s="1856"/>
      <c r="AJ55" s="1856"/>
      <c r="AK55" s="816"/>
      <c r="AL55" s="595"/>
    </row>
    <row r="56" spans="1:52" ht="15" customHeight="1">
      <c r="A56" s="595"/>
      <c r="B56" s="1006"/>
      <c r="C56" s="1007"/>
      <c r="D56" s="1007"/>
      <c r="E56" s="1007"/>
      <c r="F56" s="1892" t="s">
        <v>1179</v>
      </c>
      <c r="G56" s="1893"/>
      <c r="H56" s="1893"/>
      <c r="I56" s="1893"/>
      <c r="J56" s="1893"/>
      <c r="K56" s="1894" t="str">
        <f>IF(OR(AG16="",AG46=""),"",AG16*PI()*(1.9/12)*(1.9/12)*(AG46+1)/108)</f>
        <v/>
      </c>
      <c r="L56" s="1894"/>
      <c r="M56" s="1894"/>
      <c r="N56" s="1895"/>
      <c r="O56" s="1007"/>
      <c r="P56" s="1007"/>
      <c r="Q56" s="1007"/>
      <c r="R56" s="825" t="s">
        <v>890</v>
      </c>
      <c r="S56" s="1855" t="s">
        <v>1006</v>
      </c>
      <c r="T56" s="1855"/>
      <c r="U56" s="1855"/>
      <c r="V56" s="1855"/>
      <c r="W56" s="1855"/>
      <c r="X56" s="1855"/>
      <c r="Y56" s="1855"/>
      <c r="Z56" s="1855"/>
      <c r="AA56" s="1855"/>
      <c r="AB56" s="1855"/>
      <c r="AC56" s="1855"/>
      <c r="AD56" s="1855"/>
      <c r="AE56" s="1855"/>
      <c r="AF56" s="1855"/>
      <c r="AG56" s="1856"/>
      <c r="AH56" s="1856"/>
      <c r="AI56" s="1856"/>
      <c r="AJ56" s="1856"/>
      <c r="AK56" s="816"/>
      <c r="AL56" s="595"/>
    </row>
    <row r="57" spans="1:52" ht="15" customHeight="1">
      <c r="A57" s="595"/>
      <c r="B57" s="1006"/>
      <c r="C57" s="1007"/>
      <c r="D57" s="1007"/>
      <c r="E57" s="1007"/>
      <c r="F57" s="1892" t="s">
        <v>1007</v>
      </c>
      <c r="G57" s="1893"/>
      <c r="H57" s="1893"/>
      <c r="I57" s="1893"/>
      <c r="J57" s="1893"/>
      <c r="K57" s="1894">
        <f>IF(OR(ISTEXT(AG51),ISTEXT(AG52),ISTEXT(AG45)),0,AG51*PI()*(AG45/12)*(AG45/12)*AG52/108)</f>
        <v>0</v>
      </c>
      <c r="L57" s="1894"/>
      <c r="M57" s="1894"/>
      <c r="N57" s="1895"/>
      <c r="P57" s="1896" t="s">
        <v>1008</v>
      </c>
      <c r="Q57" s="1896"/>
      <c r="R57" s="825" t="s">
        <v>889</v>
      </c>
      <c r="S57" s="1855" t="s">
        <v>1009</v>
      </c>
      <c r="T57" s="1855"/>
      <c r="U57" s="1855"/>
      <c r="V57" s="1855"/>
      <c r="W57" s="1855"/>
      <c r="X57" s="1855"/>
      <c r="Y57" s="1855"/>
      <c r="Z57" s="1855"/>
      <c r="AA57" s="1855"/>
      <c r="AB57" s="1855"/>
      <c r="AC57" s="1855"/>
      <c r="AD57" s="1855"/>
      <c r="AE57" s="1855"/>
      <c r="AF57" s="1855"/>
      <c r="AG57" s="1856"/>
      <c r="AH57" s="1856"/>
      <c r="AI57" s="1856"/>
      <c r="AJ57" s="1856"/>
      <c r="AK57" s="816"/>
      <c r="AL57" s="595"/>
      <c r="AO57" s="386"/>
      <c r="AP57" s="386"/>
      <c r="AQ57" s="386"/>
      <c r="AR57" s="386"/>
      <c r="AS57" s="386"/>
      <c r="AT57" s="386"/>
      <c r="AU57" s="386"/>
      <c r="AV57" s="386"/>
      <c r="AW57" s="386"/>
      <c r="AX57" s="386"/>
      <c r="AY57" s="386"/>
      <c r="AZ57" s="386"/>
    </row>
    <row r="58" spans="1:52" ht="15" customHeight="1">
      <c r="A58" s="595"/>
      <c r="B58" s="1006"/>
      <c r="C58" s="1007"/>
      <c r="D58" s="1007"/>
      <c r="E58" s="1007"/>
      <c r="F58" s="1892" t="s">
        <v>1010</v>
      </c>
      <c r="G58" s="1893"/>
      <c r="H58" s="1893"/>
      <c r="I58" s="1893"/>
      <c r="J58" s="1893"/>
      <c r="K58" s="1894">
        <f>IF(ISTEXT(AG53),0,AG53*PI()*(AG47/12)*(AG47/12)*(PI()*(L17/12)+26/12)/108)</f>
        <v>0</v>
      </c>
      <c r="L58" s="1894"/>
      <c r="M58" s="1894"/>
      <c r="N58" s="1895"/>
      <c r="P58" s="1896"/>
      <c r="Q58" s="1896"/>
      <c r="R58" s="825" t="s">
        <v>1011</v>
      </c>
      <c r="S58" s="950" t="s">
        <v>1151</v>
      </c>
      <c r="T58" s="950"/>
      <c r="U58" s="820"/>
      <c r="V58" s="820"/>
      <c r="W58" s="820"/>
      <c r="X58" s="820"/>
      <c r="Y58" s="820"/>
      <c r="Z58" s="820"/>
      <c r="AA58" s="820"/>
      <c r="AB58" s="820"/>
      <c r="AC58" s="820"/>
      <c r="AD58" s="820"/>
      <c r="AE58" s="820"/>
      <c r="AF58" s="820"/>
      <c r="AG58" s="1856"/>
      <c r="AH58" s="1856"/>
      <c r="AI58" s="1856"/>
      <c r="AJ58" s="1856"/>
      <c r="AK58" s="816"/>
      <c r="AL58" s="595"/>
    </row>
    <row r="59" spans="1:52" ht="14.1" customHeight="1">
      <c r="A59" s="595"/>
      <c r="B59" s="1006"/>
      <c r="C59" s="1007"/>
      <c r="D59" s="1007"/>
      <c r="E59" s="1007"/>
      <c r="F59" s="1097"/>
      <c r="G59" s="1007"/>
      <c r="H59" s="1007"/>
      <c r="I59" s="1007"/>
      <c r="J59" s="1007"/>
      <c r="K59" s="1007"/>
      <c r="L59" s="1007"/>
      <c r="M59" s="1007"/>
      <c r="N59" s="1098"/>
      <c r="O59" s="1007"/>
      <c r="P59" s="1007"/>
      <c r="Q59" s="1007"/>
      <c r="R59" s="825" t="s">
        <v>1152</v>
      </c>
      <c r="S59" s="1853" t="s">
        <v>1012</v>
      </c>
      <c r="T59" s="1853"/>
      <c r="U59" s="1853"/>
      <c r="V59" s="1853"/>
      <c r="W59" s="1853"/>
      <c r="X59" s="1853"/>
      <c r="Y59" s="1853"/>
      <c r="Z59" s="1853"/>
      <c r="AA59" s="1853"/>
      <c r="AB59" s="1853"/>
      <c r="AC59" s="1853"/>
      <c r="AD59" s="1853"/>
      <c r="AE59" s="1853"/>
      <c r="AF59" s="1853"/>
      <c r="AG59" s="991" t="s">
        <v>677</v>
      </c>
      <c r="AH59" s="991"/>
      <c r="AI59" s="991"/>
      <c r="AJ59" s="991" t="s">
        <v>678</v>
      </c>
      <c r="AK59" s="816"/>
      <c r="AL59" s="595"/>
      <c r="AO59" s="182"/>
      <c r="AP59" s="1008"/>
      <c r="AQ59" s="274"/>
      <c r="AR59" s="274"/>
      <c r="AS59" s="274"/>
      <c r="AT59" s="274"/>
      <c r="AU59" s="274"/>
      <c r="AV59" s="274"/>
      <c r="AW59" s="274"/>
      <c r="AX59" s="274"/>
      <c r="AY59" s="274"/>
      <c r="AZ59" s="274"/>
    </row>
    <row r="60" spans="1:52" ht="14.25" customHeight="1">
      <c r="A60" s="595"/>
      <c r="B60" s="1006"/>
      <c r="C60" s="1007"/>
      <c r="D60" s="1007"/>
      <c r="E60" s="1007"/>
      <c r="F60" s="1900" t="s">
        <v>1013</v>
      </c>
      <c r="G60" s="1901"/>
      <c r="H60" s="1901"/>
      <c r="I60" s="1901"/>
      <c r="J60" s="1901"/>
      <c r="K60" s="1902">
        <f>SUM(K54,K55,K56,K57,K58)</f>
        <v>0</v>
      </c>
      <c r="L60" s="1903"/>
      <c r="M60" s="1903"/>
      <c r="N60" s="1904"/>
      <c r="O60" s="1007"/>
      <c r="P60" s="1007"/>
      <c r="Q60" s="1007"/>
      <c r="R60" s="825"/>
      <c r="S60" s="950" t="s">
        <v>888</v>
      </c>
      <c r="T60" s="950"/>
      <c r="U60" s="820"/>
      <c r="V60" s="820"/>
      <c r="W60" s="820"/>
      <c r="X60" s="820"/>
      <c r="Y60" s="820"/>
      <c r="Z60" s="820"/>
      <c r="AA60" s="820"/>
      <c r="AB60" s="820"/>
      <c r="AC60" s="820"/>
      <c r="AD60" s="820"/>
      <c r="AE60" s="820"/>
      <c r="AF60" s="820"/>
      <c r="AG60" s="1005"/>
      <c r="AH60" s="1869"/>
      <c r="AI60" s="1869"/>
      <c r="AJ60" s="1005"/>
      <c r="AK60" s="816"/>
      <c r="AL60" s="595"/>
      <c r="AO60" s="182"/>
      <c r="AP60" s="1008"/>
      <c r="AQ60" s="274"/>
      <c r="AR60" s="274"/>
      <c r="AS60" s="274"/>
      <c r="AT60" s="274"/>
      <c r="AU60" s="274"/>
      <c r="AV60" s="274"/>
      <c r="AW60" s="274"/>
      <c r="AX60" s="274"/>
      <c r="AY60" s="274"/>
      <c r="AZ60" s="274"/>
    </row>
    <row r="61" spans="1:52" ht="15" customHeight="1">
      <c r="A61" s="595"/>
      <c r="B61" s="819"/>
      <c r="C61" s="595"/>
      <c r="D61" s="595"/>
      <c r="E61" s="1905" t="s">
        <v>679</v>
      </c>
      <c r="F61" s="1905"/>
      <c r="G61" s="1905"/>
      <c r="H61" s="595"/>
      <c r="I61" s="595"/>
      <c r="J61" s="595"/>
      <c r="K61" s="595"/>
      <c r="L61" s="595"/>
      <c r="M61" s="595"/>
      <c r="N61" s="595"/>
      <c r="O61" s="595"/>
      <c r="P61" s="595"/>
      <c r="Q61" s="595"/>
      <c r="R61" s="825"/>
      <c r="S61" s="825"/>
      <c r="T61" s="825"/>
      <c r="U61" s="820"/>
      <c r="V61" s="820"/>
      <c r="W61" s="820"/>
      <c r="X61" s="820"/>
      <c r="Y61" s="820"/>
      <c r="Z61" s="820"/>
      <c r="AA61" s="820"/>
      <c r="AB61" s="820"/>
      <c r="AC61" s="820"/>
      <c r="AD61" s="820"/>
      <c r="AE61" s="820"/>
      <c r="AF61" s="820"/>
      <c r="AG61" s="820"/>
      <c r="AH61" s="820"/>
      <c r="AI61" s="820"/>
      <c r="AJ61" s="820"/>
      <c r="AK61" s="816"/>
      <c r="AL61" s="595"/>
      <c r="AO61" s="182"/>
      <c r="AP61" s="1008"/>
      <c r="AQ61" s="274"/>
      <c r="AR61" s="274"/>
      <c r="AS61" s="274"/>
      <c r="AT61" s="274"/>
      <c r="AU61" s="274"/>
      <c r="AV61" s="274"/>
      <c r="AW61" s="274"/>
      <c r="AX61" s="274"/>
      <c r="AY61" s="274"/>
      <c r="AZ61" s="274"/>
    </row>
    <row r="62" spans="1:52">
      <c r="A62" s="595"/>
      <c r="B62" s="819"/>
      <c r="C62" s="595"/>
      <c r="D62" s="595"/>
      <c r="E62" s="1906" t="s">
        <v>1180</v>
      </c>
      <c r="F62" s="1907"/>
      <c r="G62" s="1907"/>
      <c r="H62" s="1907"/>
      <c r="I62" s="1907"/>
      <c r="J62" s="1907"/>
      <c r="K62" s="1907"/>
      <c r="L62" s="1907"/>
      <c r="M62" s="1907"/>
      <c r="N62" s="1907"/>
      <c r="O62" s="1907"/>
      <c r="P62" s="1907"/>
      <c r="Q62" s="1907"/>
      <c r="R62" s="1907"/>
      <c r="S62" s="1907"/>
      <c r="T62" s="1907"/>
      <c r="U62" s="1899"/>
      <c r="V62" s="1908"/>
      <c r="W62" s="1908"/>
      <c r="X62" s="1908"/>
      <c r="Y62" s="1908"/>
      <c r="Z62" s="1908"/>
      <c r="AA62" s="1908"/>
      <c r="AB62" s="1908"/>
      <c r="AC62" s="1908"/>
      <c r="AD62" s="1908"/>
      <c r="AE62" s="1908"/>
      <c r="AF62" s="1908"/>
      <c r="AG62" s="1908"/>
      <c r="AH62" s="1908"/>
      <c r="AI62" s="1908"/>
      <c r="AJ62" s="1908"/>
      <c r="AK62" s="816"/>
      <c r="AL62" s="595"/>
      <c r="AO62" s="182"/>
      <c r="AP62" s="1009"/>
    </row>
    <row r="63" spans="1:52">
      <c r="A63" s="595"/>
      <c r="B63" s="819"/>
      <c r="C63" s="595"/>
      <c r="D63" s="595"/>
      <c r="E63" s="1899"/>
      <c r="F63" s="1899"/>
      <c r="G63" s="1899"/>
      <c r="H63" s="1899"/>
      <c r="I63" s="1899"/>
      <c r="J63" s="1899"/>
      <c r="K63" s="1899"/>
      <c r="L63" s="1899"/>
      <c r="M63" s="1899"/>
      <c r="N63" s="1899"/>
      <c r="O63" s="1899"/>
      <c r="P63" s="1899"/>
      <c r="Q63" s="1899"/>
      <c r="R63" s="1899"/>
      <c r="S63" s="1899"/>
      <c r="T63" s="1899"/>
      <c r="U63" s="1899"/>
      <c r="V63" s="1899"/>
      <c r="W63" s="1899"/>
      <c r="X63" s="1899"/>
      <c r="Y63" s="1899"/>
      <c r="Z63" s="1899"/>
      <c r="AA63" s="1899"/>
      <c r="AB63" s="1899"/>
      <c r="AC63" s="1899"/>
      <c r="AD63" s="1899"/>
      <c r="AE63" s="1899"/>
      <c r="AF63" s="1899"/>
      <c r="AG63" s="1899"/>
      <c r="AH63" s="1899"/>
      <c r="AI63" s="1899"/>
      <c r="AJ63" s="1899"/>
      <c r="AK63" s="816"/>
      <c r="AL63" s="595"/>
      <c r="AP63" s="1009"/>
    </row>
    <row r="64" spans="1:52">
      <c r="A64" s="595"/>
      <c r="B64" s="819"/>
      <c r="C64" s="595"/>
      <c r="D64" s="595"/>
      <c r="E64" s="1899"/>
      <c r="F64" s="1899"/>
      <c r="G64" s="1899"/>
      <c r="H64" s="1899"/>
      <c r="I64" s="1899"/>
      <c r="J64" s="1899"/>
      <c r="K64" s="1899"/>
      <c r="L64" s="1899"/>
      <c r="M64" s="1899"/>
      <c r="N64" s="1899"/>
      <c r="O64" s="1899"/>
      <c r="P64" s="1899"/>
      <c r="Q64" s="1899"/>
      <c r="R64" s="1899"/>
      <c r="S64" s="1899"/>
      <c r="T64" s="1899"/>
      <c r="U64" s="1899"/>
      <c r="V64" s="1899"/>
      <c r="W64" s="1899"/>
      <c r="X64" s="1899"/>
      <c r="Y64" s="1899"/>
      <c r="Z64" s="1899"/>
      <c r="AA64" s="1899"/>
      <c r="AB64" s="1899"/>
      <c r="AC64" s="1899"/>
      <c r="AD64" s="1899"/>
      <c r="AE64" s="1899"/>
      <c r="AF64" s="1899"/>
      <c r="AG64" s="1899"/>
      <c r="AH64" s="1899"/>
      <c r="AI64" s="1899"/>
      <c r="AJ64" s="1899"/>
      <c r="AK64" s="816"/>
      <c r="AL64" s="595"/>
    </row>
    <row r="65" spans="1:38">
      <c r="A65" s="595"/>
      <c r="B65" s="819"/>
      <c r="C65" s="595"/>
      <c r="D65" s="595"/>
      <c r="E65" s="1899"/>
      <c r="F65" s="1899"/>
      <c r="G65" s="1899"/>
      <c r="H65" s="1899"/>
      <c r="I65" s="1899"/>
      <c r="J65" s="1899"/>
      <c r="K65" s="1899"/>
      <c r="L65" s="1899"/>
      <c r="M65" s="1899"/>
      <c r="N65" s="1899"/>
      <c r="O65" s="1899"/>
      <c r="P65" s="1899"/>
      <c r="Q65" s="1899"/>
      <c r="R65" s="1899"/>
      <c r="S65" s="1899"/>
      <c r="T65" s="1899"/>
      <c r="U65" s="1899"/>
      <c r="V65" s="1899"/>
      <c r="W65" s="1899"/>
      <c r="X65" s="1899"/>
      <c r="Y65" s="1899"/>
      <c r="Z65" s="1899"/>
      <c r="AA65" s="1899"/>
      <c r="AB65" s="1899"/>
      <c r="AC65" s="1899"/>
      <c r="AD65" s="1899"/>
      <c r="AE65" s="1899"/>
      <c r="AF65" s="1899"/>
      <c r="AG65" s="1899"/>
      <c r="AH65" s="1899"/>
      <c r="AI65" s="1899"/>
      <c r="AJ65" s="1899"/>
      <c r="AK65" s="816"/>
      <c r="AL65" s="595"/>
    </row>
    <row r="66" spans="1:38">
      <c r="A66" s="595"/>
      <c r="B66" s="819"/>
      <c r="C66" s="595"/>
      <c r="D66" s="595"/>
      <c r="E66" s="817"/>
      <c r="F66" s="817"/>
      <c r="G66" s="817"/>
      <c r="H66" s="817"/>
      <c r="I66" s="817"/>
      <c r="J66" s="817"/>
      <c r="K66" s="817"/>
      <c r="L66" s="817"/>
      <c r="M66" s="817"/>
      <c r="N66" s="817"/>
      <c r="O66" s="817"/>
      <c r="P66" s="817"/>
      <c r="Q66" s="817"/>
      <c r="R66" s="818"/>
      <c r="S66" s="818"/>
      <c r="T66" s="818"/>
      <c r="U66" s="817"/>
      <c r="V66" s="817"/>
      <c r="W66" s="817"/>
      <c r="X66" s="817"/>
      <c r="Y66" s="817"/>
      <c r="Z66" s="817"/>
      <c r="AA66" s="817"/>
      <c r="AB66" s="817"/>
      <c r="AC66" s="817"/>
      <c r="AD66" s="817"/>
      <c r="AE66" s="817"/>
      <c r="AF66" s="817"/>
      <c r="AG66" s="817"/>
      <c r="AH66" s="817"/>
      <c r="AI66" s="817"/>
      <c r="AJ66" s="817"/>
      <c r="AK66" s="816"/>
      <c r="AL66" s="595"/>
    </row>
    <row r="67" spans="1:38" ht="15" customHeight="1" thickBot="1">
      <c r="A67" s="595"/>
      <c r="B67" s="815"/>
      <c r="C67" s="881"/>
      <c r="D67" s="881"/>
      <c r="E67" s="881"/>
      <c r="F67" s="881"/>
      <c r="G67" s="881"/>
      <c r="H67" s="881"/>
      <c r="I67" s="881"/>
      <c r="J67" s="881"/>
      <c r="K67" s="881"/>
      <c r="L67" s="881"/>
      <c r="M67" s="881"/>
      <c r="N67" s="881"/>
      <c r="O67" s="881"/>
      <c r="P67" s="881"/>
      <c r="Q67" s="881"/>
      <c r="R67" s="882"/>
      <c r="S67" s="882"/>
      <c r="T67" s="882"/>
      <c r="U67" s="881"/>
      <c r="V67" s="881"/>
      <c r="W67" s="881"/>
      <c r="X67" s="881"/>
      <c r="Y67" s="881"/>
      <c r="Z67" s="881"/>
      <c r="AA67" s="881"/>
      <c r="AB67" s="881"/>
      <c r="AC67" s="881"/>
      <c r="AD67" s="881"/>
      <c r="AE67" s="881"/>
      <c r="AF67" s="881"/>
      <c r="AG67" s="881"/>
      <c r="AH67" s="881"/>
      <c r="AI67" s="881"/>
      <c r="AJ67" s="881"/>
      <c r="AK67" s="813"/>
      <c r="AL67" s="595"/>
    </row>
    <row r="68" spans="1:38" ht="6.75" customHeight="1" thickTop="1">
      <c r="A68" s="595"/>
      <c r="B68" s="595"/>
      <c r="C68" s="595"/>
      <c r="D68" s="595"/>
      <c r="E68" s="595"/>
      <c r="F68" s="595"/>
      <c r="G68" s="595"/>
      <c r="H68" s="595"/>
      <c r="I68" s="595"/>
      <c r="J68" s="595"/>
      <c r="K68" s="595"/>
      <c r="L68" s="595"/>
      <c r="M68" s="595"/>
      <c r="N68" s="595"/>
      <c r="O68" s="595"/>
      <c r="P68" s="595"/>
      <c r="Q68" s="595"/>
      <c r="R68" s="812"/>
      <c r="S68" s="812"/>
      <c r="T68" s="812"/>
      <c r="U68" s="595"/>
      <c r="V68" s="595"/>
      <c r="W68" s="595"/>
      <c r="X68" s="595"/>
      <c r="Y68" s="595"/>
      <c r="Z68" s="595"/>
      <c r="AA68" s="595"/>
      <c r="AB68" s="595"/>
      <c r="AC68" s="595"/>
      <c r="AD68" s="595"/>
      <c r="AE68" s="595"/>
      <c r="AF68" s="595"/>
      <c r="AG68" s="595"/>
      <c r="AH68" s="595"/>
      <c r="AI68" s="595"/>
      <c r="AJ68" s="595"/>
      <c r="AK68" s="595"/>
      <c r="AL68" s="595"/>
    </row>
  </sheetData>
  <sheetProtection algorithmName="SHA-512" hashValue="Behc3GYF3hMbGDM+cX1R8GXozKKRj9IhV82eL8ureW564dK5Ae1QErwcjFtfMWdWrf4SbXJnom6u+4tv0V9YWQ==" saltValue="BmCU18DBl0KxihU7zOLQ3A==" spinCount="100000" sheet="1" objects="1" scenarios="1" selectLockedCells="1"/>
  <mergeCells count="140">
    <mergeCell ref="E63:AJ63"/>
    <mergeCell ref="E64:AJ64"/>
    <mergeCell ref="E65:AJ65"/>
    <mergeCell ref="S59:AF59"/>
    <mergeCell ref="F60:J60"/>
    <mergeCell ref="K60:N60"/>
    <mergeCell ref="AH60:AI60"/>
    <mergeCell ref="E61:G61"/>
    <mergeCell ref="E62:T62"/>
    <mergeCell ref="U62:AJ62"/>
    <mergeCell ref="F57:J57"/>
    <mergeCell ref="K57:N57"/>
    <mergeCell ref="P57:Q58"/>
    <mergeCell ref="S57:AF57"/>
    <mergeCell ref="AG57:AJ57"/>
    <mergeCell ref="F58:J58"/>
    <mergeCell ref="K58:N58"/>
    <mergeCell ref="F55:J55"/>
    <mergeCell ref="K55:N55"/>
    <mergeCell ref="S55:AF55"/>
    <mergeCell ref="AG55:AJ55"/>
    <mergeCell ref="F56:J56"/>
    <mergeCell ref="K56:N56"/>
    <mergeCell ref="S56:AF56"/>
    <mergeCell ref="AG56:AJ56"/>
    <mergeCell ref="AG58:AJ58"/>
    <mergeCell ref="F53:N53"/>
    <mergeCell ref="S53:AF53"/>
    <mergeCell ref="AG53:AJ53"/>
    <mergeCell ref="F54:J54"/>
    <mergeCell ref="K54:N54"/>
    <mergeCell ref="S54:AF54"/>
    <mergeCell ref="AG54:AJ54"/>
    <mergeCell ref="S49:AF49"/>
    <mergeCell ref="AH50:AI50"/>
    <mergeCell ref="S51:AF51"/>
    <mergeCell ref="AG51:AJ51"/>
    <mergeCell ref="S52:AF52"/>
    <mergeCell ref="AG52:AJ52"/>
    <mergeCell ref="S47:AF47"/>
    <mergeCell ref="AG47:AJ47"/>
    <mergeCell ref="E48:F48"/>
    <mergeCell ref="S48:AF48"/>
    <mergeCell ref="AG48:AJ48"/>
    <mergeCell ref="P43:P46"/>
    <mergeCell ref="S44:AF44"/>
    <mergeCell ref="AG44:AJ44"/>
    <mergeCell ref="S45:AF45"/>
    <mergeCell ref="AG45:AJ45"/>
    <mergeCell ref="S46:AF46"/>
    <mergeCell ref="AG46:AJ46"/>
    <mergeCell ref="P39:P42"/>
    <mergeCell ref="S40:AB40"/>
    <mergeCell ref="AC40:AF40"/>
    <mergeCell ref="AG40:AJ40"/>
    <mergeCell ref="S41:AF41"/>
    <mergeCell ref="AG41:AJ41"/>
    <mergeCell ref="S42:AF42"/>
    <mergeCell ref="AG42:AJ42"/>
    <mergeCell ref="AM34:AP34"/>
    <mergeCell ref="P35:P38"/>
    <mergeCell ref="T36:X36"/>
    <mergeCell ref="AA36:AD36"/>
    <mergeCell ref="AG36:AJ36"/>
    <mergeCell ref="BA37:BB37"/>
    <mergeCell ref="T38:X38"/>
    <mergeCell ref="AA38:AD38"/>
    <mergeCell ref="AG38:AJ38"/>
    <mergeCell ref="P31:P34"/>
    <mergeCell ref="T32:X32"/>
    <mergeCell ref="AA32:AD32"/>
    <mergeCell ref="AG32:AJ32"/>
    <mergeCell ref="T34:X34"/>
    <mergeCell ref="AA34:AD34"/>
    <mergeCell ref="AG34:AJ34"/>
    <mergeCell ref="S26:AG27"/>
    <mergeCell ref="AH26:AJ27"/>
    <mergeCell ref="R28:R29"/>
    <mergeCell ref="S28:AG29"/>
    <mergeCell ref="E30:F30"/>
    <mergeCell ref="T30:X30"/>
    <mergeCell ref="AA30:AD30"/>
    <mergeCell ref="AG30:AJ30"/>
    <mergeCell ref="AF22:AG22"/>
    <mergeCell ref="AI22:AJ22"/>
    <mergeCell ref="AF23:AG23"/>
    <mergeCell ref="AI23:AJ23"/>
    <mergeCell ref="AF24:AG24"/>
    <mergeCell ref="AI24:AJ24"/>
    <mergeCell ref="S18:AF18"/>
    <mergeCell ref="AG18:AJ18"/>
    <mergeCell ref="S20:AB20"/>
    <mergeCell ref="AF20:AG20"/>
    <mergeCell ref="AI20:AJ20"/>
    <mergeCell ref="S21:AB21"/>
    <mergeCell ref="AF21:AG21"/>
    <mergeCell ref="AI21:AJ21"/>
    <mergeCell ref="H14:Q14"/>
    <mergeCell ref="R14:S14"/>
    <mergeCell ref="U14:AJ14"/>
    <mergeCell ref="H16:K17"/>
    <mergeCell ref="S16:AF16"/>
    <mergeCell ref="AG16:AJ17"/>
    <mergeCell ref="L17:M17"/>
    <mergeCell ref="S17:AF17"/>
    <mergeCell ref="S15:AG15"/>
    <mergeCell ref="C11:F11"/>
    <mergeCell ref="H11:Q11"/>
    <mergeCell ref="S11:T11"/>
    <mergeCell ref="V11:AB11"/>
    <mergeCell ref="AC11:AJ11"/>
    <mergeCell ref="H12:T12"/>
    <mergeCell ref="AG12:AJ12"/>
    <mergeCell ref="C10:F10"/>
    <mergeCell ref="H10:N10"/>
    <mergeCell ref="P10:Q10"/>
    <mergeCell ref="S10:T10"/>
    <mergeCell ref="V10:AB10"/>
    <mergeCell ref="AC10:AJ10"/>
    <mergeCell ref="C9:F9"/>
    <mergeCell ref="H9:T9"/>
    <mergeCell ref="V9:AB9"/>
    <mergeCell ref="AC9:AJ9"/>
    <mergeCell ref="V6:AB6"/>
    <mergeCell ref="AC6:AF6"/>
    <mergeCell ref="AH6:AJ6"/>
    <mergeCell ref="C7:F7"/>
    <mergeCell ref="H7:T7"/>
    <mergeCell ref="V7:AB7"/>
    <mergeCell ref="AC7:AJ7"/>
    <mergeCell ref="AI1:AK1"/>
    <mergeCell ref="D2:AG2"/>
    <mergeCell ref="AH2:AK2"/>
    <mergeCell ref="D3:AG3"/>
    <mergeCell ref="AJ3:AK3"/>
    <mergeCell ref="E4:AG4"/>
    <mergeCell ref="C8:F8"/>
    <mergeCell ref="H8:T8"/>
    <mergeCell ref="V8:AB8"/>
    <mergeCell ref="AC8:AJ8"/>
  </mergeCells>
  <conditionalFormatting sqref="K54:K58">
    <cfRule type="expression" dxfId="129" priority="1">
      <formula>K54&gt;10</formula>
    </cfRule>
  </conditionalFormatting>
  <conditionalFormatting sqref="T30:X30">
    <cfRule type="expression" dxfId="128" priority="21">
      <formula>$T$30&gt;10</formula>
    </cfRule>
  </conditionalFormatting>
  <conditionalFormatting sqref="T32:X32 K60">
    <cfRule type="expression" dxfId="127" priority="20">
      <formula>K32&gt;10</formula>
    </cfRule>
  </conditionalFormatting>
  <conditionalFormatting sqref="T34:X34">
    <cfRule type="expression" dxfId="126" priority="19">
      <formula>T34&gt;10</formula>
    </cfRule>
  </conditionalFormatting>
  <conditionalFormatting sqref="T36:X36">
    <cfRule type="expression" dxfId="125" priority="18">
      <formula>T36&gt;10</formula>
    </cfRule>
  </conditionalFormatting>
  <conditionalFormatting sqref="T38:X38">
    <cfRule type="expression" dxfId="124" priority="17">
      <formula>T38&gt;10</formula>
    </cfRule>
  </conditionalFormatting>
  <conditionalFormatting sqref="AA30:AD30">
    <cfRule type="expression" dxfId="123" priority="16">
      <formula>AA30&gt;10</formula>
    </cfRule>
  </conditionalFormatting>
  <conditionalFormatting sqref="AA32:AD32">
    <cfRule type="expression" dxfId="122" priority="15">
      <formula>AA32&gt;10</formula>
    </cfRule>
  </conditionalFormatting>
  <conditionalFormatting sqref="AA34:AD34">
    <cfRule type="expression" dxfId="121" priority="14">
      <formula>AA34&gt;10</formula>
    </cfRule>
  </conditionalFormatting>
  <conditionalFormatting sqref="AA36:AD36">
    <cfRule type="expression" dxfId="120" priority="13">
      <formula>AA36&gt;10</formula>
    </cfRule>
  </conditionalFormatting>
  <conditionalFormatting sqref="AA38:AD38">
    <cfRule type="expression" dxfId="119" priority="12">
      <formula>AA38&gt;10</formula>
    </cfRule>
  </conditionalFormatting>
  <conditionalFormatting sqref="AG16">
    <cfRule type="expression" dxfId="118" priority="3">
      <formula>$AG$16&lt;$BC$23</formula>
    </cfRule>
    <cfRule type="expression" dxfId="117" priority="4">
      <formula>"less than $BC$23"</formula>
    </cfRule>
  </conditionalFormatting>
  <conditionalFormatting sqref="AG40">
    <cfRule type="expression" dxfId="116" priority="6">
      <formula>"$A$F40&lt;$BB$37"</formula>
    </cfRule>
  </conditionalFormatting>
  <conditionalFormatting sqref="AG30:AJ30">
    <cfRule type="expression" dxfId="115" priority="11">
      <formula>AG30&gt;10</formula>
    </cfRule>
  </conditionalFormatting>
  <conditionalFormatting sqref="AG32:AJ32">
    <cfRule type="expression" dxfId="114" priority="10">
      <formula>AG32&gt;10</formula>
    </cfRule>
  </conditionalFormatting>
  <conditionalFormatting sqref="AG34:AJ34">
    <cfRule type="expression" dxfId="113" priority="9">
      <formula>AG34&gt;10</formula>
    </cfRule>
  </conditionalFormatting>
  <conditionalFormatting sqref="AG36:AJ36">
    <cfRule type="expression" dxfId="112" priority="8">
      <formula>AG36&gt;10</formula>
    </cfRule>
  </conditionalFormatting>
  <conditionalFormatting sqref="AG38:AJ38">
    <cfRule type="expression" dxfId="111" priority="7">
      <formula>AG38&gt;10</formula>
    </cfRule>
  </conditionalFormatting>
  <conditionalFormatting sqref="AG40:AJ40">
    <cfRule type="expression" dxfId="110" priority="5">
      <formula>$AG$40&lt;$BE$37</formula>
    </cfRule>
  </conditionalFormatting>
  <pageMargins left="0.45" right="0.25" top="0.4" bottom="0.25" header="0.3" footer="0.3"/>
  <pageSetup scale="69" orientation="portrait" r:id="rId1"/>
  <drawing r:id="rId2"/>
  <legacyDrawing r:id="rId3"/>
  <extLst>
    <ext xmlns:x14="http://schemas.microsoft.com/office/spreadsheetml/2009/9/main" uri="{CCE6A557-97BC-4b89-ADB6-D9C93CAAB3DF}">
      <x14:dataValidations xmlns:xm="http://schemas.microsoft.com/office/excel/2006/main" count="7">
        <x14:dataValidation type="list" allowBlank="1" showInputMessage="1" xr:uid="{00000000-0002-0000-0700-000000000000}">
          <x14:formula1>
            <xm:f>List!$J$19:$J$20</xm:f>
          </x14:formula1>
          <xm:sqref>S11:T11</xm:sqref>
        </x14:dataValidation>
        <x14:dataValidation type="list" allowBlank="1" showInputMessage="1" xr:uid="{00000000-0002-0000-0700-000001000000}">
          <x14:formula1>
            <xm:f>List!$I$19:$I$20</xm:f>
          </x14:formula1>
          <xm:sqref>S10:T10</xm:sqref>
        </x14:dataValidation>
        <x14:dataValidation type="list" showInputMessage="1" xr:uid="{00000000-0002-0000-0700-000002000000}">
          <x14:formula1>
            <xm:f>List!$B$17:$B$18</xm:f>
          </x14:formula1>
          <xm:sqref>H11:Q11</xm:sqref>
        </x14:dataValidation>
        <x14:dataValidation type="list" allowBlank="1" showInputMessage="1" xr:uid="{00000000-0002-0000-0700-000003000000}">
          <x14:formula1>
            <xm:f>List!$C$2:$C$3</xm:f>
          </x14:formula1>
          <xm:sqref>P10:Q10</xm:sqref>
        </x14:dataValidation>
        <x14:dataValidation type="list" errorStyle="information" showInputMessage="1" xr:uid="{00000000-0002-0000-0700-000004000000}">
          <x14:formula1>
            <xm:f>List!$B$2:$B$3</xm:f>
          </x14:formula1>
          <xm:sqref>H10:N10</xm:sqref>
        </x14:dataValidation>
        <x14:dataValidation type="list" allowBlank="1" showInputMessage="1" xr:uid="{00000000-0002-0000-0700-000005000000}">
          <x14:formula1>
            <xm:f>List!$F$25:$F$29</xm:f>
          </x14:formula1>
          <xm:sqref>AC6:AF6</xm:sqref>
        </x14:dataValidation>
        <x14:dataValidation type="list" allowBlank="1" showInputMessage="1" xr:uid="{00000000-0002-0000-0700-000006000000}">
          <x14:formula1>
            <xm:f>List!$F$37:$F$43</xm:f>
          </x14:formula1>
          <xm:sqref>AH6:AJ6</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1">
    <tabColor rgb="FF00B0F0"/>
  </sheetPr>
  <dimension ref="A1:FO306"/>
  <sheetViews>
    <sheetView topLeftCell="A19" zoomScale="60" zoomScaleNormal="60" workbookViewId="0">
      <selection activeCell="B4" sqref="B4:C5"/>
    </sheetView>
  </sheetViews>
  <sheetFormatPr defaultColWidth="9.109375" defaultRowHeight="13.2"/>
  <cols>
    <col min="1" max="1" width="3.6640625" style="395" customWidth="1"/>
    <col min="2" max="7" width="12.6640625" style="395" customWidth="1"/>
    <col min="8" max="11" width="13.6640625" style="395" customWidth="1"/>
    <col min="12" max="12" width="12.6640625" style="395" customWidth="1"/>
    <col min="13" max="13" width="3.6640625" style="395" customWidth="1"/>
    <col min="14" max="15" width="12.6640625" style="395" customWidth="1"/>
    <col min="16" max="16" width="3.6640625" style="395" customWidth="1"/>
    <col min="17" max="17" width="14.109375" style="395" bestFit="1" customWidth="1"/>
    <col min="18" max="18" width="14.88671875" style="395" bestFit="1" customWidth="1"/>
    <col min="19" max="19" width="9.44140625" style="395" bestFit="1" customWidth="1"/>
    <col min="20" max="20" width="9.33203125" style="395" customWidth="1"/>
    <col min="21" max="21" width="10.33203125" style="395" customWidth="1"/>
    <col min="22" max="22" width="9.6640625" style="395" bestFit="1" customWidth="1"/>
    <col min="23" max="23" width="12.44140625" style="395" bestFit="1" customWidth="1"/>
    <col min="24" max="25" width="10.6640625" style="395" bestFit="1" customWidth="1"/>
    <col min="26" max="31" width="9.109375" style="395"/>
    <col min="32" max="32" width="11.33203125" style="395" customWidth="1"/>
    <col min="33" max="82" width="9.109375" style="395"/>
    <col min="83" max="88" width="12.6640625" style="395" customWidth="1"/>
    <col min="89" max="92" width="13.6640625" style="395" customWidth="1"/>
    <col min="93" max="93" width="12.6640625" style="395" customWidth="1"/>
    <col min="94" max="94" width="3.6640625" style="395" customWidth="1"/>
    <col min="95" max="96" width="12.6640625" style="395" customWidth="1"/>
    <col min="97" max="97" width="3.6640625" style="395" customWidth="1"/>
    <col min="98" max="106" width="12.6640625" style="395" customWidth="1"/>
    <col min="107" max="107" width="3.6640625" style="395" customWidth="1"/>
    <col min="108" max="122" width="12.6640625" style="395" customWidth="1"/>
    <col min="123" max="16384" width="9.109375" style="395"/>
  </cols>
  <sheetData>
    <row r="1" spans="1:123" ht="14.4">
      <c r="A1" t="s">
        <v>663</v>
      </c>
      <c r="B1" s="1010">
        <v>12</v>
      </c>
      <c r="C1" s="1010">
        <v>12</v>
      </c>
      <c r="D1" s="1010">
        <v>12</v>
      </c>
      <c r="E1" s="1010">
        <v>12</v>
      </c>
      <c r="F1" s="1010">
        <v>12</v>
      </c>
      <c r="G1" s="1010">
        <v>12</v>
      </c>
      <c r="H1" s="1010">
        <v>13</v>
      </c>
      <c r="I1" s="1010">
        <v>13</v>
      </c>
      <c r="J1" s="1010">
        <v>13</v>
      </c>
      <c r="K1" s="1010">
        <v>13</v>
      </c>
      <c r="L1" s="1010">
        <v>12</v>
      </c>
      <c r="M1" s="1010">
        <v>3</v>
      </c>
      <c r="N1" s="1010">
        <v>12</v>
      </c>
      <c r="O1" s="1010">
        <v>12</v>
      </c>
      <c r="P1">
        <v>3</v>
      </c>
      <c r="Q1" s="1010">
        <v>10</v>
      </c>
      <c r="R1" s="1010">
        <v>10</v>
      </c>
      <c r="S1" s="1010">
        <v>12</v>
      </c>
      <c r="T1" s="1010">
        <v>12</v>
      </c>
      <c r="U1" s="1010">
        <v>12</v>
      </c>
      <c r="V1" s="1010">
        <v>12</v>
      </c>
      <c r="W1" s="1010">
        <v>12</v>
      </c>
      <c r="X1" s="1010">
        <v>12</v>
      </c>
      <c r="Y1" s="1010">
        <v>12</v>
      </c>
      <c r="Z1" s="1010">
        <v>12</v>
      </c>
      <c r="AA1" s="1010">
        <v>12</v>
      </c>
      <c r="AB1" s="1010">
        <v>12</v>
      </c>
      <c r="AC1" s="1010">
        <v>12</v>
      </c>
      <c r="AD1" s="1010">
        <v>12</v>
      </c>
      <c r="AE1" s="1010">
        <v>12</v>
      </c>
      <c r="AF1" s="1010">
        <v>12</v>
      </c>
      <c r="AG1" s="1010">
        <v>12</v>
      </c>
      <c r="AH1" s="1010">
        <v>12</v>
      </c>
      <c r="AI1" s="1010">
        <v>12</v>
      </c>
      <c r="AJ1" s="1010">
        <v>12</v>
      </c>
      <c r="AK1" s="1010">
        <v>12</v>
      </c>
      <c r="CE1" s="1010">
        <v>12</v>
      </c>
      <c r="CF1" s="1010">
        <v>12</v>
      </c>
      <c r="CG1" s="1010">
        <v>12</v>
      </c>
      <c r="CH1" s="1010">
        <v>12</v>
      </c>
      <c r="CI1" s="1010">
        <v>12</v>
      </c>
      <c r="CJ1" s="1010">
        <v>12</v>
      </c>
      <c r="CK1" s="1010">
        <v>13</v>
      </c>
      <c r="CL1" s="1010">
        <v>13</v>
      </c>
      <c r="CM1" s="1010">
        <v>13</v>
      </c>
      <c r="CN1" s="1010">
        <v>13</v>
      </c>
      <c r="CO1" s="1010">
        <v>12</v>
      </c>
      <c r="CP1" s="1010">
        <v>3</v>
      </c>
      <c r="CQ1" s="1010">
        <v>12</v>
      </c>
      <c r="CR1" s="1010">
        <v>12</v>
      </c>
      <c r="CS1">
        <v>3</v>
      </c>
      <c r="CT1" s="1010">
        <v>12</v>
      </c>
      <c r="CU1" s="1010">
        <v>12</v>
      </c>
      <c r="CV1" s="1010">
        <v>12</v>
      </c>
      <c r="CW1" s="1010">
        <v>12</v>
      </c>
      <c r="CX1" s="1010">
        <v>12</v>
      </c>
      <c r="CY1" s="1010">
        <v>12</v>
      </c>
      <c r="CZ1" s="1010">
        <v>12</v>
      </c>
      <c r="DA1" s="1010">
        <v>12</v>
      </c>
      <c r="DB1" s="1010">
        <v>12</v>
      </c>
      <c r="DC1" s="1010">
        <v>12</v>
      </c>
      <c r="DD1" s="1010">
        <v>12</v>
      </c>
      <c r="DE1" s="1010">
        <v>12</v>
      </c>
      <c r="DF1" s="1010">
        <v>12</v>
      </c>
      <c r="DG1" s="1010">
        <v>12</v>
      </c>
      <c r="DH1" s="1010">
        <v>12</v>
      </c>
      <c r="DI1" s="1010">
        <v>12</v>
      </c>
      <c r="DJ1" s="1010">
        <v>12</v>
      </c>
      <c r="DK1" s="1010">
        <v>12</v>
      </c>
      <c r="DL1" s="1010">
        <v>12</v>
      </c>
      <c r="DM1" s="1010">
        <v>12</v>
      </c>
      <c r="DN1" s="1010">
        <v>12</v>
      </c>
      <c r="DO1" s="1010">
        <v>12</v>
      </c>
      <c r="DP1" s="1010">
        <v>12</v>
      </c>
      <c r="DQ1" s="1010">
        <v>12</v>
      </c>
      <c r="DR1" s="1010">
        <v>12</v>
      </c>
      <c r="DS1"/>
    </row>
    <row r="2" spans="1:123" ht="20.100000000000001" customHeight="1">
      <c r="A2" s="1116"/>
      <c r="B2" s="1116"/>
      <c r="C2" s="1116"/>
      <c r="D2" s="1116"/>
      <c r="E2" s="1116"/>
      <c r="F2" s="1116"/>
      <c r="G2" s="1116"/>
      <c r="H2" s="1116"/>
      <c r="I2" s="1116"/>
      <c r="J2" s="1116"/>
      <c r="K2" s="1116"/>
      <c r="L2" s="1116"/>
      <c r="M2" s="1116"/>
      <c r="N2" s="1116"/>
      <c r="O2" s="1116"/>
      <c r="P2" s="1116"/>
      <c r="Q2"/>
      <c r="R2"/>
      <c r="S2"/>
      <c r="T2"/>
      <c r="U2"/>
      <c r="V2"/>
      <c r="W2"/>
      <c r="X2"/>
      <c r="Y2"/>
      <c r="Z2"/>
      <c r="AA2"/>
      <c r="AB2"/>
      <c r="AC2"/>
      <c r="AD2"/>
      <c r="AE2"/>
      <c r="AF2"/>
      <c r="AG2"/>
      <c r="AH2"/>
      <c r="AI2"/>
      <c r="AJ2"/>
      <c r="AK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row>
    <row r="3" spans="1:123" ht="20.100000000000001" customHeight="1" thickBot="1">
      <c r="A3" s="1116"/>
      <c r="B3" s="1909" t="s">
        <v>1014</v>
      </c>
      <c r="C3" s="1910"/>
      <c r="D3" s="1911" t="str">
        <f>IF(B4=CQ74,"Standard or Modified","")</f>
        <v>Standard or Modified</v>
      </c>
      <c r="E3" s="1912"/>
      <c r="F3" s="1913"/>
      <c r="G3" s="1913"/>
      <c r="H3" s="1912"/>
      <c r="I3" s="1914"/>
      <c r="J3" s="1911" t="str">
        <f>IF(B4=CQ74,"Special MA Assembly","")</f>
        <v>Special MA Assembly</v>
      </c>
      <c r="K3" s="1914"/>
      <c r="L3" s="1119"/>
      <c r="M3" s="1120"/>
      <c r="N3" s="1120"/>
      <c r="O3" s="1120"/>
      <c r="P3" s="1116"/>
      <c r="Q3"/>
      <c r="R3"/>
      <c r="S3"/>
      <c r="T3"/>
      <c r="U3"/>
      <c r="V3"/>
      <c r="W3"/>
      <c r="X3"/>
      <c r="Y3"/>
      <c r="Z3"/>
      <c r="AA3"/>
      <c r="AB3"/>
      <c r="AC3"/>
      <c r="AD3"/>
      <c r="AE3"/>
      <c r="AF3"/>
      <c r="AG3" s="1011"/>
      <c r="AH3" s="1011"/>
      <c r="AI3" s="1011"/>
      <c r="AJ3" s="1011"/>
      <c r="AK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row>
    <row r="4" spans="1:123" ht="20.100000000000001" customHeight="1">
      <c r="A4" s="1116"/>
      <c r="B4" s="1915" t="s">
        <v>1015</v>
      </c>
      <c r="C4" s="1916"/>
      <c r="D4" s="1919" t="s">
        <v>69</v>
      </c>
      <c r="E4" s="1920"/>
      <c r="F4" s="1923" t="s">
        <v>549</v>
      </c>
      <c r="G4" s="1924"/>
      <c r="H4" s="1925" t="s">
        <v>550</v>
      </c>
      <c r="I4" s="1926"/>
      <c r="J4" s="1926"/>
      <c r="K4" s="1926"/>
      <c r="L4" s="1927"/>
      <c r="M4" s="1120"/>
      <c r="N4" s="1120"/>
      <c r="O4" s="1120"/>
      <c r="P4" s="1116"/>
      <c r="Q4"/>
      <c r="R4"/>
      <c r="S4"/>
      <c r="T4"/>
      <c r="U4"/>
      <c r="V4"/>
      <c r="W4"/>
      <c r="X4"/>
      <c r="Y4"/>
      <c r="Z4"/>
      <c r="AA4"/>
      <c r="AB4"/>
      <c r="AC4"/>
      <c r="AD4"/>
      <c r="AE4"/>
      <c r="AF4"/>
      <c r="AG4" s="1012"/>
      <c r="AH4" s="1012"/>
      <c r="AI4" s="1012"/>
      <c r="AJ4" s="1012"/>
      <c r="AK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row>
    <row r="5" spans="1:123" ht="20.100000000000001" customHeight="1" thickBot="1">
      <c r="A5" s="1116"/>
      <c r="B5" s="1917"/>
      <c r="C5" s="1918"/>
      <c r="D5" s="1921"/>
      <c r="E5" s="1922"/>
      <c r="F5" s="1928" t="str">
        <f>IF(B4=CQ74,"RB #RA Vertical Bars",IF(B4=CQ75,"FC Vertical Bars",IF(B4=CQ76,"DC Vertical Bars",IF(B4=CQ77,"FC Vertical Bars",IF(B4=CQ78,"",IF(B4=CQ79,"",""))))))</f>
        <v>RB #RA Vertical Bars</v>
      </c>
      <c r="G5" s="1929"/>
      <c r="H5" s="1930" t="s">
        <v>1016</v>
      </c>
      <c r="I5" s="1931"/>
      <c r="J5" s="1931"/>
      <c r="K5" s="1931"/>
      <c r="L5" s="1932"/>
      <c r="M5" s="1120"/>
      <c r="N5" s="1120"/>
      <c r="O5" s="1120"/>
      <c r="P5" s="1116"/>
      <c r="Q5"/>
      <c r="R5"/>
      <c r="S5"/>
      <c r="T5"/>
      <c r="U5"/>
      <c r="V5"/>
      <c r="W5"/>
      <c r="X5"/>
      <c r="Y5"/>
      <c r="Z5"/>
      <c r="AA5"/>
      <c r="AB5"/>
      <c r="AC5"/>
      <c r="AD5"/>
      <c r="AE5"/>
      <c r="AF5"/>
      <c r="AG5" s="1012"/>
      <c r="AH5" s="1012"/>
      <c r="AI5" s="1012"/>
      <c r="AJ5" s="1012"/>
      <c r="AK5"/>
      <c r="CE5"/>
      <c r="CF5"/>
      <c r="CG5"/>
      <c r="CH5"/>
      <c r="CI5"/>
      <c r="CJ5"/>
      <c r="CK5"/>
      <c r="CL5"/>
      <c r="CM5"/>
      <c r="CN5"/>
      <c r="CO5"/>
      <c r="CP5"/>
      <c r="CQ5"/>
      <c r="CR5"/>
      <c r="CS5"/>
      <c r="CT5"/>
      <c r="CU5"/>
      <c r="CV5"/>
      <c r="CW5"/>
      <c r="CX5"/>
      <c r="CY5"/>
      <c r="CZ5"/>
      <c r="DA5"/>
      <c r="DB5"/>
      <c r="DC5"/>
      <c r="DD5"/>
      <c r="DE5"/>
      <c r="DF5"/>
      <c r="DG5"/>
      <c r="DH5"/>
      <c r="DI5"/>
      <c r="DJ5"/>
      <c r="DK5"/>
      <c r="DL5"/>
      <c r="DM5"/>
      <c r="DN5" s="112"/>
      <c r="DO5"/>
      <c r="DP5"/>
      <c r="DQ5"/>
      <c r="DR5"/>
      <c r="DS5"/>
    </row>
    <row r="6" spans="1:123" ht="20.100000000000001" customHeight="1">
      <c r="A6" s="1116"/>
      <c r="B6" s="1949" t="str">
        <f>IF(B4=CQ74,"Mast Arm Assemblies - *IDS &amp; Index 17743 / 17745",IF(B4=CQ75,"Cantillever Sign Structure - *IDS &amp; Index 11310",IF(B4=CQ76,"Span Sign Structure - *IDS &amp; Index 11320 - LEFT drilled shaft",IF(B4=CQ77,"Span Sign Structure - *IDS &amp; Index 11320 - RIGHT driled shaft", IF(B4=CQ78,"Steel Strain Pole - *IDS &amp; Index 17723",IF(B4=CQ79,"High Mast Lighting - *IDS &amp; Index 17502",IF(B4=CQ80,"*IDS &amp; Index xxxxx",IF(B4=CQ81,"",""))))))))</f>
        <v>Mast Arm Assemblies - *IDS &amp; Index 17743 / 17745</v>
      </c>
      <c r="C6" s="1950"/>
      <c r="D6" s="1933" t="str">
        <f>IF(B4=CQ79,"Length (ft) (Index Table)","Length (ft)")</f>
        <v>Length (ft)</v>
      </c>
      <c r="E6" s="1933" t="str">
        <f>IF(B4=CQ79,"Dia. (ft)    (Index Table)","Dia. (ft)")</f>
        <v>Dia. (ft)</v>
      </c>
      <c r="F6" s="1013" t="s">
        <v>1017</v>
      </c>
      <c r="G6" s="1933" t="s">
        <v>1018</v>
      </c>
      <c r="H6" s="1954" t="str">
        <f>IF(B4=CQ74,"RC spaces @ RD in",IF(B4=CQ75,"FD spaces @ FE in",IF(B4=CQ76,"DD spaces @ DE in",IF(B4=CQ77,"FD spaces @ FE in",IF(B4=CQ78,"",IF(B4=CQ79,"",""))))))</f>
        <v>RC spaces @ RD in</v>
      </c>
      <c r="I6" s="1955"/>
      <c r="J6" s="1955" t="str">
        <f>IF(B4=CQ74,"RE spaces @ RF in",IF(B4=CQ75,"FF spaces @ FG in",""))</f>
        <v>RE spaces @ RF in</v>
      </c>
      <c r="K6" s="1955"/>
      <c r="L6" s="1933" t="s">
        <v>1019</v>
      </c>
      <c r="M6" s="1120"/>
      <c r="N6" s="1935" t="s">
        <v>435</v>
      </c>
      <c r="O6" s="1935"/>
      <c r="P6" s="1121"/>
      <c r="Q6"/>
      <c r="R6"/>
      <c r="S6"/>
      <c r="T6"/>
      <c r="U6"/>
      <c r="V6"/>
      <c r="W6"/>
      <c r="X6"/>
      <c r="Y6"/>
      <c r="Z6"/>
      <c r="AA6"/>
      <c r="AB6"/>
      <c r="AC6"/>
      <c r="AD6"/>
      <c r="AE6"/>
      <c r="AF6"/>
      <c r="AG6" s="1014"/>
      <c r="AH6" s="1014"/>
      <c r="AI6"/>
      <c r="AJ6"/>
      <c r="AK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row>
    <row r="7" spans="1:123" ht="20.100000000000001" customHeight="1">
      <c r="A7" s="1116"/>
      <c r="B7" s="1949"/>
      <c r="C7" s="1950"/>
      <c r="D7" s="1953"/>
      <c r="E7" s="1953"/>
      <c r="F7" s="1015" t="str">
        <f>IF(OR(B4=CQ74,B4=CQ75,B4=CQ76,B4=CQ77),"(Qty)",IF(OR(B4=CQ78,B4=CQ79),"(Index Table)",""))</f>
        <v>(Qty)</v>
      </c>
      <c r="G7" s="1953"/>
      <c r="H7" s="1016" t="str">
        <f>IF(H6="","","No. of Spaces")</f>
        <v>No. of Spaces</v>
      </c>
      <c r="I7" s="1016" t="str">
        <f>IF(H6="","","Spacing (in)")</f>
        <v>Spacing (in)</v>
      </c>
      <c r="J7" s="1017" t="str">
        <f>IF(J6="","","No. of Spaces")</f>
        <v>No. of Spaces</v>
      </c>
      <c r="K7" s="1017" t="str">
        <f>IF(J6="","","Spacing (in)")</f>
        <v>Spacing (in)</v>
      </c>
      <c r="L7" s="1934"/>
      <c r="M7" s="1120"/>
      <c r="N7" s="1936" t="s">
        <v>1020</v>
      </c>
      <c r="O7" s="1936"/>
      <c r="P7" s="1121"/>
      <c r="Q7"/>
      <c r="R7"/>
      <c r="S7"/>
      <c r="T7"/>
      <c r="U7"/>
      <c r="V7"/>
      <c r="W7"/>
      <c r="X7"/>
      <c r="Y7"/>
      <c r="Z7"/>
      <c r="AA7"/>
      <c r="AB7"/>
      <c r="AC7"/>
      <c r="AD7"/>
      <c r="AE7"/>
      <c r="AF7"/>
      <c r="AG7"/>
      <c r="AH7"/>
      <c r="AI7"/>
      <c r="AJ7"/>
      <c r="AK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row>
    <row r="8" spans="1:123" ht="20.100000000000001" customHeight="1" thickBot="1">
      <c r="A8" s="1116"/>
      <c r="B8" s="1951"/>
      <c r="C8" s="1952"/>
      <c r="D8" s="1018" t="str">
        <f>IF(OR(B4=CQ74,B4=CQ76,B4=CQ78),"DA",IF(OR(B4=CQ75,B4=CQ77),"FA",IF(B4=CQ79,"Shaft Length","")))</f>
        <v>DA</v>
      </c>
      <c r="E8" s="1018" t="str">
        <f>IF(OR(B4=CQ74,B4=CQ76,B4=CQ78),"DB",IF(OR(B4=CQ75,B4=CQ77),"FB",IF(B4=CQ79,"Shaft Dia.","")))</f>
        <v>DB</v>
      </c>
      <c r="F8" s="1019" t="str">
        <f>IF(B4=CQ74,"RB",IF(B4=CQ75,"FC",IF(B4=CQ76,"DC",IF(B4=CQ77,"FC","(Qty)"))))</f>
        <v>RB</v>
      </c>
      <c r="G8" s="1020" t="str">
        <f>IF(B4=CQ74,"# RA",IF(B4=CQ75,"# FC",IF(B4=CQ76,"# DC",IF(B4=CQ77,"# FC",IF(B4=CQ80,"(# size)",IF(B4="","(# size)","(all #11)"))))))</f>
        <v># RA</v>
      </c>
      <c r="H8" s="534" t="str">
        <f>IF(B4=CQ74,"RC",IF(B4=CQ75,"FD",IF(B4=CQ76,"DD",IF(B4=CQ77,"FD",""))))</f>
        <v>RC</v>
      </c>
      <c r="I8" s="534" t="str">
        <f>IF(B4=CQ74,"RD in",IF(B4=CQ75,"FE in",IF(B4=CQ76,"DE in",IF(B4=CQ77,"FE in",""))))</f>
        <v>RD in</v>
      </c>
      <c r="J8" s="534" t="str">
        <f>IF(B4=CQ74,"RE",IF(B4=CQ75,"FF",""))</f>
        <v>RE</v>
      </c>
      <c r="K8" s="534" t="str">
        <f>IF(B4=CQ74,"RF in",IF(B4=CQ75,"FG in",""))</f>
        <v>RF in</v>
      </c>
      <c r="L8" s="490" t="s">
        <v>1021</v>
      </c>
      <c r="M8" s="1120"/>
      <c r="N8" s="1021" t="s">
        <v>1022</v>
      </c>
      <c r="O8" s="1021" t="s">
        <v>1023</v>
      </c>
      <c r="P8" s="1116"/>
      <c r="Q8"/>
      <c r="R8"/>
      <c r="S8"/>
      <c r="T8"/>
      <c r="U8"/>
      <c r="V8"/>
      <c r="W8"/>
      <c r="X8"/>
      <c r="Y8"/>
      <c r="Z8"/>
      <c r="AA8"/>
      <c r="AB8"/>
      <c r="AC8"/>
      <c r="AD8"/>
      <c r="AE8"/>
      <c r="AF8"/>
      <c r="AG8"/>
      <c r="AH8"/>
      <c r="AI8"/>
      <c r="AJ8"/>
      <c r="AK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row>
    <row r="9" spans="1:123" ht="20.100000000000001" customHeight="1" thickBot="1">
      <c r="A9" s="1116"/>
      <c r="B9" s="1937" t="s">
        <v>1024</v>
      </c>
      <c r="C9" s="1938"/>
      <c r="D9" s="1122"/>
      <c r="E9" s="1123"/>
      <c r="F9" s="1122"/>
      <c r="G9" s="1122"/>
      <c r="H9" s="1122"/>
      <c r="I9" s="1122"/>
      <c r="J9" s="1122"/>
      <c r="K9" s="1122"/>
      <c r="L9" s="1115"/>
      <c r="M9" s="1120"/>
      <c r="N9" s="1023">
        <f>IF(B4=CQ74,CQ21,IF(B4=CQ75,CQ31,IF(B4=CQ76,CQ41,IF(B4=CQ77,CQ51,IF(B4=CQ78,CQ61,IF(B4=CQ79,CQ71,""))))))</f>
        <v>-3.0771969826142473E-4</v>
      </c>
      <c r="O9" s="1024" t="e">
        <f>IF(N9="","",N9/D9)</f>
        <v>#DIV/0!</v>
      </c>
      <c r="P9" s="1116"/>
      <c r="Q9"/>
      <c r="R9"/>
      <c r="S9"/>
      <c r="T9"/>
      <c r="U9"/>
      <c r="V9"/>
      <c r="W9"/>
      <c r="X9"/>
      <c r="Y9"/>
      <c r="Z9"/>
      <c r="AA9"/>
      <c r="AB9"/>
      <c r="AC9"/>
      <c r="AD9"/>
      <c r="AE9"/>
      <c r="AF9"/>
      <c r="AG9"/>
      <c r="AH9"/>
      <c r="AI9"/>
      <c r="AJ9"/>
      <c r="AK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row>
    <row r="10" spans="1:123" ht="14.4">
      <c r="A10" s="1116"/>
      <c r="B10" s="1118"/>
      <c r="C10" s="1118"/>
      <c r="D10" s="1118"/>
      <c r="E10" s="1118"/>
      <c r="F10" s="1118"/>
      <c r="G10" s="1118"/>
      <c r="H10" s="1939" t="str">
        <f>IF(OR(H8="",I8="",J8="",K8=""),"DELETE any RED-fonted data that is displayed in the 4 blocks above, as this portion of the Tie bar input data table does not apply to the currently selected Type of Structure, and was not used in the associated Estimated Steel Volume calculations.","")</f>
        <v/>
      </c>
      <c r="I10" s="1940"/>
      <c r="J10" s="1940"/>
      <c r="K10" s="1941"/>
      <c r="L10" s="1118"/>
      <c r="M10" s="1116"/>
      <c r="N10" s="1116"/>
      <c r="O10" s="1116"/>
      <c r="P10" s="1116"/>
      <c r="Q10"/>
      <c r="R10"/>
      <c r="S10"/>
      <c r="T10"/>
      <c r="U10"/>
      <c r="V10"/>
      <c r="W10"/>
      <c r="X10"/>
      <c r="Y10"/>
      <c r="Z10"/>
      <c r="AA10"/>
      <c r="AB10"/>
      <c r="AC10"/>
      <c r="AD10"/>
      <c r="AE10"/>
      <c r="AF10"/>
      <c r="AG10"/>
      <c r="AH10"/>
      <c r="AI10"/>
      <c r="AJ10"/>
      <c r="AK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row>
    <row r="11" spans="1:123" ht="14.4">
      <c r="A11" s="1116"/>
      <c r="B11" s="1116"/>
      <c r="C11" s="1116"/>
      <c r="D11" s="1116"/>
      <c r="E11" s="1116"/>
      <c r="F11" s="1116"/>
      <c r="G11" s="1116"/>
      <c r="H11" s="1942"/>
      <c r="I11" s="1943"/>
      <c r="J11" s="1943"/>
      <c r="K11" s="1944"/>
      <c r="L11" s="1116"/>
      <c r="M11" s="1116"/>
      <c r="N11" s="1116"/>
      <c r="O11" s="1116"/>
      <c r="P11" s="1116"/>
      <c r="Q11"/>
      <c r="R11"/>
      <c r="S11"/>
      <c r="T11"/>
      <c r="U11"/>
      <c r="V11"/>
      <c r="W11"/>
      <c r="X11"/>
      <c r="Y11"/>
      <c r="Z11"/>
      <c r="AA11"/>
      <c r="AB11"/>
      <c r="AC11"/>
      <c r="AD11"/>
      <c r="AE11"/>
      <c r="AF11"/>
      <c r="AG11"/>
      <c r="AH11"/>
      <c r="AI11"/>
      <c r="AJ11"/>
      <c r="AK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row>
    <row r="12" spans="1:123" ht="14.4">
      <c r="A12" s="1117"/>
      <c r="B12" s="1116"/>
      <c r="C12" s="1116"/>
      <c r="D12" s="1117"/>
      <c r="E12" s="1117"/>
      <c r="F12" s="1117"/>
      <c r="G12" s="1117"/>
      <c r="H12" s="1942"/>
      <c r="I12" s="1943"/>
      <c r="J12" s="1943"/>
      <c r="K12" s="1944"/>
      <c r="L12" s="1117"/>
      <c r="M12" s="1117"/>
      <c r="N12" s="1116"/>
      <c r="O12" s="1116"/>
      <c r="P12" s="1116"/>
      <c r="Q12"/>
      <c r="R12"/>
      <c r="S12"/>
      <c r="T12"/>
      <c r="U12"/>
      <c r="V12"/>
      <c r="W12"/>
      <c r="X12"/>
      <c r="Y12"/>
      <c r="Z12"/>
      <c r="AA12"/>
      <c r="AB12" s="274"/>
      <c r="AC12"/>
      <c r="AD12"/>
      <c r="AE12"/>
      <c r="AF12"/>
      <c r="AG12"/>
      <c r="AH12"/>
      <c r="AI12"/>
      <c r="AJ12"/>
      <c r="AK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row>
    <row r="13" spans="1:123" ht="14.4">
      <c r="A13" s="1117"/>
      <c r="B13" s="1948" t="s">
        <v>1025</v>
      </c>
      <c r="C13" s="1948"/>
      <c r="D13" s="1948"/>
      <c r="E13" s="1117"/>
      <c r="F13" s="1117"/>
      <c r="G13" s="1117"/>
      <c r="H13" s="1945"/>
      <c r="I13" s="1946"/>
      <c r="J13" s="1946"/>
      <c r="K13" s="1947"/>
      <c r="L13" s="1117"/>
      <c r="M13" s="1117"/>
      <c r="N13" s="1116"/>
      <c r="O13" s="1116"/>
      <c r="P13" s="1116"/>
      <c r="Q13"/>
      <c r="R13"/>
      <c r="S13"/>
      <c r="T13"/>
      <c r="U13"/>
      <c r="V13"/>
      <c r="W13"/>
      <c r="X13"/>
      <c r="Y13"/>
      <c r="Z13"/>
      <c r="AA13"/>
      <c r="AB13"/>
      <c r="AC13"/>
      <c r="AD13"/>
      <c r="AE13"/>
      <c r="AF13"/>
      <c r="AG13"/>
      <c r="AH13"/>
      <c r="AI13"/>
      <c r="AJ13"/>
      <c r="AK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row>
    <row r="14" spans="1:123" ht="14.4">
      <c r="A14"/>
      <c r="B14" s="1956"/>
      <c r="C14" s="1956"/>
      <c r="D14" s="1956"/>
      <c r="E14" s="1956"/>
      <c r="F14"/>
      <c r="G14"/>
      <c r="H14"/>
      <c r="I14"/>
      <c r="J14"/>
      <c r="K14"/>
      <c r="L14"/>
      <c r="M14"/>
      <c r="N14"/>
      <c r="O14"/>
      <c r="P14"/>
      <c r="Q14"/>
      <c r="R14"/>
      <c r="S14"/>
      <c r="T14"/>
      <c r="U14"/>
      <c r="V14"/>
      <c r="W14"/>
      <c r="X14"/>
      <c r="Y14"/>
      <c r="Z14"/>
      <c r="AA14"/>
      <c r="AB14"/>
      <c r="AC14"/>
      <c r="AD14"/>
      <c r="AE14"/>
      <c r="AF14"/>
      <c r="AG14"/>
      <c r="AH14"/>
      <c r="AI14"/>
      <c r="AJ14"/>
      <c r="AK14" s="1025"/>
      <c r="CE14"/>
      <c r="CF14"/>
      <c r="CG14" s="1025"/>
      <c r="CH14" s="1025"/>
      <c r="CI14" s="1025"/>
      <c r="CJ14" s="1025"/>
      <c r="CK14" s="1025"/>
      <c r="CL14" s="1025"/>
      <c r="CM14" s="1025"/>
      <c r="CN14" s="1025"/>
      <c r="CO14" s="1025"/>
      <c r="CP14" s="1025"/>
      <c r="CQ14"/>
      <c r="CR14"/>
      <c r="CS14"/>
      <c r="CT14"/>
      <c r="CU14"/>
      <c r="CV14"/>
      <c r="CW14"/>
      <c r="CX14"/>
      <c r="CY14"/>
      <c r="CZ14"/>
      <c r="DA14"/>
      <c r="DB14"/>
      <c r="DC14"/>
      <c r="DD14"/>
      <c r="DE14"/>
      <c r="DF14"/>
      <c r="DG14"/>
      <c r="DH14"/>
      <c r="DI14"/>
      <c r="DJ14"/>
      <c r="DK14"/>
      <c r="DL14"/>
      <c r="DM14"/>
      <c r="DN14"/>
      <c r="DO14"/>
      <c r="DP14"/>
      <c r="DQ14"/>
      <c r="DR14"/>
      <c r="DS14"/>
    </row>
    <row r="15" spans="1:123" ht="14.4">
      <c r="A15"/>
      <c r="B15"/>
      <c r="C15"/>
      <c r="D15" s="1957" t="s">
        <v>1026</v>
      </c>
      <c r="E15" s="1011"/>
      <c r="F15" s="1011"/>
      <c r="G15" s="1011"/>
      <c r="H15"/>
      <c r="I15"/>
      <c r="J15"/>
      <c r="K15"/>
      <c r="L15"/>
      <c r="M15"/>
      <c r="N15"/>
      <c r="O15"/>
      <c r="P15"/>
      <c r="Q15"/>
      <c r="R15"/>
      <c r="S15"/>
      <c r="T15"/>
      <c r="U15"/>
      <c r="V15"/>
      <c r="W15"/>
      <c r="X15"/>
      <c r="Y15"/>
      <c r="Z15"/>
      <c r="AA15"/>
      <c r="AB15"/>
      <c r="AC15"/>
      <c r="AD15"/>
      <c r="AE15"/>
      <c r="AF15"/>
      <c r="AG15"/>
      <c r="AH15"/>
      <c r="AI15"/>
      <c r="AJ15"/>
      <c r="AK15" s="1025"/>
      <c r="CE15"/>
      <c r="CF15"/>
      <c r="CG15" s="1959" t="s">
        <v>1027</v>
      </c>
      <c r="CH15" s="1960"/>
      <c r="CI15" s="1960"/>
      <c r="CJ15" s="1960"/>
      <c r="CK15" s="1960"/>
      <c r="CL15" s="1960"/>
      <c r="CM15" s="1961" t="s">
        <v>1028</v>
      </c>
      <c r="CN15" s="1962"/>
      <c r="CO15" s="1025"/>
      <c r="CP15" s="1025"/>
      <c r="CQ15"/>
      <c r="CR15"/>
      <c r="CS15"/>
      <c r="CT15"/>
      <c r="CU15"/>
      <c r="CV15"/>
      <c r="CW15"/>
      <c r="CX15"/>
      <c r="CY15"/>
      <c r="CZ15"/>
      <c r="DA15"/>
      <c r="DB15"/>
      <c r="DC15"/>
      <c r="DD15"/>
      <c r="DE15"/>
      <c r="DF15"/>
      <c r="DG15"/>
      <c r="DH15"/>
      <c r="DI15"/>
      <c r="DJ15"/>
      <c r="DK15"/>
      <c r="DL15"/>
      <c r="DM15"/>
      <c r="DN15"/>
      <c r="DO15"/>
      <c r="DP15"/>
      <c r="DQ15"/>
      <c r="DR15"/>
      <c r="DS15"/>
    </row>
    <row r="16" spans="1:123" ht="14.4">
      <c r="A16"/>
      <c r="B16" s="1957" t="s">
        <v>1029</v>
      </c>
      <c r="C16" s="1957" t="s">
        <v>1030</v>
      </c>
      <c r="D16" s="1957"/>
      <c r="E16" s="1012"/>
      <c r="F16" s="1012"/>
      <c r="G16" s="1012"/>
      <c r="H16"/>
      <c r="I16"/>
      <c r="J16"/>
      <c r="K16"/>
      <c r="L16"/>
      <c r="M16"/>
      <c r="N16"/>
      <c r="O16"/>
      <c r="P16"/>
      <c r="Q16"/>
      <c r="R16"/>
      <c r="S16"/>
      <c r="T16"/>
      <c r="U16"/>
      <c r="V16"/>
      <c r="W16"/>
      <c r="X16"/>
      <c r="Y16"/>
      <c r="Z16"/>
      <c r="AA16"/>
      <c r="AB16"/>
      <c r="AC16"/>
      <c r="AD16"/>
      <c r="AE16"/>
      <c r="AF16"/>
      <c r="AG16"/>
      <c r="AH16"/>
      <c r="AI16"/>
      <c r="AJ16"/>
      <c r="AK16" s="1025"/>
      <c r="CE16" s="1964" t="s">
        <v>1015</v>
      </c>
      <c r="CF16" s="1965"/>
      <c r="CG16" s="1968" t="s">
        <v>69</v>
      </c>
      <c r="CH16" s="1920"/>
      <c r="CI16" s="1970" t="s">
        <v>549</v>
      </c>
      <c r="CJ16" s="1970"/>
      <c r="CK16" s="1925" t="s">
        <v>550</v>
      </c>
      <c r="CL16" s="1926"/>
      <c r="CM16" s="1926"/>
      <c r="CN16" s="1926"/>
      <c r="CO16" s="1927"/>
      <c r="CP16" s="1025"/>
      <c r="CQ16"/>
      <c r="CR16"/>
      <c r="CS16"/>
      <c r="CT16"/>
      <c r="CU16"/>
      <c r="CV16"/>
      <c r="CW16"/>
      <c r="CX16"/>
      <c r="CY16"/>
      <c r="CZ16"/>
      <c r="DA16"/>
      <c r="DB16"/>
      <c r="DC16"/>
      <c r="DD16"/>
      <c r="DE16"/>
      <c r="DF16"/>
      <c r="DG16"/>
      <c r="DH16"/>
      <c r="DI16"/>
      <c r="DJ16"/>
      <c r="DK16"/>
      <c r="DL16"/>
      <c r="DM16"/>
      <c r="DN16"/>
      <c r="DO16"/>
      <c r="DP16"/>
      <c r="DQ16"/>
      <c r="DR16"/>
      <c r="DS16"/>
    </row>
    <row r="17" spans="1:171" ht="14.4">
      <c r="A17"/>
      <c r="B17" s="1963"/>
      <c r="C17" s="1963"/>
      <c r="D17" s="1958"/>
      <c r="E17"/>
      <c r="F17"/>
      <c r="G17" s="1012"/>
      <c r="H17"/>
      <c r="I17" s="1983" t="s">
        <v>1031</v>
      </c>
      <c r="J17" s="1984"/>
      <c r="K17" s="1985"/>
      <c r="L17"/>
      <c r="M17"/>
      <c r="N17"/>
      <c r="O17"/>
      <c r="P17"/>
      <c r="Q17"/>
      <c r="R17"/>
      <c r="S17"/>
      <c r="T17"/>
      <c r="U17"/>
      <c r="V17"/>
      <c r="W17"/>
      <c r="X17"/>
      <c r="Y17"/>
      <c r="Z17"/>
      <c r="AA17"/>
      <c r="AB17"/>
      <c r="AC17"/>
      <c r="AD17"/>
      <c r="AE17"/>
      <c r="AF17"/>
      <c r="AG17"/>
      <c r="AH17"/>
      <c r="AI17"/>
      <c r="AJ17"/>
      <c r="AK17" s="1025"/>
      <c r="CE17" s="1966"/>
      <c r="CF17" s="1967"/>
      <c r="CG17" s="1969"/>
      <c r="CH17" s="1922"/>
      <c r="CI17" s="1992" t="s">
        <v>1032</v>
      </c>
      <c r="CJ17" s="1992"/>
      <c r="CK17" s="1930" t="s">
        <v>1033</v>
      </c>
      <c r="CL17" s="1931"/>
      <c r="CM17" s="1931"/>
      <c r="CN17" s="1931"/>
      <c r="CO17" s="1932"/>
      <c r="CP17" s="1025"/>
      <c r="CQ17"/>
      <c r="CR17"/>
      <c r="CS17"/>
      <c r="CT17"/>
      <c r="CU17"/>
      <c r="CV17"/>
      <c r="CW17"/>
      <c r="CX17"/>
      <c r="CY17"/>
      <c r="CZ17"/>
      <c r="DA17"/>
      <c r="DB17"/>
      <c r="DC17"/>
      <c r="DD17"/>
      <c r="DE17"/>
      <c r="DF17"/>
      <c r="DG17"/>
      <c r="DH17"/>
      <c r="DI17"/>
      <c r="DJ17"/>
      <c r="DK17"/>
      <c r="DL17"/>
      <c r="DM17"/>
      <c r="DN17"/>
      <c r="DO17"/>
      <c r="DP17"/>
      <c r="DQ17"/>
      <c r="DR17"/>
      <c r="DS17"/>
    </row>
    <row r="18" spans="1:171" ht="14.4">
      <c r="A18"/>
      <c r="B18" s="113">
        <v>6</v>
      </c>
      <c r="C18" s="113">
        <v>4</v>
      </c>
      <c r="D18" s="1026">
        <f>B18+1</f>
        <v>7</v>
      </c>
      <c r="E18" s="1973" t="s">
        <v>1034</v>
      </c>
      <c r="F18" s="1974"/>
      <c r="G18" s="1974"/>
      <c r="H18"/>
      <c r="I18" s="1986"/>
      <c r="J18" s="1987"/>
      <c r="K18" s="1988"/>
      <c r="L18"/>
      <c r="M18"/>
      <c r="N18" s="1027" t="s">
        <v>69</v>
      </c>
      <c r="O18" s="1028" t="s">
        <v>1035</v>
      </c>
      <c r="P18"/>
      <c r="Q18"/>
      <c r="R18"/>
      <c r="S18"/>
      <c r="T18"/>
      <c r="U18"/>
      <c r="V18"/>
      <c r="W18"/>
      <c r="X18"/>
      <c r="Y18" s="1"/>
      <c r="Z18" s="1"/>
      <c r="AA18" s="1"/>
      <c r="AB18" s="1"/>
      <c r="AC18"/>
      <c r="AD18"/>
      <c r="AE18"/>
      <c r="AF18"/>
      <c r="AG18"/>
      <c r="AH18"/>
      <c r="AI18"/>
      <c r="AJ18"/>
      <c r="AK18" s="1025"/>
      <c r="CE18" s="1993" t="s">
        <v>1036</v>
      </c>
      <c r="CF18" s="1994"/>
      <c r="CG18" s="1999" t="s">
        <v>288</v>
      </c>
      <c r="CH18" s="1999" t="s">
        <v>495</v>
      </c>
      <c r="CI18" s="1018" t="s">
        <v>1017</v>
      </c>
      <c r="CJ18" s="492" t="s">
        <v>1037</v>
      </c>
      <c r="CK18" s="1992" t="s">
        <v>1038</v>
      </c>
      <c r="CL18" s="2001"/>
      <c r="CM18" s="2002" t="s">
        <v>1039</v>
      </c>
      <c r="CN18" s="1992"/>
      <c r="CO18" s="2003" t="s">
        <v>1040</v>
      </c>
      <c r="CP18" s="1025"/>
      <c r="CQ18" s="1977" t="s">
        <v>435</v>
      </c>
      <c r="CR18" s="1977"/>
      <c r="CS18"/>
      <c r="CT18" s="1978" t="s">
        <v>69</v>
      </c>
      <c r="CU18" s="1978"/>
      <c r="CV18" s="1979" t="s">
        <v>502</v>
      </c>
      <c r="CW18" s="1979"/>
      <c r="CX18" s="1980" t="s">
        <v>503</v>
      </c>
      <c r="CY18" s="1980"/>
      <c r="CZ18" s="1980"/>
      <c r="DA18" s="1980"/>
      <c r="DB18" s="1980"/>
      <c r="DC18" s="404"/>
      <c r="DD18" s="1981" t="s">
        <v>504</v>
      </c>
      <c r="DE18" s="1981"/>
      <c r="DF18" s="1981"/>
      <c r="DG18" s="1981"/>
      <c r="DH18" s="1981"/>
      <c r="DI18"/>
      <c r="DJ18" s="1982" t="s">
        <v>505</v>
      </c>
      <c r="DK18" s="1982"/>
      <c r="DL18" s="1982"/>
      <c r="DM18" s="1982"/>
      <c r="DN18" s="1982"/>
      <c r="DO18" s="1982"/>
      <c r="DP18"/>
      <c r="DQ18" s="1027" t="s">
        <v>69</v>
      </c>
      <c r="DR18" s="1028" t="s">
        <v>1035</v>
      </c>
      <c r="DS18"/>
      <c r="ED18" s="1971" t="s">
        <v>1041</v>
      </c>
      <c r="EE18" s="1971"/>
      <c r="EF18" s="1971"/>
      <c r="EG18" s="1971"/>
      <c r="EH18" s="1971"/>
      <c r="EI18" s="1971"/>
      <c r="EJ18" s="1971"/>
      <c r="EK18" s="1971"/>
      <c r="EM18" s="1971" t="s">
        <v>1042</v>
      </c>
      <c r="EN18" s="1972"/>
      <c r="EO18" s="1972"/>
      <c r="EP18" s="1972"/>
      <c r="EQ18" s="1972"/>
      <c r="ER18" s="1972"/>
      <c r="ES18" s="1972"/>
      <c r="ET18" s="1972"/>
      <c r="EU18" s="1972"/>
      <c r="EW18" s="1971" t="s">
        <v>1043</v>
      </c>
      <c r="EX18" s="1972"/>
      <c r="EY18" s="1972"/>
      <c r="EZ18" s="1972"/>
      <c r="FA18" s="1972"/>
      <c r="FB18" s="1972"/>
      <c r="FC18" s="1972"/>
      <c r="FD18" s="1972"/>
      <c r="FE18" s="1972"/>
      <c r="FG18" s="1971" t="s">
        <v>1044</v>
      </c>
      <c r="FH18" s="1972"/>
      <c r="FI18" s="1972"/>
      <c r="FJ18" s="1972"/>
      <c r="FK18" s="1972"/>
      <c r="FL18" s="1972"/>
      <c r="FM18" s="1972"/>
      <c r="FN18" s="1972"/>
      <c r="FO18" s="1972"/>
    </row>
    <row r="19" spans="1:171" ht="14.4">
      <c r="A19"/>
      <c r="B19" s="113">
        <f>IF(H8="",0,H9)</f>
        <v>0</v>
      </c>
      <c r="C19" s="113">
        <f>IF(I8="","-",I9)</f>
        <v>0</v>
      </c>
      <c r="D19" s="1026">
        <f>IF(H8="","",B19)</f>
        <v>0</v>
      </c>
      <c r="E19" s="1973" t="s">
        <v>1045</v>
      </c>
      <c r="F19" s="1974"/>
      <c r="G19" s="1974"/>
      <c r="H19"/>
      <c r="I19" s="1986"/>
      <c r="J19" s="1987"/>
      <c r="K19" s="1988"/>
      <c r="L19"/>
      <c r="M19"/>
      <c r="N19" s="1029" t="s">
        <v>638</v>
      </c>
      <c r="O19" s="1030" t="s">
        <v>1046</v>
      </c>
      <c r="P19"/>
      <c r="Q19"/>
      <c r="R19"/>
      <c r="S19"/>
      <c r="T19"/>
      <c r="U19"/>
      <c r="V19"/>
      <c r="W19"/>
      <c r="X19"/>
      <c r="Y19" s="1"/>
      <c r="Z19" s="1"/>
      <c r="AA19" s="1"/>
      <c r="AB19" s="1"/>
      <c r="AC19"/>
      <c r="AD19"/>
      <c r="AE19"/>
      <c r="AF19"/>
      <c r="AG19"/>
      <c r="AH19"/>
      <c r="AI19"/>
      <c r="AJ19"/>
      <c r="AK19" s="1025"/>
      <c r="CE19" s="1995"/>
      <c r="CF19" s="1996"/>
      <c r="CG19" s="2000"/>
      <c r="CH19" s="2000"/>
      <c r="CI19" s="1015" t="s">
        <v>1047</v>
      </c>
      <c r="CJ19" s="1031" t="s">
        <v>1048</v>
      </c>
      <c r="CK19" s="1032" t="s">
        <v>1029</v>
      </c>
      <c r="CL19" s="1033" t="s">
        <v>1030</v>
      </c>
      <c r="CM19" s="1034" t="s">
        <v>1029</v>
      </c>
      <c r="CN19" s="1033" t="s">
        <v>1030</v>
      </c>
      <c r="CO19" s="2004"/>
      <c r="CP19" s="1025"/>
      <c r="CQ19" s="1975" t="s">
        <v>1020</v>
      </c>
      <c r="CR19" s="1975"/>
      <c r="CS19"/>
      <c r="CT19" s="466" t="s">
        <v>519</v>
      </c>
      <c r="CU19" s="466" t="s">
        <v>520</v>
      </c>
      <c r="CV19" s="489" t="s">
        <v>513</v>
      </c>
      <c r="CW19" s="489" t="s">
        <v>289</v>
      </c>
      <c r="CX19" s="965" t="s">
        <v>521</v>
      </c>
      <c r="CY19" s="965" t="s">
        <v>522</v>
      </c>
      <c r="CZ19" s="965" t="s">
        <v>289</v>
      </c>
      <c r="DA19" s="1976" t="s">
        <v>523</v>
      </c>
      <c r="DB19" s="1976"/>
      <c r="DC19" s="404"/>
      <c r="DD19" s="961" t="s">
        <v>521</v>
      </c>
      <c r="DE19" s="961" t="s">
        <v>522</v>
      </c>
      <c r="DF19" s="961" t="s">
        <v>289</v>
      </c>
      <c r="DG19" s="1976" t="s">
        <v>524</v>
      </c>
      <c r="DH19" s="1976"/>
      <c r="DI19"/>
      <c r="DJ19" s="472" t="s">
        <v>521</v>
      </c>
      <c r="DK19" s="472" t="s">
        <v>525</v>
      </c>
      <c r="DL19" s="472" t="s">
        <v>522</v>
      </c>
      <c r="DM19" s="472" t="s">
        <v>289</v>
      </c>
      <c r="DN19" s="1976" t="s">
        <v>526</v>
      </c>
      <c r="DO19" s="1976"/>
      <c r="DP19"/>
      <c r="DQ19" s="1029" t="s">
        <v>638</v>
      </c>
      <c r="DR19" s="1030" t="s">
        <v>1046</v>
      </c>
      <c r="DS19"/>
      <c r="ED19" s="1971"/>
      <c r="EE19" s="1971"/>
      <c r="EF19" s="1971"/>
      <c r="EG19" s="1971"/>
      <c r="EH19" s="1971"/>
      <c r="EI19" s="1971"/>
      <c r="EJ19" s="1971"/>
      <c r="EK19" s="1971"/>
      <c r="EM19" s="1972"/>
      <c r="EN19" s="1972"/>
      <c r="EO19" s="1972"/>
      <c r="EP19" s="1972"/>
      <c r="EQ19" s="1972"/>
      <c r="ER19" s="1972"/>
      <c r="ES19" s="1972"/>
      <c r="ET19" s="1972"/>
      <c r="EU19" s="1972"/>
      <c r="EW19" s="1972"/>
      <c r="EX19" s="1972"/>
      <c r="EY19" s="1972"/>
      <c r="EZ19" s="1972"/>
      <c r="FA19" s="1972"/>
      <c r="FB19" s="1972"/>
      <c r="FC19" s="1972"/>
      <c r="FD19" s="1972"/>
      <c r="FE19" s="1972"/>
      <c r="FG19" s="1972"/>
      <c r="FH19" s="1972"/>
      <c r="FI19" s="1972"/>
      <c r="FJ19" s="1972"/>
      <c r="FK19" s="1972"/>
      <c r="FL19" s="1972"/>
      <c r="FM19" s="1972"/>
      <c r="FN19" s="1972"/>
      <c r="FO19" s="1972"/>
    </row>
    <row r="20" spans="1:171" ht="15" thickBot="1">
      <c r="A20"/>
      <c r="B20" s="113">
        <f>IF(J8="",0,J9)</f>
        <v>0</v>
      </c>
      <c r="C20" s="113">
        <f>IF(K8="","-",K9)</f>
        <v>0</v>
      </c>
      <c r="D20" s="1026">
        <f>IF(J8="","",B20)</f>
        <v>0</v>
      </c>
      <c r="E20" s="1973" t="s">
        <v>1045</v>
      </c>
      <c r="F20" s="1974"/>
      <c r="G20" s="1974"/>
      <c r="H20"/>
      <c r="I20" s="1986"/>
      <c r="J20" s="1987"/>
      <c r="K20" s="1988"/>
      <c r="L20"/>
      <c r="M20"/>
      <c r="N20" s="1035" t="s">
        <v>12</v>
      </c>
      <c r="O20" s="1036" t="s">
        <v>1049</v>
      </c>
      <c r="P20"/>
      <c r="Q20"/>
      <c r="R20"/>
      <c r="S20"/>
      <c r="T20"/>
      <c r="U20"/>
      <c r="V20"/>
      <c r="W20"/>
      <c r="X20"/>
      <c r="Y20"/>
      <c r="Z20"/>
      <c r="AA20"/>
      <c r="AB20"/>
      <c r="AC20"/>
      <c r="AD20"/>
      <c r="AE20"/>
      <c r="AF20"/>
      <c r="AG20"/>
      <c r="AH20"/>
      <c r="AI20"/>
      <c r="AJ20"/>
      <c r="AK20" s="1025"/>
      <c r="CE20" s="1997"/>
      <c r="CF20" s="1998"/>
      <c r="CG20" s="1037" t="s">
        <v>377</v>
      </c>
      <c r="CH20" s="464" t="s">
        <v>506</v>
      </c>
      <c r="CI20" s="464" t="s">
        <v>1050</v>
      </c>
      <c r="CJ20" s="464" t="s">
        <v>1051</v>
      </c>
      <c r="CK20" s="464" t="s">
        <v>509</v>
      </c>
      <c r="CL20" s="470" t="s">
        <v>1052</v>
      </c>
      <c r="CM20" s="1038" t="s">
        <v>1053</v>
      </c>
      <c r="CN20" s="1039" t="s">
        <v>1054</v>
      </c>
      <c r="CO20" s="1040" t="s">
        <v>1048</v>
      </c>
      <c r="CP20" s="1025"/>
      <c r="CQ20" s="961" t="s">
        <v>1022</v>
      </c>
      <c r="CR20" s="961" t="s">
        <v>1023</v>
      </c>
      <c r="CS20"/>
      <c r="CT20" s="466" t="s">
        <v>13</v>
      </c>
      <c r="CU20" s="466" t="s">
        <v>13</v>
      </c>
      <c r="CV20" s="489" t="s">
        <v>13</v>
      </c>
      <c r="CW20" s="489" t="s">
        <v>13</v>
      </c>
      <c r="CX20" s="965" t="s">
        <v>531</v>
      </c>
      <c r="CY20" s="965" t="s">
        <v>532</v>
      </c>
      <c r="CZ20" s="965" t="s">
        <v>13</v>
      </c>
      <c r="DA20" s="965" t="s">
        <v>533</v>
      </c>
      <c r="DB20" s="963" t="s">
        <v>534</v>
      </c>
      <c r="DC20" s="404"/>
      <c r="DD20" s="961" t="s">
        <v>535</v>
      </c>
      <c r="DE20" s="961" t="s">
        <v>532</v>
      </c>
      <c r="DF20" s="961" t="s">
        <v>13</v>
      </c>
      <c r="DG20" s="489" t="s">
        <v>533</v>
      </c>
      <c r="DH20" s="963" t="s">
        <v>534</v>
      </c>
      <c r="DI20"/>
      <c r="DJ20" s="472" t="s">
        <v>535</v>
      </c>
      <c r="DK20" s="472" t="s">
        <v>13</v>
      </c>
      <c r="DL20" s="472" t="s">
        <v>532</v>
      </c>
      <c r="DM20" s="472" t="s">
        <v>13</v>
      </c>
      <c r="DN20" s="472" t="s">
        <v>533</v>
      </c>
      <c r="DO20" s="963" t="s">
        <v>534</v>
      </c>
      <c r="DP20"/>
      <c r="DQ20" s="1035" t="s">
        <v>12</v>
      </c>
      <c r="DR20" s="1036" t="s">
        <v>1049</v>
      </c>
      <c r="DS20"/>
      <c r="ED20" s="1971"/>
      <c r="EE20" s="1971"/>
      <c r="EF20" s="1971"/>
      <c r="EG20" s="1971"/>
      <c r="EH20" s="1971"/>
      <c r="EI20" s="1971"/>
      <c r="EJ20" s="1971"/>
      <c r="EK20" s="1971"/>
      <c r="EM20" s="1972"/>
      <c r="EN20" s="1972"/>
      <c r="EO20" s="1972"/>
      <c r="EP20" s="1972"/>
      <c r="EQ20" s="1972"/>
      <c r="ER20" s="1972"/>
      <c r="ES20" s="1972"/>
      <c r="ET20" s="1972"/>
      <c r="EU20" s="1972"/>
      <c r="EW20" s="1972"/>
      <c r="EX20" s="1972"/>
      <c r="EY20" s="1972"/>
      <c r="EZ20" s="1972"/>
      <c r="FA20" s="1972"/>
      <c r="FB20" s="1972"/>
      <c r="FC20" s="1972"/>
      <c r="FD20" s="1972"/>
      <c r="FE20" s="1972"/>
      <c r="FG20" s="1972"/>
      <c r="FH20" s="1972"/>
      <c r="FI20" s="1972"/>
      <c r="FJ20" s="1972"/>
      <c r="FK20" s="1972"/>
      <c r="FL20" s="1972"/>
      <c r="FM20" s="1972"/>
      <c r="FN20" s="1972"/>
      <c r="FO20" s="1972"/>
    </row>
    <row r="21" spans="1:171" ht="16.2" thickBot="1">
      <c r="A21"/>
      <c r="B21" s="1041" t="s">
        <v>1055</v>
      </c>
      <c r="C21" s="1041" t="s">
        <v>1056</v>
      </c>
      <c r="D21" s="1042">
        <f>ROUNDUP(D9-1-((2+B19*I9/12)+B20*K9/12),0)</f>
        <v>-3</v>
      </c>
      <c r="E21" s="1973" t="s">
        <v>1057</v>
      </c>
      <c r="F21" s="1974"/>
      <c r="G21" s="1974"/>
      <c r="H21"/>
      <c r="I21" s="1989"/>
      <c r="J21" s="1990"/>
      <c r="K21" s="1991"/>
      <c r="L21"/>
      <c r="M21"/>
      <c r="N21" s="1043">
        <f>PI()*E9*E9*D9/108</f>
        <v>0</v>
      </c>
      <c r="O21" s="506" t="e">
        <f>N9/N21</f>
        <v>#DIV/0!</v>
      </c>
      <c r="P21"/>
      <c r="Q21"/>
      <c r="R21"/>
      <c r="S21"/>
      <c r="T21"/>
      <c r="U21"/>
      <c r="V21"/>
      <c r="W21"/>
      <c r="X21"/>
      <c r="Y21"/>
      <c r="Z21"/>
      <c r="AA21"/>
      <c r="AB21"/>
      <c r="AC21"/>
      <c r="AD21"/>
      <c r="AE21"/>
      <c r="AF21"/>
      <c r="AG21"/>
      <c r="AH21"/>
      <c r="AI21"/>
      <c r="AJ21"/>
      <c r="AK21" s="1025"/>
      <c r="CE21" s="2005" t="s">
        <v>1024</v>
      </c>
      <c r="CF21" s="2006"/>
      <c r="CG21" s="1022">
        <f t="shared" ref="CG21:CN21" si="0">D9</f>
        <v>0</v>
      </c>
      <c r="CH21" s="1022">
        <f t="shared" si="0"/>
        <v>0</v>
      </c>
      <c r="CI21" s="1022">
        <f t="shared" si="0"/>
        <v>0</v>
      </c>
      <c r="CJ21" s="1022">
        <f t="shared" si="0"/>
        <v>0</v>
      </c>
      <c r="CK21" s="1022">
        <f t="shared" si="0"/>
        <v>0</v>
      </c>
      <c r="CL21" s="1022">
        <f t="shared" si="0"/>
        <v>0</v>
      </c>
      <c r="CM21" s="1022">
        <f t="shared" si="0"/>
        <v>0</v>
      </c>
      <c r="CN21" s="1022">
        <f t="shared" si="0"/>
        <v>0</v>
      </c>
      <c r="CO21" s="1044">
        <v>5</v>
      </c>
      <c r="CP21" s="1025"/>
      <c r="CQ21" s="1045">
        <f>DB21+DH21+DO21</f>
        <v>-3.0771969826142473E-4</v>
      </c>
      <c r="CR21" s="419" t="e">
        <f>CQ21/CU21</f>
        <v>#DIV/0!</v>
      </c>
      <c r="CS21"/>
      <c r="CT21" s="475">
        <f>CH21</f>
        <v>0</v>
      </c>
      <c r="CU21" s="476">
        <f>CG21</f>
        <v>0</v>
      </c>
      <c r="CV21" s="477">
        <f>CT21-1</f>
        <v>-1</v>
      </c>
      <c r="CW21" s="477">
        <f>CU21-1</f>
        <v>-1</v>
      </c>
      <c r="CX21" s="478">
        <f>CI21</f>
        <v>0</v>
      </c>
      <c r="CY21" s="479">
        <f>(PI()*11/8*11/8)/(4*144)</f>
        <v>1.0311759740786809E-2</v>
      </c>
      <c r="CZ21" s="480">
        <f>CW21</f>
        <v>-1</v>
      </c>
      <c r="DA21" s="479">
        <f>CX21*CY21*CZ21</f>
        <v>0</v>
      </c>
      <c r="DB21" s="481">
        <f>DA21/27</f>
        <v>0</v>
      </c>
      <c r="DC21" s="404"/>
      <c r="DD21" s="482">
        <f>7+CK21+CM21+(ROUNDUP(CW21-((2+CK21*CL21/12)+CM21*CN21/12),0))</f>
        <v>4</v>
      </c>
      <c r="DE21" s="483">
        <f>(PI()*5/8*5/8)/(4*144)</f>
        <v>2.1305288720633907E-3</v>
      </c>
      <c r="DF21" s="484">
        <f>PI()*CV21+26/12</f>
        <v>-0.9749259869231266</v>
      </c>
      <c r="DG21" s="485">
        <f>DD21*DE21*DF21</f>
        <v>-8.3084318530584674E-3</v>
      </c>
      <c r="DH21" s="481">
        <f>DG21/27</f>
        <v>-3.0771969826142473E-4</v>
      </c>
      <c r="DI21"/>
      <c r="DJ21" s="486">
        <f>IF(CT21&lt;4,4,ROUNDUP(CT21,0))</f>
        <v>4</v>
      </c>
      <c r="DK21" s="487">
        <f>1.9/12</f>
        <v>0.15833333333333333</v>
      </c>
      <c r="DL21" s="487">
        <f>PI()*DK21*DK21/4</f>
        <v>1.968949562406103E-2</v>
      </c>
      <c r="DM21" s="487">
        <f>CU21</f>
        <v>0</v>
      </c>
      <c r="DN21" s="488">
        <f>DJ21*DL21*DM21</f>
        <v>0</v>
      </c>
      <c r="DO21" s="481">
        <f>DN21/27</f>
        <v>0</v>
      </c>
      <c r="DP21"/>
      <c r="DQ21" s="1043">
        <f>PI()*CH21*CH21*CG21/108</f>
        <v>0</v>
      </c>
      <c r="DR21" s="506" t="e">
        <f>CQ21/DQ21</f>
        <v>#DIV/0!</v>
      </c>
      <c r="DS21"/>
      <c r="ED21" s="1971"/>
      <c r="EE21" s="1971"/>
      <c r="EF21" s="1971"/>
      <c r="EG21" s="1971"/>
      <c r="EH21" s="1971"/>
      <c r="EI21" s="1971"/>
      <c r="EJ21" s="1971"/>
      <c r="EK21" s="1971"/>
      <c r="EM21" s="1972"/>
      <c r="EN21" s="1972"/>
      <c r="EO21" s="1972"/>
      <c r="EP21" s="1972"/>
      <c r="EQ21" s="1972"/>
      <c r="ER21" s="1972"/>
      <c r="ES21" s="1972"/>
      <c r="ET21" s="1972"/>
      <c r="EU21" s="1972"/>
      <c r="EW21" s="1972"/>
      <c r="EX21" s="1972"/>
      <c r="EY21" s="1972"/>
      <c r="EZ21" s="1972"/>
      <c r="FA21" s="1972"/>
      <c r="FB21" s="1972"/>
      <c r="FC21" s="1972"/>
      <c r="FD21" s="1972"/>
      <c r="FE21" s="1972"/>
      <c r="FG21" s="1972"/>
      <c r="FH21" s="1972"/>
      <c r="FI21" s="1972"/>
      <c r="FJ21" s="1972"/>
      <c r="FK21" s="1972"/>
      <c r="FL21" s="1972"/>
      <c r="FM21" s="1972"/>
      <c r="FN21" s="1972"/>
      <c r="FO21" s="1972"/>
    </row>
    <row r="22" spans="1:171" ht="16.2" thickBot="1">
      <c r="A22"/>
      <c r="B22"/>
      <c r="C22"/>
      <c r="D22" s="1125" t="str">
        <f>IF(SUM(D9:G9)=0,"",SUM(D18:D21))</f>
        <v/>
      </c>
      <c r="E22" s="2007" t="s">
        <v>1058</v>
      </c>
      <c r="F22" s="1974"/>
      <c r="G22" s="1974"/>
      <c r="H22" s="1974"/>
      <c r="I22" s="1124">
        <f>'rein.&amp;spacers'!AG48</f>
        <v>0</v>
      </c>
      <c r="J22" t="s">
        <v>1059</v>
      </c>
      <c r="K22"/>
      <c r="L22"/>
      <c r="M22"/>
      <c r="N22"/>
      <c r="O22"/>
      <c r="P22"/>
      <c r="Q22"/>
      <c r="R22"/>
      <c r="S22"/>
      <c r="T22"/>
      <c r="U22"/>
      <c r="V22"/>
      <c r="W22"/>
      <c r="X22"/>
      <c r="Y22"/>
      <c r="Z22"/>
      <c r="AA22"/>
      <c r="AB22"/>
      <c r="AC22"/>
      <c r="AD22"/>
      <c r="AE22"/>
      <c r="AF22"/>
      <c r="AG22"/>
      <c r="AH22"/>
      <c r="AI22"/>
      <c r="AJ22"/>
      <c r="AK22" s="1025"/>
      <c r="CE22" s="1046"/>
      <c r="CF22" s="1046"/>
      <c r="CG22" s="1046"/>
      <c r="CH22" s="1046"/>
      <c r="CI22" s="1046"/>
      <c r="CJ22" s="1046"/>
      <c r="CK22"/>
      <c r="CL22"/>
      <c r="CM22"/>
      <c r="CN22"/>
      <c r="CO22" s="1046"/>
      <c r="CP22" s="1025"/>
      <c r="CQ22"/>
      <c r="CR22"/>
      <c r="CS22"/>
      <c r="CT22"/>
      <c r="CU22"/>
      <c r="CV22"/>
      <c r="CW22"/>
      <c r="CX22"/>
      <c r="CY22"/>
      <c r="CZ22"/>
      <c r="DA22"/>
      <c r="DB22"/>
      <c r="DC22"/>
      <c r="DD22"/>
      <c r="DE22"/>
      <c r="DF22"/>
      <c r="DG22"/>
      <c r="DH22"/>
      <c r="DI22"/>
      <c r="DJ22"/>
      <c r="DK22"/>
      <c r="DL22"/>
      <c r="DM22"/>
      <c r="DN22"/>
      <c r="DO22"/>
      <c r="DP22"/>
      <c r="DQ22"/>
      <c r="DR22"/>
      <c r="DS22"/>
      <c r="ED22" s="1971"/>
      <c r="EE22" s="1971"/>
      <c r="EF22" s="1971"/>
      <c r="EG22" s="1971"/>
      <c r="EH22" s="1971"/>
      <c r="EI22" s="1971"/>
      <c r="EJ22" s="1971"/>
      <c r="EK22" s="1971"/>
      <c r="EM22" s="1972"/>
      <c r="EN22" s="1972"/>
      <c r="EO22" s="1972"/>
      <c r="EP22" s="1972"/>
      <c r="EQ22" s="1972"/>
      <c r="ER22" s="1972"/>
      <c r="ES22" s="1972"/>
      <c r="ET22" s="1972"/>
      <c r="EU22" s="1972"/>
      <c r="EW22" s="1972"/>
      <c r="EX22" s="1972"/>
      <c r="EY22" s="1972"/>
      <c r="EZ22" s="1972"/>
      <c r="FA22" s="1972"/>
      <c r="FB22" s="1972"/>
      <c r="FC22" s="1972"/>
      <c r="FD22" s="1972"/>
      <c r="FE22" s="1972"/>
      <c r="FG22" s="1972"/>
      <c r="FH22" s="1972"/>
      <c r="FI22" s="1972"/>
      <c r="FJ22" s="1972"/>
      <c r="FK22" s="1972"/>
      <c r="FL22" s="1972"/>
      <c r="FM22" s="1972"/>
      <c r="FN22" s="1972"/>
      <c r="FO22" s="1972"/>
    </row>
    <row r="23" spans="1:171" ht="14.4">
      <c r="A23"/>
      <c r="B23"/>
      <c r="C23"/>
      <c r="D23"/>
      <c r="E23" s="1047" t="s">
        <v>1060</v>
      </c>
      <c r="F23" s="1047"/>
      <c r="G23" s="1047"/>
      <c r="H23" s="1048"/>
      <c r="I23"/>
      <c r="J23"/>
      <c r="K23"/>
      <c r="L23"/>
      <c r="M23"/>
      <c r="N23"/>
      <c r="O23"/>
      <c r="P23"/>
      <c r="Q23"/>
      <c r="R23"/>
      <c r="S23"/>
      <c r="T23"/>
      <c r="U23"/>
      <c r="V23"/>
      <c r="W23"/>
      <c r="X23"/>
      <c r="Y23"/>
      <c r="Z23"/>
      <c r="AA23"/>
      <c r="AB23"/>
      <c r="AC23"/>
      <c r="AD23"/>
      <c r="AE23"/>
      <c r="AF23"/>
      <c r="AG23"/>
      <c r="AH23"/>
      <c r="AI23"/>
      <c r="AJ23"/>
      <c r="AK23" s="1025"/>
      <c r="CE23" s="1025"/>
      <c r="CF23" s="1025"/>
      <c r="CG23" s="1025"/>
      <c r="CH23" s="1025"/>
      <c r="CI23" s="1025"/>
      <c r="CJ23" s="1025"/>
      <c r="CK23" s="1025"/>
      <c r="CL23" s="1025"/>
      <c r="CM23" s="1025"/>
      <c r="CN23" s="1025"/>
      <c r="CO23" s="1025"/>
      <c r="CP23" s="1025"/>
      <c r="CQ23"/>
      <c r="CR23"/>
      <c r="CS23"/>
      <c r="CT23"/>
      <c r="CU23"/>
      <c r="CV23"/>
      <c r="CW23"/>
      <c r="CX23"/>
      <c r="CY23"/>
      <c r="CZ23"/>
      <c r="DA23"/>
      <c r="DB23"/>
      <c r="DC23"/>
      <c r="DD23"/>
      <c r="DE23"/>
      <c r="DF23"/>
      <c r="DG23"/>
      <c r="DH23"/>
      <c r="DI23"/>
      <c r="DJ23"/>
      <c r="DK23"/>
      <c r="DL23"/>
      <c r="DM23"/>
      <c r="DN23"/>
      <c r="DO23"/>
      <c r="DP23"/>
      <c r="DQ23"/>
      <c r="DR23"/>
      <c r="DS23"/>
      <c r="ED23" s="1971"/>
      <c r="EE23" s="1971"/>
      <c r="EF23" s="1971"/>
      <c r="EG23" s="1971"/>
      <c r="EH23" s="1971"/>
      <c r="EI23" s="1971"/>
      <c r="EJ23" s="1971"/>
      <c r="EK23" s="1971"/>
      <c r="EM23" s="1972"/>
      <c r="EN23" s="1972"/>
      <c r="EO23" s="1972"/>
      <c r="EP23" s="1972"/>
      <c r="EQ23" s="1972"/>
      <c r="ER23" s="1972"/>
      <c r="ES23" s="1972"/>
      <c r="ET23" s="1972"/>
      <c r="EU23" s="1972"/>
      <c r="EW23" s="1972"/>
      <c r="EX23" s="1972"/>
      <c r="EY23" s="1972"/>
      <c r="EZ23" s="1972"/>
      <c r="FA23" s="1972"/>
      <c r="FB23" s="1972"/>
      <c r="FC23" s="1972"/>
      <c r="FD23" s="1972"/>
      <c r="FE23" s="1972"/>
      <c r="FG23" s="1972"/>
      <c r="FH23" s="1972"/>
      <c r="FI23" s="1972"/>
      <c r="FJ23" s="1972"/>
      <c r="FK23" s="1972"/>
      <c r="FL23" s="1972"/>
      <c r="FM23" s="1972"/>
      <c r="FN23" s="1972"/>
      <c r="FO23" s="1972"/>
    </row>
    <row r="24" spans="1:171" ht="14.4">
      <c r="A24"/>
      <c r="B24"/>
      <c r="C24"/>
      <c r="D24"/>
      <c r="E24"/>
      <c r="F24"/>
      <c r="G24"/>
      <c r="H24"/>
      <c r="I24"/>
      <c r="J24"/>
      <c r="K24"/>
      <c r="L24"/>
      <c r="M24"/>
      <c r="N24"/>
      <c r="O24"/>
      <c r="P24"/>
      <c r="Q24"/>
      <c r="R24"/>
      <c r="S24"/>
      <c r="T24"/>
      <c r="U24"/>
      <c r="V24"/>
      <c r="W24"/>
      <c r="X24"/>
      <c r="Y24"/>
      <c r="Z24"/>
      <c r="AA24"/>
      <c r="AB24"/>
      <c r="AC24"/>
      <c r="AD24"/>
      <c r="AE24"/>
      <c r="AF24"/>
      <c r="AG24"/>
      <c r="AH24"/>
      <c r="AI24"/>
      <c r="AJ24"/>
      <c r="AK24" s="1025"/>
      <c r="CE24"/>
      <c r="CF24"/>
      <c r="CG24" s="1025"/>
      <c r="CH24" s="1025"/>
      <c r="CI24" s="1025"/>
      <c r="CJ24" s="1025"/>
      <c r="CK24" s="1025"/>
      <c r="CL24" s="1025"/>
      <c r="CM24" s="1025"/>
      <c r="CN24" s="1025"/>
      <c r="CO24" s="1025"/>
      <c r="CP24" s="1025"/>
      <c r="CQ24"/>
      <c r="CR24"/>
      <c r="CS24"/>
      <c r="CT24"/>
      <c r="CU24"/>
      <c r="CV24"/>
      <c r="CW24"/>
      <c r="CX24"/>
      <c r="CY24"/>
      <c r="CZ24"/>
      <c r="DA24"/>
      <c r="DB24"/>
      <c r="DC24"/>
      <c r="DD24"/>
      <c r="DE24"/>
      <c r="DF24"/>
      <c r="DG24"/>
      <c r="DH24"/>
      <c r="DI24"/>
      <c r="DJ24"/>
      <c r="DK24"/>
      <c r="DL24"/>
      <c r="DM24"/>
      <c r="DN24"/>
      <c r="DO24"/>
      <c r="DP24"/>
      <c r="DQ24"/>
      <c r="DR24"/>
      <c r="DS24"/>
      <c r="ED24" s="1971"/>
      <c r="EE24" s="1971"/>
      <c r="EF24" s="1971"/>
      <c r="EG24" s="1971"/>
      <c r="EH24" s="1971"/>
      <c r="EI24" s="1971"/>
      <c r="EJ24" s="1971"/>
      <c r="EK24" s="1971"/>
      <c r="EM24" s="1972"/>
      <c r="EN24" s="1972"/>
      <c r="EO24" s="1972"/>
      <c r="EP24" s="1972"/>
      <c r="EQ24" s="1972"/>
      <c r="ER24" s="1972"/>
      <c r="ES24" s="1972"/>
      <c r="ET24" s="1972"/>
      <c r="EU24" s="1972"/>
      <c r="EW24" s="1972"/>
      <c r="EX24" s="1972"/>
      <c r="EY24" s="1972"/>
      <c r="EZ24" s="1972"/>
      <c r="FA24" s="1972"/>
      <c r="FB24" s="1972"/>
      <c r="FC24" s="1972"/>
      <c r="FD24" s="1972"/>
      <c r="FE24" s="1972"/>
      <c r="FG24" s="1972"/>
      <c r="FH24" s="1972"/>
      <c r="FI24" s="1972"/>
      <c r="FJ24" s="1972"/>
      <c r="FK24" s="1972"/>
      <c r="FL24" s="1972"/>
      <c r="FM24" s="1972"/>
      <c r="FN24" s="1972"/>
      <c r="FO24" s="1972"/>
    </row>
    <row r="25" spans="1:171" ht="14.4">
      <c r="A25"/>
      <c r="B25"/>
      <c r="C25"/>
      <c r="D25"/>
      <c r="E25"/>
      <c r="F25"/>
      <c r="G25"/>
      <c r="H25"/>
      <c r="I25"/>
      <c r="J25"/>
      <c r="K25"/>
      <c r="L25"/>
      <c r="M25"/>
      <c r="N25"/>
      <c r="O25"/>
      <c r="P25"/>
      <c r="Q25" s="2008" t="s">
        <v>446</v>
      </c>
      <c r="V25"/>
      <c r="W25"/>
      <c r="X25"/>
      <c r="Y25"/>
      <c r="Z25"/>
      <c r="AA25"/>
      <c r="AB25"/>
      <c r="AC25"/>
      <c r="AD25"/>
      <c r="AE25"/>
      <c r="AF25"/>
      <c r="AG25"/>
      <c r="AH25"/>
      <c r="AI25"/>
      <c r="AJ25"/>
      <c r="AK25" s="1025"/>
      <c r="CE25" s="1025"/>
      <c r="CF25" s="1025"/>
      <c r="CG25" s="1025"/>
      <c r="CH25" s="1025"/>
      <c r="CI25" s="1025"/>
      <c r="CJ25" s="1025"/>
      <c r="CK25" s="1025"/>
      <c r="CL25" s="1025"/>
      <c r="CM25" s="1025"/>
      <c r="CN25" s="1025"/>
      <c r="CO25" s="1025"/>
      <c r="CP25" s="1025"/>
      <c r="CQ25"/>
      <c r="CR25"/>
      <c r="CS25"/>
      <c r="CT25"/>
      <c r="CU25"/>
      <c r="CV25"/>
      <c r="CW25"/>
      <c r="CX25"/>
      <c r="CY25"/>
      <c r="CZ25"/>
      <c r="DA25"/>
      <c r="DB25"/>
      <c r="DC25"/>
      <c r="DD25"/>
      <c r="DE25"/>
      <c r="DF25"/>
      <c r="DG25"/>
      <c r="DH25"/>
      <c r="DI25"/>
      <c r="DJ25"/>
      <c r="DK25"/>
      <c r="DL25"/>
      <c r="DM25"/>
      <c r="DN25"/>
      <c r="DO25"/>
      <c r="DP25"/>
      <c r="DQ25"/>
      <c r="DR25"/>
      <c r="DS25"/>
      <c r="ED25" s="1971"/>
      <c r="EE25" s="1971"/>
      <c r="EF25" s="1971"/>
      <c r="EG25" s="1971"/>
      <c r="EH25" s="1971"/>
      <c r="EI25" s="1971"/>
      <c r="EJ25" s="1971"/>
      <c r="EK25" s="1971"/>
      <c r="EM25" s="1972"/>
      <c r="EN25" s="1972"/>
      <c r="EO25" s="1972"/>
      <c r="EP25" s="1972"/>
      <c r="EQ25" s="1972"/>
      <c r="ER25" s="1972"/>
      <c r="ES25" s="1972"/>
      <c r="ET25" s="1972"/>
      <c r="EU25" s="1972"/>
      <c r="EW25" s="1972"/>
      <c r="EX25" s="1972"/>
      <c r="EY25" s="1972"/>
      <c r="EZ25" s="1972"/>
      <c r="FA25" s="1972"/>
      <c r="FB25" s="1972"/>
      <c r="FC25" s="1972"/>
      <c r="FD25" s="1972"/>
      <c r="FE25" s="1972"/>
      <c r="FG25" s="1972"/>
      <c r="FH25" s="1972"/>
      <c r="FI25" s="1972"/>
      <c r="FJ25" s="1972"/>
      <c r="FK25" s="1972"/>
      <c r="FL25" s="1972"/>
      <c r="FM25" s="1972"/>
      <c r="FN25" s="1972"/>
      <c r="FO25" s="1972"/>
    </row>
    <row r="26" spans="1:171" ht="14.4">
      <c r="A26"/>
      <c r="B26"/>
      <c r="C26"/>
      <c r="D26"/>
      <c r="E26"/>
      <c r="F26"/>
      <c r="G26"/>
      <c r="H26"/>
      <c r="I26"/>
      <c r="J26"/>
      <c r="K26"/>
      <c r="L26"/>
      <c r="M26"/>
      <c r="N26"/>
      <c r="O26"/>
      <c r="P26"/>
      <c r="Q26" s="2008"/>
      <c r="V26"/>
      <c r="W26"/>
      <c r="X26"/>
      <c r="Y26"/>
      <c r="Z26"/>
      <c r="AA26"/>
      <c r="AB26"/>
      <c r="AC26"/>
      <c r="AD26"/>
      <c r="AE26"/>
      <c r="AF26"/>
      <c r="AG26"/>
      <c r="AH26"/>
      <c r="AI26"/>
      <c r="AJ26"/>
      <c r="AK26" s="1025"/>
      <c r="CE26" s="1964" t="s">
        <v>1061</v>
      </c>
      <c r="CF26" s="1965"/>
      <c r="CG26" s="1968" t="s">
        <v>69</v>
      </c>
      <c r="CH26" s="1920"/>
      <c r="CI26" s="2010" t="s">
        <v>549</v>
      </c>
      <c r="CJ26" s="1924"/>
      <c r="CK26" s="1925" t="s">
        <v>550</v>
      </c>
      <c r="CL26" s="1926"/>
      <c r="CM26" s="1926"/>
      <c r="CN26" s="1926"/>
      <c r="CO26" s="1927"/>
      <c r="CP26" s="1025"/>
      <c r="CQ26"/>
      <c r="CR26"/>
      <c r="CS26"/>
      <c r="CT26"/>
      <c r="CU26"/>
      <c r="CV26"/>
      <c r="CW26"/>
      <c r="CX26"/>
      <c r="CY26"/>
      <c r="CZ26"/>
      <c r="DA26"/>
      <c r="DB26"/>
      <c r="DC26"/>
      <c r="DD26"/>
      <c r="DE26"/>
      <c r="DF26"/>
      <c r="DG26"/>
      <c r="DH26"/>
      <c r="DI26"/>
      <c r="DJ26"/>
      <c r="DK26"/>
      <c r="DL26"/>
      <c r="DM26"/>
      <c r="DN26"/>
      <c r="DO26"/>
      <c r="DP26"/>
      <c r="DQ26"/>
      <c r="DR26"/>
      <c r="DS26"/>
      <c r="ED26" s="1971"/>
      <c r="EE26" s="1971"/>
      <c r="EF26" s="1971"/>
      <c r="EG26" s="1971"/>
      <c r="EH26" s="1971"/>
      <c r="EI26" s="1971"/>
      <c r="EJ26" s="1971"/>
      <c r="EK26" s="1971"/>
      <c r="EM26" s="1972"/>
      <c r="EN26" s="1972"/>
      <c r="EO26" s="1972"/>
      <c r="EP26" s="1972"/>
      <c r="EQ26" s="1972"/>
      <c r="ER26" s="1972"/>
      <c r="ES26" s="1972"/>
      <c r="ET26" s="1972"/>
      <c r="EU26" s="1972"/>
      <c r="EW26" s="1972"/>
      <c r="EX26" s="1972"/>
      <c r="EY26" s="1972"/>
      <c r="EZ26" s="1972"/>
      <c r="FA26" s="1972"/>
      <c r="FB26" s="1972"/>
      <c r="FC26" s="1972"/>
      <c r="FD26" s="1972"/>
      <c r="FE26" s="1972"/>
      <c r="FG26" s="1972"/>
      <c r="FH26" s="1972"/>
      <c r="FI26" s="1972"/>
      <c r="FJ26" s="1972"/>
      <c r="FK26" s="1972"/>
      <c r="FL26" s="1972"/>
      <c r="FM26" s="1972"/>
      <c r="FN26" s="1972"/>
      <c r="FO26" s="1972"/>
    </row>
    <row r="27" spans="1:171" ht="14.4">
      <c r="A27"/>
      <c r="B27"/>
      <c r="C27"/>
      <c r="D27"/>
      <c r="E27"/>
      <c r="F27"/>
      <c r="G27"/>
      <c r="H27"/>
      <c r="I27"/>
      <c r="J27"/>
      <c r="K27"/>
      <c r="L27"/>
      <c r="M27"/>
      <c r="N27"/>
      <c r="O27"/>
      <c r="P27"/>
      <c r="Q27" s="2008"/>
      <c r="R27" s="2011" t="s">
        <v>448</v>
      </c>
      <c r="S27" s="2011"/>
      <c r="T27" s="2011"/>
      <c r="U27" s="2011"/>
      <c r="V27"/>
      <c r="W27"/>
      <c r="X27"/>
      <c r="Y27"/>
      <c r="Z27"/>
      <c r="AA27"/>
      <c r="AB27"/>
      <c r="AC27"/>
      <c r="AD27"/>
      <c r="AE27"/>
      <c r="AF27"/>
      <c r="AG27"/>
      <c r="AH27"/>
      <c r="AI27"/>
      <c r="AJ27"/>
      <c r="AK27" s="1025"/>
      <c r="CE27" s="1966"/>
      <c r="CF27" s="1967"/>
      <c r="CG27" s="1969"/>
      <c r="CH27" s="1922"/>
      <c r="CI27" s="1992" t="s">
        <v>1062</v>
      </c>
      <c r="CJ27" s="1992"/>
      <c r="CK27" s="1930" t="s">
        <v>1033</v>
      </c>
      <c r="CL27" s="1931"/>
      <c r="CM27" s="1931"/>
      <c r="CN27" s="1931"/>
      <c r="CO27" s="1932"/>
      <c r="CP27" s="1025"/>
      <c r="CQ27"/>
      <c r="CR27"/>
      <c r="CS27"/>
      <c r="CT27"/>
      <c r="CU27"/>
      <c r="CV27"/>
      <c r="CW27"/>
      <c r="CX27"/>
      <c r="CY27"/>
      <c r="CZ27"/>
      <c r="DA27"/>
      <c r="DB27"/>
      <c r="DC27"/>
      <c r="DD27"/>
      <c r="DE27"/>
      <c r="DF27"/>
      <c r="DG27"/>
      <c r="DH27"/>
      <c r="DI27"/>
      <c r="DJ27"/>
      <c r="DK27"/>
      <c r="DL27"/>
      <c r="DM27"/>
      <c r="DN27"/>
      <c r="DO27"/>
      <c r="DP27"/>
      <c r="DQ27"/>
      <c r="DR27"/>
      <c r="DS27"/>
      <c r="ED27" s="1971"/>
      <c r="EE27" s="1971"/>
      <c r="EF27" s="1971"/>
      <c r="EG27" s="1971"/>
      <c r="EH27" s="1971"/>
      <c r="EI27" s="1971"/>
      <c r="EJ27" s="1971"/>
      <c r="EK27" s="1971"/>
      <c r="EM27" s="1972"/>
      <c r="EN27" s="1972"/>
      <c r="EO27" s="1972"/>
      <c r="EP27" s="1972"/>
      <c r="EQ27" s="1972"/>
      <c r="ER27" s="1972"/>
      <c r="ES27" s="1972"/>
      <c r="ET27" s="1972"/>
      <c r="EU27" s="1972"/>
      <c r="EW27" s="1972"/>
      <c r="EX27" s="1972"/>
      <c r="EY27" s="1972"/>
      <c r="EZ27" s="1972"/>
      <c r="FA27" s="1972"/>
      <c r="FB27" s="1972"/>
      <c r="FC27" s="1972"/>
      <c r="FD27" s="1972"/>
      <c r="FE27" s="1972"/>
      <c r="FG27" s="1972"/>
      <c r="FH27" s="1972"/>
      <c r="FI27" s="1972"/>
      <c r="FJ27" s="1972"/>
      <c r="FK27" s="1972"/>
      <c r="FL27" s="1972"/>
      <c r="FM27" s="1972"/>
      <c r="FN27" s="1972"/>
      <c r="FO27" s="1972"/>
    </row>
    <row r="28" spans="1:171" ht="15" thickBot="1">
      <c r="A28"/>
      <c r="B28"/>
      <c r="C28"/>
      <c r="D28"/>
      <c r="E28"/>
      <c r="F28"/>
      <c r="G28"/>
      <c r="H28"/>
      <c r="I28"/>
      <c r="J28"/>
      <c r="K28"/>
      <c r="L28"/>
      <c r="M28"/>
      <c r="N28"/>
      <c r="O28"/>
      <c r="P28"/>
      <c r="Q28" s="2009"/>
      <c r="R28" s="2008" t="s">
        <v>449</v>
      </c>
      <c r="S28" s="2008"/>
      <c r="T28" s="2008"/>
      <c r="U28" s="2008"/>
      <c r="V28"/>
      <c r="W28"/>
      <c r="X28"/>
      <c r="Y28"/>
      <c r="Z28"/>
      <c r="AA28"/>
      <c r="AB28"/>
      <c r="AC28"/>
      <c r="AD28"/>
      <c r="AE28"/>
      <c r="AF28"/>
      <c r="AG28"/>
      <c r="AH28"/>
      <c r="AI28"/>
      <c r="AJ28"/>
      <c r="AK28"/>
      <c r="CE28" s="2012" t="s">
        <v>1063</v>
      </c>
      <c r="CF28" s="2013"/>
      <c r="CG28" s="1999" t="s">
        <v>288</v>
      </c>
      <c r="CH28" s="1999" t="s">
        <v>495</v>
      </c>
      <c r="CI28" s="1013" t="s">
        <v>1017</v>
      </c>
      <c r="CJ28" s="1049" t="s">
        <v>1037</v>
      </c>
      <c r="CK28" s="2016" t="s">
        <v>1064</v>
      </c>
      <c r="CL28" s="2016"/>
      <c r="CM28" s="2016" t="s">
        <v>1065</v>
      </c>
      <c r="CN28" s="2016"/>
      <c r="CO28" s="2020" t="s">
        <v>1040</v>
      </c>
      <c r="CP28" s="1025"/>
      <c r="CQ28" s="1977" t="s">
        <v>435</v>
      </c>
      <c r="CR28" s="1977"/>
      <c r="CS28"/>
      <c r="CT28" s="1978" t="s">
        <v>69</v>
      </c>
      <c r="CU28" s="1978"/>
      <c r="CV28" s="1979" t="s">
        <v>502</v>
      </c>
      <c r="CW28" s="1979"/>
      <c r="CX28" s="1980" t="s">
        <v>1066</v>
      </c>
      <c r="CY28" s="1980"/>
      <c r="CZ28" s="1980"/>
      <c r="DA28" s="1980"/>
      <c r="DB28" s="1980"/>
      <c r="DC28"/>
      <c r="DD28" s="2022" t="s">
        <v>577</v>
      </c>
      <c r="DE28" s="2023"/>
      <c r="DF28" s="2023"/>
      <c r="DG28" s="2023"/>
      <c r="DH28" s="2023"/>
      <c r="DI28" s="2024"/>
      <c r="DJ28" s="1982" t="s">
        <v>505</v>
      </c>
      <c r="DK28" s="1982"/>
      <c r="DL28" s="1982"/>
      <c r="DM28" s="1982"/>
      <c r="DN28" s="1982"/>
      <c r="DO28" s="1982"/>
      <c r="DP28"/>
      <c r="DQ28" s="1027" t="s">
        <v>69</v>
      </c>
      <c r="DR28" s="1028" t="s">
        <v>1035</v>
      </c>
      <c r="DS28"/>
      <c r="ED28" s="1971"/>
      <c r="EE28" s="1971"/>
      <c r="EF28" s="1971"/>
      <c r="EG28" s="1971"/>
      <c r="EH28" s="1971"/>
      <c r="EI28" s="1971"/>
      <c r="EJ28" s="1971"/>
      <c r="EK28" s="1971"/>
      <c r="EM28" s="1972"/>
      <c r="EN28" s="1972"/>
      <c r="EO28" s="1972"/>
      <c r="EP28" s="1972"/>
      <c r="EQ28" s="1972"/>
      <c r="ER28" s="1972"/>
      <c r="ES28" s="1972"/>
      <c r="ET28" s="1972"/>
      <c r="EU28" s="1972"/>
      <c r="EW28" s="1972"/>
      <c r="EX28" s="1972"/>
      <c r="EY28" s="1972"/>
      <c r="EZ28" s="1972"/>
      <c r="FA28" s="1972"/>
      <c r="FB28" s="1972"/>
      <c r="FC28" s="1972"/>
      <c r="FD28" s="1972"/>
      <c r="FE28" s="1972"/>
      <c r="FG28" s="1972"/>
      <c r="FH28" s="1972"/>
      <c r="FI28" s="1972"/>
      <c r="FJ28" s="1972"/>
      <c r="FK28" s="1972"/>
      <c r="FL28" s="1972"/>
      <c r="FM28" s="1972"/>
      <c r="FN28" s="1972"/>
      <c r="FO28" s="1972"/>
    </row>
    <row r="29" spans="1:171" ht="14.4">
      <c r="A29"/>
      <c r="B29"/>
      <c r="C29"/>
      <c r="D29"/>
      <c r="E29"/>
      <c r="F29"/>
      <c r="G29"/>
      <c r="H29"/>
      <c r="I29"/>
      <c r="J29"/>
      <c r="K29"/>
      <c r="L29"/>
      <c r="M29"/>
      <c r="N29"/>
      <c r="O29"/>
      <c r="P29"/>
      <c r="Q29" s="2017">
        <v>40</v>
      </c>
      <c r="R29" s="2008"/>
      <c r="S29" s="2008"/>
      <c r="T29" s="2008"/>
      <c r="U29" s="2008"/>
      <c r="V29"/>
      <c r="W29"/>
      <c r="X29"/>
      <c r="Y29"/>
      <c r="Z29"/>
      <c r="AA29"/>
      <c r="AB29"/>
      <c r="AC29"/>
      <c r="AD29"/>
      <c r="AE29"/>
      <c r="AF29"/>
      <c r="AG29"/>
      <c r="AH29"/>
      <c r="AI29"/>
      <c r="AJ29"/>
      <c r="AK29"/>
      <c r="CE29" s="2014"/>
      <c r="CF29" s="2015"/>
      <c r="CG29" s="2000"/>
      <c r="CH29" s="2000"/>
      <c r="CI29" s="1015" t="s">
        <v>1047</v>
      </c>
      <c r="CJ29" s="1031" t="s">
        <v>1048</v>
      </c>
      <c r="CK29" s="1050" t="s">
        <v>1029</v>
      </c>
      <c r="CL29" s="1050" t="s">
        <v>1030</v>
      </c>
      <c r="CM29" s="1050" t="s">
        <v>1029</v>
      </c>
      <c r="CN29" s="1050" t="s">
        <v>1030</v>
      </c>
      <c r="CO29" s="2021"/>
      <c r="CP29" s="1025"/>
      <c r="CQ29" s="1975" t="s">
        <v>1020</v>
      </c>
      <c r="CR29" s="1975"/>
      <c r="CS29"/>
      <c r="CT29" s="466" t="s">
        <v>519</v>
      </c>
      <c r="CU29" s="466" t="s">
        <v>520</v>
      </c>
      <c r="CV29" s="489" t="s">
        <v>513</v>
      </c>
      <c r="CW29" s="489" t="s">
        <v>289</v>
      </c>
      <c r="CX29" s="965" t="s">
        <v>521</v>
      </c>
      <c r="CY29" s="965" t="s">
        <v>522</v>
      </c>
      <c r="CZ29" s="965" t="s">
        <v>289</v>
      </c>
      <c r="DA29" s="1976" t="s">
        <v>523</v>
      </c>
      <c r="DB29" s="1976"/>
      <c r="DC29"/>
      <c r="DD29" s="427" t="s">
        <v>521</v>
      </c>
      <c r="DE29" s="1051" t="s">
        <v>552</v>
      </c>
      <c r="DF29" s="427" t="s">
        <v>522</v>
      </c>
      <c r="DG29" s="427" t="s">
        <v>289</v>
      </c>
      <c r="DH29" s="2019" t="s">
        <v>524</v>
      </c>
      <c r="DI29" s="2019"/>
      <c r="DJ29" s="472" t="s">
        <v>521</v>
      </c>
      <c r="DK29" s="472" t="s">
        <v>525</v>
      </c>
      <c r="DL29" s="472" t="s">
        <v>522</v>
      </c>
      <c r="DM29" s="472" t="s">
        <v>289</v>
      </c>
      <c r="DN29" s="1976" t="s">
        <v>526</v>
      </c>
      <c r="DO29" s="1976"/>
      <c r="DP29"/>
      <c r="DQ29" s="1029" t="s">
        <v>638</v>
      </c>
      <c r="DR29" s="1030" t="s">
        <v>1046</v>
      </c>
      <c r="DS29"/>
      <c r="ED29" s="1971"/>
      <c r="EE29" s="1971"/>
      <c r="EF29" s="1971"/>
      <c r="EG29" s="1971"/>
      <c r="EH29" s="1971"/>
      <c r="EI29" s="1971"/>
      <c r="EJ29" s="1971"/>
      <c r="EK29" s="1971"/>
      <c r="EM29" s="1972"/>
      <c r="EN29" s="1972"/>
      <c r="EO29" s="1972"/>
      <c r="EP29" s="1972"/>
      <c r="EQ29" s="1972"/>
      <c r="ER29" s="1972"/>
      <c r="ES29" s="1972"/>
      <c r="ET29" s="1972"/>
      <c r="EU29" s="1972"/>
      <c r="EW29" s="1972"/>
      <c r="EX29" s="1972"/>
      <c r="EY29" s="1972"/>
      <c r="EZ29" s="1972"/>
      <c r="FA29" s="1972"/>
      <c r="FB29" s="1972"/>
      <c r="FC29" s="1972"/>
      <c r="FD29" s="1972"/>
      <c r="FE29" s="1972"/>
      <c r="FG29" s="1972"/>
      <c r="FH29" s="1972"/>
      <c r="FI29" s="1972"/>
      <c r="FJ29" s="1972"/>
      <c r="FK29" s="1972"/>
      <c r="FL29" s="1972"/>
      <c r="FM29" s="1972"/>
      <c r="FN29" s="1972"/>
      <c r="FO29" s="1972"/>
    </row>
    <row r="30" spans="1:171" ht="15" thickBot="1">
      <c r="A30"/>
      <c r="B30"/>
      <c r="C30"/>
      <c r="D30"/>
      <c r="E30"/>
      <c r="F30"/>
      <c r="G30"/>
      <c r="H30"/>
      <c r="I30"/>
      <c r="J30"/>
      <c r="K30"/>
      <c r="L30"/>
      <c r="M30"/>
      <c r="N30"/>
      <c r="O30"/>
      <c r="P30"/>
      <c r="Q30" s="2018"/>
      <c r="R30" s="2008"/>
      <c r="S30" s="2008"/>
      <c r="T30" s="2008"/>
      <c r="U30" s="2008"/>
      <c r="V30"/>
      <c r="W30"/>
      <c r="X30"/>
      <c r="Y30"/>
      <c r="Z30"/>
      <c r="AA30"/>
      <c r="AB30"/>
      <c r="AC30"/>
      <c r="AD30"/>
      <c r="AE30"/>
      <c r="AF30"/>
      <c r="AG30"/>
      <c r="AH30"/>
      <c r="AI30"/>
      <c r="AJ30"/>
      <c r="AK30"/>
      <c r="CE30" s="1930"/>
      <c r="CF30" s="1932"/>
      <c r="CG30" s="464" t="s">
        <v>555</v>
      </c>
      <c r="CH30" s="464" t="s">
        <v>556</v>
      </c>
      <c r="CI30" s="1052" t="s">
        <v>1067</v>
      </c>
      <c r="CJ30" s="1053" t="s">
        <v>1068</v>
      </c>
      <c r="CK30" s="489" t="s">
        <v>559</v>
      </c>
      <c r="CL30" s="489" t="s">
        <v>1069</v>
      </c>
      <c r="CM30" s="489" t="s">
        <v>1070</v>
      </c>
      <c r="CN30" s="489" t="s">
        <v>1071</v>
      </c>
      <c r="CO30" s="1040" t="s">
        <v>1048</v>
      </c>
      <c r="CP30" s="1025"/>
      <c r="CQ30" s="961" t="s">
        <v>1072</v>
      </c>
      <c r="CR30" s="961" t="s">
        <v>1023</v>
      </c>
      <c r="CS30"/>
      <c r="CT30" s="466" t="s">
        <v>13</v>
      </c>
      <c r="CU30" s="466" t="s">
        <v>13</v>
      </c>
      <c r="CV30" s="489" t="s">
        <v>13</v>
      </c>
      <c r="CW30" s="489" t="s">
        <v>13</v>
      </c>
      <c r="CX30" s="965" t="s">
        <v>531</v>
      </c>
      <c r="CY30" s="965" t="s">
        <v>532</v>
      </c>
      <c r="CZ30" s="965" t="s">
        <v>13</v>
      </c>
      <c r="DA30" s="965" t="s">
        <v>533</v>
      </c>
      <c r="DB30" s="963" t="s">
        <v>534</v>
      </c>
      <c r="DC30"/>
      <c r="DD30" s="961" t="s">
        <v>535</v>
      </c>
      <c r="DE30" s="489" t="s">
        <v>560</v>
      </c>
      <c r="DF30" s="961" t="s">
        <v>532</v>
      </c>
      <c r="DG30" s="961" t="s">
        <v>13</v>
      </c>
      <c r="DH30" s="489" t="s">
        <v>533</v>
      </c>
      <c r="DI30" s="963" t="s">
        <v>534</v>
      </c>
      <c r="DJ30" s="472" t="s">
        <v>535</v>
      </c>
      <c r="DK30" s="472" t="s">
        <v>13</v>
      </c>
      <c r="DL30" s="472" t="s">
        <v>532</v>
      </c>
      <c r="DM30" s="472" t="s">
        <v>13</v>
      </c>
      <c r="DN30" s="472" t="s">
        <v>533</v>
      </c>
      <c r="DO30" s="963" t="s">
        <v>534</v>
      </c>
      <c r="DP30"/>
      <c r="DQ30" s="1035" t="s">
        <v>12</v>
      </c>
      <c r="DR30" s="1036" t="s">
        <v>1049</v>
      </c>
      <c r="DS30"/>
      <c r="ED30" s="1971"/>
      <c r="EE30" s="1971"/>
      <c r="EF30" s="1971"/>
      <c r="EG30" s="1971"/>
      <c r="EH30" s="1971"/>
      <c r="EI30" s="1971"/>
      <c r="EJ30" s="1971"/>
      <c r="EK30" s="1971"/>
      <c r="EM30" s="1972"/>
      <c r="EN30" s="1972"/>
      <c r="EO30" s="1972"/>
      <c r="EP30" s="1972"/>
      <c r="EQ30" s="1972"/>
      <c r="ER30" s="1972"/>
      <c r="ES30" s="1972"/>
      <c r="ET30" s="1972"/>
      <c r="EU30" s="1972"/>
      <c r="EW30" s="1972"/>
      <c r="EX30" s="1972"/>
      <c r="EY30" s="1972"/>
      <c r="EZ30" s="1972"/>
      <c r="FA30" s="1972"/>
      <c r="FB30" s="1972"/>
      <c r="FC30" s="1972"/>
      <c r="FD30" s="1972"/>
      <c r="FE30" s="1972"/>
      <c r="FG30" s="1972"/>
      <c r="FH30" s="1972"/>
      <c r="FI30" s="1972"/>
      <c r="FJ30" s="1972"/>
      <c r="FK30" s="1972"/>
      <c r="FL30" s="1972"/>
      <c r="FM30" s="1972"/>
      <c r="FN30" s="1972"/>
      <c r="FO30" s="1972"/>
    </row>
    <row r="31" spans="1:171" ht="16.2" thickBot="1">
      <c r="A31"/>
      <c r="B31"/>
      <c r="C31"/>
      <c r="D31"/>
      <c r="E31"/>
      <c r="F31"/>
      <c r="G31"/>
      <c r="H31"/>
      <c r="I31"/>
      <c r="J31"/>
      <c r="K31"/>
      <c r="L31"/>
      <c r="M31"/>
      <c r="N31"/>
      <c r="O31"/>
      <c r="P31"/>
      <c r="R31" s="2008"/>
      <c r="S31" s="2008"/>
      <c r="T31" s="2008"/>
      <c r="U31" s="2008"/>
      <c r="V31"/>
      <c r="W31"/>
      <c r="X31"/>
      <c r="Y31"/>
      <c r="Z31"/>
      <c r="AA31"/>
      <c r="AB31"/>
      <c r="AC31"/>
      <c r="AD31"/>
      <c r="AE31"/>
      <c r="AF31"/>
      <c r="AG31"/>
      <c r="AH31"/>
      <c r="AI31"/>
      <c r="AJ31"/>
      <c r="AK31"/>
      <c r="CE31" s="2005" t="s">
        <v>1024</v>
      </c>
      <c r="CF31" s="2006"/>
      <c r="CG31" s="1022">
        <f t="shared" ref="CG31:CN31" si="1">D9</f>
        <v>0</v>
      </c>
      <c r="CH31" s="1022">
        <f t="shared" si="1"/>
        <v>0</v>
      </c>
      <c r="CI31" s="1022">
        <f t="shared" si="1"/>
        <v>0</v>
      </c>
      <c r="CJ31" s="1022">
        <f t="shared" si="1"/>
        <v>0</v>
      </c>
      <c r="CK31" s="1022">
        <f t="shared" si="1"/>
        <v>0</v>
      </c>
      <c r="CL31" s="1022">
        <f t="shared" si="1"/>
        <v>0</v>
      </c>
      <c r="CM31" s="1022">
        <f t="shared" si="1"/>
        <v>0</v>
      </c>
      <c r="CN31" s="1022">
        <f t="shared" si="1"/>
        <v>0</v>
      </c>
      <c r="CO31" s="1054">
        <v>5</v>
      </c>
      <c r="CP31" s="1025"/>
      <c r="CQ31" s="1045">
        <f>DB31+DI31+DO31</f>
        <v>-3.0771969826142473E-4</v>
      </c>
      <c r="CR31" s="419" t="e">
        <f>CQ31/CU31</f>
        <v>#DIV/0!</v>
      </c>
      <c r="CS31"/>
      <c r="CT31" s="475">
        <f>CH31</f>
        <v>0</v>
      </c>
      <c r="CU31" s="476">
        <f>CG31</f>
        <v>0</v>
      </c>
      <c r="CV31" s="477">
        <f>CT31-1</f>
        <v>-1</v>
      </c>
      <c r="CW31" s="477">
        <f>CU31-1</f>
        <v>-1</v>
      </c>
      <c r="CX31" s="478">
        <f>CI31</f>
        <v>0</v>
      </c>
      <c r="CY31" s="479">
        <f>(PI()*CJ31/8*CJ31/8)/(4*144)</f>
        <v>0</v>
      </c>
      <c r="CZ31" s="480">
        <f>CW31</f>
        <v>-1</v>
      </c>
      <c r="DA31" s="479">
        <f>CX31*CY31*CZ31</f>
        <v>0</v>
      </c>
      <c r="DB31" s="481">
        <f>DA31/27</f>
        <v>0</v>
      </c>
      <c r="DC31"/>
      <c r="DD31" s="1055">
        <f>7+CK31+CM31+ROUNDUP((CW31-2-(CK31*CL31/12)-(CM31*CN31/12)),0)</f>
        <v>4</v>
      </c>
      <c r="DE31" s="1055">
        <v>5</v>
      </c>
      <c r="DF31" s="1056">
        <f>(PI()*DE31/8*DE31/8)/(4*144)</f>
        <v>2.1305288720633907E-3</v>
      </c>
      <c r="DG31" s="1057">
        <f>PI()*CV31+26/12</f>
        <v>-0.9749259869231266</v>
      </c>
      <c r="DH31" s="1056">
        <f>DD31*DF31*DG31</f>
        <v>-8.3084318530584674E-3</v>
      </c>
      <c r="DI31" s="481">
        <f>DH31/27</f>
        <v>-3.0771969826142473E-4</v>
      </c>
      <c r="DJ31" s="486">
        <f>IF(CT31&lt;4,4,ROUNDUP(CT31,0))</f>
        <v>4</v>
      </c>
      <c r="DK31" s="487">
        <f>1.9/12</f>
        <v>0.15833333333333333</v>
      </c>
      <c r="DL31" s="487">
        <f>PI()*DK31*DK31/4</f>
        <v>1.968949562406103E-2</v>
      </c>
      <c r="DM31" s="487">
        <f>CU31</f>
        <v>0</v>
      </c>
      <c r="DN31" s="488">
        <f>DJ31*DL31*DM31</f>
        <v>0</v>
      </c>
      <c r="DO31" s="481">
        <f>DN31/27</f>
        <v>0</v>
      </c>
      <c r="DP31"/>
      <c r="DQ31" s="1043">
        <f>PI()*CH31*CH31*CG31/108</f>
        <v>0</v>
      </c>
      <c r="DR31" s="506" t="e">
        <f>CQ31/DQ31</f>
        <v>#DIV/0!</v>
      </c>
      <c r="DS31"/>
      <c r="ED31" s="1971"/>
      <c r="EE31" s="1971"/>
      <c r="EF31" s="1971"/>
      <c r="EG31" s="1971"/>
      <c r="EH31" s="1971"/>
      <c r="EI31" s="1971"/>
      <c r="EJ31" s="1971"/>
      <c r="EK31" s="1971"/>
      <c r="EM31" s="1972"/>
      <c r="EN31" s="1972"/>
      <c r="EO31" s="1972"/>
      <c r="EP31" s="1972"/>
      <c r="EQ31" s="1972"/>
      <c r="ER31" s="1972"/>
      <c r="ES31" s="1972"/>
      <c r="ET31" s="1972"/>
      <c r="EU31" s="1972"/>
      <c r="EW31" s="1972"/>
      <c r="EX31" s="1972"/>
      <c r="EY31" s="1972"/>
      <c r="EZ31" s="1972"/>
      <c r="FA31" s="1972"/>
      <c r="FB31" s="1972"/>
      <c r="FC31" s="1972"/>
      <c r="FD31" s="1972"/>
      <c r="FE31" s="1972"/>
      <c r="FG31" s="1972"/>
      <c r="FH31" s="1972"/>
      <c r="FI31" s="1972"/>
      <c r="FJ31" s="1972"/>
      <c r="FK31" s="1972"/>
      <c r="FL31" s="1972"/>
      <c r="FM31" s="1972"/>
      <c r="FN31" s="1972"/>
      <c r="FO31" s="1972"/>
    </row>
    <row r="32" spans="1:171" ht="14.4">
      <c r="A32"/>
      <c r="B32"/>
      <c r="C32"/>
      <c r="D32"/>
      <c r="E32"/>
      <c r="F32"/>
      <c r="G32"/>
      <c r="H32"/>
      <c r="I32"/>
      <c r="J32"/>
      <c r="K32"/>
      <c r="L32"/>
      <c r="M32"/>
      <c r="N32"/>
      <c r="O32"/>
      <c r="P32"/>
      <c r="R32" s="2008"/>
      <c r="S32" s="2008"/>
      <c r="T32" s="2008"/>
      <c r="U32" s="2008"/>
      <c r="V32"/>
      <c r="W32"/>
      <c r="X32"/>
      <c r="Y32"/>
      <c r="Z32"/>
      <c r="AA32"/>
      <c r="AB32"/>
      <c r="AC32"/>
      <c r="AD32"/>
      <c r="AE32"/>
      <c r="AF32"/>
      <c r="AG32"/>
      <c r="AH32"/>
      <c r="AI32"/>
      <c r="AJ32"/>
      <c r="AK32" s="1025"/>
      <c r="CE32" s="1046"/>
      <c r="CF32" s="1046"/>
      <c r="CG32" s="1046"/>
      <c r="CH32" s="1046"/>
      <c r="CI32" s="1046"/>
      <c r="CJ32" s="1046"/>
      <c r="CK32"/>
      <c r="CL32"/>
      <c r="CM32"/>
      <c r="CN32"/>
      <c r="CO32" s="1046"/>
      <c r="CP32" s="1025"/>
      <c r="CQ32"/>
      <c r="CR32"/>
      <c r="CS32"/>
      <c r="CT32"/>
      <c r="CU32"/>
      <c r="CV32"/>
      <c r="CW32"/>
      <c r="CX32"/>
      <c r="CY32"/>
      <c r="CZ32"/>
      <c r="DA32"/>
      <c r="DB32"/>
      <c r="DC32"/>
      <c r="DD32"/>
      <c r="DE32"/>
      <c r="DF32"/>
      <c r="DG32"/>
      <c r="DH32"/>
      <c r="DI32"/>
      <c r="DJ32"/>
      <c r="DK32"/>
      <c r="DL32"/>
      <c r="DM32"/>
      <c r="DN32"/>
      <c r="DO32"/>
      <c r="DP32"/>
      <c r="DQ32"/>
      <c r="DR32"/>
      <c r="DS32"/>
      <c r="ED32" s="1971"/>
      <c r="EE32" s="1971"/>
      <c r="EF32" s="1971"/>
      <c r="EG32" s="1971"/>
      <c r="EH32" s="1971"/>
      <c r="EI32" s="1971"/>
      <c r="EJ32" s="1971"/>
      <c r="EK32" s="1971"/>
      <c r="EM32" s="1972"/>
      <c r="EN32" s="1972"/>
      <c r="EO32" s="1972"/>
      <c r="EP32" s="1972"/>
      <c r="EQ32" s="1972"/>
      <c r="ER32" s="1972"/>
      <c r="ES32" s="1972"/>
      <c r="ET32" s="1972"/>
      <c r="EU32" s="1972"/>
      <c r="EW32" s="1972"/>
      <c r="EX32" s="1972"/>
      <c r="EY32" s="1972"/>
      <c r="EZ32" s="1972"/>
      <c r="FA32" s="1972"/>
      <c r="FB32" s="1972"/>
      <c r="FC32" s="1972"/>
      <c r="FD32" s="1972"/>
      <c r="FE32" s="1972"/>
      <c r="FG32" s="1972"/>
      <c r="FH32" s="1972"/>
      <c r="FI32" s="1972"/>
      <c r="FJ32" s="1972"/>
      <c r="FK32" s="1972"/>
      <c r="FL32" s="1972"/>
      <c r="FM32" s="1972"/>
      <c r="FN32" s="1972"/>
      <c r="FO32" s="1972"/>
    </row>
    <row r="33" spans="1:171" ht="14.4">
      <c r="A33"/>
      <c r="B33"/>
      <c r="C33"/>
      <c r="D33"/>
      <c r="E33"/>
      <c r="F33"/>
      <c r="G33"/>
      <c r="H33"/>
      <c r="I33"/>
      <c r="J33"/>
      <c r="K33"/>
      <c r="L33"/>
      <c r="M33"/>
      <c r="N33"/>
      <c r="O33"/>
      <c r="P33"/>
      <c r="Q33"/>
      <c r="R33"/>
      <c r="S33"/>
      <c r="T33"/>
      <c r="U33"/>
      <c r="V33"/>
      <c r="W33"/>
      <c r="X33"/>
      <c r="Y33"/>
      <c r="Z33"/>
      <c r="AA33"/>
      <c r="AB33"/>
      <c r="AC33"/>
      <c r="AD33"/>
      <c r="AE33"/>
      <c r="AF33"/>
      <c r="AG33"/>
      <c r="AH33"/>
      <c r="AI33"/>
      <c r="AJ33"/>
      <c r="AK33" s="1025"/>
      <c r="CE33"/>
      <c r="CF33"/>
      <c r="CG33" s="1025"/>
      <c r="CH33" s="1025"/>
      <c r="CI33" s="1025"/>
      <c r="CJ33" s="1025"/>
      <c r="CK33" s="1025"/>
      <c r="CL33" s="1025"/>
      <c r="CM33" s="1025"/>
      <c r="CN33" s="1025"/>
      <c r="CO33" s="1025"/>
      <c r="CP33" s="1025"/>
      <c r="CQ33"/>
      <c r="CR33"/>
      <c r="CS33"/>
      <c r="CT33"/>
      <c r="CU33"/>
      <c r="CV33"/>
      <c r="CW33"/>
      <c r="CX33"/>
      <c r="CY33"/>
      <c r="CZ33"/>
      <c r="DA33"/>
      <c r="DB33"/>
      <c r="DC33"/>
      <c r="DD33"/>
      <c r="DE33"/>
      <c r="DF33"/>
      <c r="DG33"/>
      <c r="DH33"/>
      <c r="DI33"/>
      <c r="DJ33"/>
      <c r="DK33"/>
      <c r="DL33"/>
      <c r="DM33"/>
      <c r="DN33"/>
      <c r="DO33"/>
      <c r="DP33"/>
      <c r="DQ33"/>
      <c r="DR33"/>
      <c r="DS33"/>
      <c r="ED33" s="1971"/>
      <c r="EE33" s="1971"/>
      <c r="EF33" s="1971"/>
      <c r="EG33" s="1971"/>
      <c r="EH33" s="1971"/>
      <c r="EI33" s="1971"/>
      <c r="EJ33" s="1971"/>
      <c r="EK33" s="1971"/>
      <c r="EM33" s="1972"/>
      <c r="EN33" s="1972"/>
      <c r="EO33" s="1972"/>
      <c r="EP33" s="1972"/>
      <c r="EQ33" s="1972"/>
      <c r="ER33" s="1972"/>
      <c r="ES33" s="1972"/>
      <c r="ET33" s="1972"/>
      <c r="EU33" s="1972"/>
      <c r="EW33" s="1972"/>
      <c r="EX33" s="1972"/>
      <c r="EY33" s="1972"/>
      <c r="EZ33" s="1972"/>
      <c r="FA33" s="1972"/>
      <c r="FB33" s="1972"/>
      <c r="FC33" s="1972"/>
      <c r="FD33" s="1972"/>
      <c r="FE33" s="1972"/>
      <c r="FG33" s="1972"/>
      <c r="FH33" s="1972"/>
      <c r="FI33" s="1972"/>
      <c r="FJ33" s="1972"/>
      <c r="FK33" s="1972"/>
      <c r="FL33" s="1972"/>
      <c r="FM33" s="1972"/>
      <c r="FN33" s="1972"/>
      <c r="FO33" s="1972"/>
    </row>
    <row r="34" spans="1:171" ht="14.4">
      <c r="A34"/>
      <c r="B34"/>
      <c r="C34"/>
      <c r="D34"/>
      <c r="E34"/>
      <c r="F34"/>
      <c r="G34"/>
      <c r="H34"/>
      <c r="I34"/>
      <c r="J34"/>
      <c r="K34"/>
      <c r="L34"/>
      <c r="M34"/>
      <c r="N34"/>
      <c r="O34"/>
      <c r="P34"/>
      <c r="Q34"/>
      <c r="R34"/>
      <c r="S34"/>
      <c r="T34"/>
      <c r="U34"/>
      <c r="V34"/>
      <c r="W34"/>
      <c r="X34"/>
      <c r="Y34"/>
      <c r="Z34"/>
      <c r="AA34"/>
      <c r="AB34"/>
      <c r="AC34"/>
      <c r="AD34"/>
      <c r="AE34"/>
      <c r="AF34"/>
      <c r="AG34"/>
      <c r="AH34"/>
      <c r="AI34"/>
      <c r="AJ34"/>
      <c r="AK34"/>
      <c r="CE34"/>
      <c r="CF34"/>
      <c r="CG34" s="1025"/>
      <c r="CH34" s="1025"/>
      <c r="CI34" s="1025"/>
      <c r="CJ34" s="1025"/>
      <c r="CK34" s="1025"/>
      <c r="CL34" s="1025"/>
      <c r="CM34" s="1025"/>
      <c r="CN34" s="1025"/>
      <c r="CO34" s="1025"/>
      <c r="CP34" s="1025"/>
      <c r="CQ34"/>
      <c r="CR34" s="1046"/>
      <c r="CS34" s="1046"/>
      <c r="CT34" s="1046"/>
      <c r="CU34" s="1046"/>
      <c r="CV34" s="1046"/>
      <c r="CW34" s="1046"/>
      <c r="CX34" s="1046"/>
      <c r="CY34" s="1046"/>
      <c r="CZ34" s="1046"/>
      <c r="DA34" s="1046"/>
      <c r="DB34" s="1046"/>
      <c r="DC34"/>
      <c r="DD34"/>
      <c r="DE34"/>
      <c r="DF34"/>
      <c r="DG34"/>
      <c r="DH34"/>
      <c r="DI34"/>
      <c r="DJ34"/>
      <c r="DK34"/>
      <c r="DL34"/>
      <c r="DM34"/>
      <c r="DN34"/>
      <c r="DO34"/>
      <c r="DP34"/>
      <c r="DQ34"/>
      <c r="DR34"/>
      <c r="DS34"/>
      <c r="ED34" s="1971"/>
      <c r="EE34" s="1971"/>
      <c r="EF34" s="1971"/>
      <c r="EG34" s="1971"/>
      <c r="EH34" s="1971"/>
      <c r="EI34" s="1971"/>
      <c r="EJ34" s="1971"/>
      <c r="EK34" s="1971"/>
      <c r="EM34" s="1972"/>
      <c r="EN34" s="1972"/>
      <c r="EO34" s="1972"/>
      <c r="EP34" s="1972"/>
      <c r="EQ34" s="1972"/>
      <c r="ER34" s="1972"/>
      <c r="ES34" s="1972"/>
      <c r="ET34" s="1972"/>
      <c r="EU34" s="1972"/>
      <c r="EW34" s="1972"/>
      <c r="EX34" s="1972"/>
      <c r="EY34" s="1972"/>
      <c r="EZ34" s="1972"/>
      <c r="FA34" s="1972"/>
      <c r="FB34" s="1972"/>
      <c r="FC34" s="1972"/>
      <c r="FD34" s="1972"/>
      <c r="FE34" s="1972"/>
      <c r="FG34" s="1972"/>
      <c r="FH34" s="1972"/>
      <c r="FI34" s="1972"/>
      <c r="FJ34" s="1972"/>
      <c r="FK34" s="1972"/>
      <c r="FL34" s="1972"/>
      <c r="FM34" s="1972"/>
      <c r="FN34" s="1972"/>
      <c r="FO34" s="1972"/>
    </row>
    <row r="35" spans="1:171" ht="14.4">
      <c r="A35"/>
      <c r="B35"/>
      <c r="C35"/>
      <c r="D35"/>
      <c r="E35"/>
      <c r="F35"/>
      <c r="G35"/>
      <c r="H35"/>
      <c r="I35"/>
      <c r="J35"/>
      <c r="K35"/>
      <c r="L35"/>
      <c r="M35"/>
      <c r="N35"/>
      <c r="O35"/>
      <c r="P35"/>
      <c r="Q35"/>
      <c r="R35"/>
      <c r="S35"/>
      <c r="T35"/>
      <c r="U35"/>
      <c r="V35"/>
      <c r="W35"/>
      <c r="X35"/>
      <c r="Y35"/>
      <c r="Z35"/>
      <c r="AA35"/>
      <c r="AB35"/>
      <c r="AC35"/>
      <c r="AD35"/>
      <c r="AE35"/>
      <c r="AF35"/>
      <c r="AG35"/>
      <c r="AH35"/>
      <c r="AI35"/>
      <c r="AJ35"/>
      <c r="AK35"/>
      <c r="CE35" s="1025"/>
      <c r="CF35" s="1025"/>
      <c r="CG35" s="1025"/>
      <c r="CH35" s="1025"/>
      <c r="CI35" s="1025"/>
      <c r="CJ35" s="1025"/>
      <c r="CK35" s="1025"/>
      <c r="CL35" s="1025"/>
      <c r="CM35" s="1025"/>
      <c r="CN35" s="1025"/>
      <c r="CO35" s="1025"/>
      <c r="CP35" s="1025"/>
      <c r="CQ35"/>
      <c r="CR35" s="1046"/>
      <c r="CS35" s="1046"/>
      <c r="CT35" s="1046"/>
      <c r="CU35" s="1046"/>
      <c r="CV35" s="1046"/>
      <c r="CW35" s="1046"/>
      <c r="CX35" s="1046"/>
      <c r="CY35" s="1046"/>
      <c r="CZ35" s="1046"/>
      <c r="DA35" s="1046"/>
      <c r="DB35" s="1046"/>
      <c r="DC35"/>
      <c r="DD35"/>
      <c r="DE35"/>
      <c r="DF35"/>
      <c r="DG35"/>
      <c r="DJ35"/>
      <c r="DK35"/>
      <c r="DL35"/>
      <c r="DM35"/>
      <c r="DN35"/>
      <c r="DO35"/>
      <c r="DP35"/>
      <c r="DQ35"/>
      <c r="DR35"/>
      <c r="DS35"/>
      <c r="ED35" s="1971"/>
      <c r="EE35" s="1971"/>
      <c r="EF35" s="1971"/>
      <c r="EG35" s="1971"/>
      <c r="EH35" s="1971"/>
      <c r="EI35" s="1971"/>
      <c r="EJ35" s="1971"/>
      <c r="EK35" s="1971"/>
      <c r="EM35" s="1972"/>
      <c r="EN35" s="1972"/>
      <c r="EO35" s="1972"/>
      <c r="EP35" s="1972"/>
      <c r="EQ35" s="1972"/>
      <c r="ER35" s="1972"/>
      <c r="ES35" s="1972"/>
      <c r="ET35" s="1972"/>
      <c r="EU35" s="1972"/>
      <c r="EW35" s="1972"/>
      <c r="EX35" s="1972"/>
      <c r="EY35" s="1972"/>
      <c r="EZ35" s="1972"/>
      <c r="FA35" s="1972"/>
      <c r="FB35" s="1972"/>
      <c r="FC35" s="1972"/>
      <c r="FD35" s="1972"/>
      <c r="FE35" s="1972"/>
      <c r="FG35" s="1972"/>
      <c r="FH35" s="1972"/>
      <c r="FI35" s="1972"/>
      <c r="FJ35" s="1972"/>
      <c r="FK35" s="1972"/>
      <c r="FL35" s="1972"/>
      <c r="FM35" s="1972"/>
      <c r="FN35" s="1972"/>
      <c r="FO35" s="1972"/>
    </row>
    <row r="36" spans="1:171" ht="14.4">
      <c r="A36"/>
      <c r="B36"/>
      <c r="C36"/>
      <c r="D36"/>
      <c r="E36"/>
      <c r="F36"/>
      <c r="G36"/>
      <c r="H36"/>
      <c r="I36"/>
      <c r="J36"/>
      <c r="K36"/>
      <c r="L36"/>
      <c r="M36"/>
      <c r="N36"/>
      <c r="O36"/>
      <c r="P36"/>
      <c r="Q36"/>
      <c r="R36"/>
      <c r="S36"/>
      <c r="T36"/>
      <c r="U36"/>
      <c r="V36"/>
      <c r="W36"/>
      <c r="X36"/>
      <c r="Y36"/>
      <c r="Z36"/>
      <c r="AA36"/>
      <c r="AB36"/>
      <c r="AC36"/>
      <c r="AD36"/>
      <c r="AE36"/>
      <c r="AF36"/>
      <c r="AG36"/>
      <c r="AH36"/>
      <c r="AI36"/>
      <c r="AJ36"/>
      <c r="AK36"/>
      <c r="CE36" s="1964" t="s">
        <v>1073</v>
      </c>
      <c r="CF36" s="1965"/>
      <c r="CG36" s="1968" t="s">
        <v>69</v>
      </c>
      <c r="CH36" s="1920"/>
      <c r="CI36" s="1919" t="s">
        <v>549</v>
      </c>
      <c r="CJ36" s="1920"/>
      <c r="CK36" s="1925" t="s">
        <v>550</v>
      </c>
      <c r="CL36" s="1926"/>
      <c r="CM36" s="1926"/>
      <c r="CN36" s="1926"/>
      <c r="CO36" s="1927"/>
      <c r="CP36" s="1025"/>
      <c r="CQ36"/>
      <c r="CR36" s="1046"/>
      <c r="CS36" s="1046"/>
      <c r="CT36" s="1046"/>
      <c r="CU36" s="1046"/>
      <c r="CV36" s="1046"/>
      <c r="CW36" s="1046"/>
      <c r="CX36" s="1046"/>
      <c r="CY36" s="1046"/>
      <c r="CZ36" s="1046"/>
      <c r="DA36" s="1046"/>
      <c r="DB36" s="1046"/>
      <c r="DC36"/>
      <c r="DD36"/>
      <c r="DE36"/>
      <c r="DF36"/>
      <c r="DG36"/>
      <c r="DH36"/>
      <c r="DI36"/>
      <c r="DJ36"/>
      <c r="DK36"/>
      <c r="DL36"/>
      <c r="DM36"/>
      <c r="DN36"/>
      <c r="DO36"/>
      <c r="DP36"/>
      <c r="DQ36"/>
      <c r="DR36"/>
      <c r="DS36"/>
      <c r="ED36" s="1971"/>
      <c r="EE36" s="1971"/>
      <c r="EF36" s="1971"/>
      <c r="EG36" s="1971"/>
      <c r="EH36" s="1971"/>
      <c r="EI36" s="1971"/>
      <c r="EJ36" s="1971"/>
      <c r="EK36" s="1971"/>
      <c r="EM36" s="1972"/>
      <c r="EN36" s="1972"/>
      <c r="EO36" s="1972"/>
      <c r="EP36" s="1972"/>
      <c r="EQ36" s="1972"/>
      <c r="ER36" s="1972"/>
      <c r="ES36" s="1972"/>
      <c r="ET36" s="1972"/>
      <c r="EU36" s="1972"/>
      <c r="EW36" s="1972"/>
      <c r="EX36" s="1972"/>
      <c r="EY36" s="1972"/>
      <c r="EZ36" s="1972"/>
      <c r="FA36" s="1972"/>
      <c r="FB36" s="1972"/>
      <c r="FC36" s="1972"/>
      <c r="FD36" s="1972"/>
      <c r="FE36" s="1972"/>
      <c r="FG36" s="1972"/>
      <c r="FH36" s="1972"/>
      <c r="FI36" s="1972"/>
      <c r="FJ36" s="1972"/>
      <c r="FK36" s="1972"/>
      <c r="FL36" s="1972"/>
      <c r="FM36" s="1972"/>
      <c r="FN36" s="1972"/>
      <c r="FO36" s="1972"/>
    </row>
    <row r="37" spans="1:171" ht="14.4">
      <c r="A37"/>
      <c r="B37"/>
      <c r="C37"/>
      <c r="D37"/>
      <c r="E37"/>
      <c r="F37"/>
      <c r="G37"/>
      <c r="H37"/>
      <c r="I37"/>
      <c r="J37"/>
      <c r="K37"/>
      <c r="L37"/>
      <c r="M37"/>
      <c r="N37"/>
      <c r="O37"/>
      <c r="P37"/>
      <c r="Q37"/>
      <c r="R37"/>
      <c r="S37"/>
      <c r="T37"/>
      <c r="U37"/>
      <c r="V37"/>
      <c r="W37"/>
      <c r="X37"/>
      <c r="Y37"/>
      <c r="Z37"/>
      <c r="AA37"/>
      <c r="AB37"/>
      <c r="AC37"/>
      <c r="AD37"/>
      <c r="AE37"/>
      <c r="AF37"/>
      <c r="AG37"/>
      <c r="AH37"/>
      <c r="AI37"/>
      <c r="AJ37"/>
      <c r="AK37"/>
      <c r="CE37" s="1966"/>
      <c r="CF37" s="1967"/>
      <c r="CG37" s="1969"/>
      <c r="CH37" s="1922"/>
      <c r="CI37" s="1992" t="s">
        <v>1074</v>
      </c>
      <c r="CJ37" s="1992"/>
      <c r="CK37" s="1930" t="s">
        <v>1033</v>
      </c>
      <c r="CL37" s="1931"/>
      <c r="CM37" s="1931"/>
      <c r="CN37" s="1931"/>
      <c r="CO37" s="1932"/>
      <c r="CP37" s="1025"/>
      <c r="CQ37"/>
      <c r="CR37"/>
      <c r="CS37"/>
      <c r="CT37"/>
      <c r="CU37"/>
      <c r="CV37"/>
      <c r="CW37"/>
      <c r="CX37"/>
      <c r="CY37"/>
      <c r="CZ37"/>
      <c r="DA37"/>
      <c r="DB37"/>
      <c r="DC37"/>
      <c r="DD37"/>
      <c r="DE37"/>
      <c r="DF37"/>
      <c r="DG37"/>
      <c r="DH37"/>
      <c r="DI37"/>
      <c r="DJ37"/>
      <c r="DK37"/>
      <c r="DM37"/>
      <c r="DN37"/>
      <c r="DO37"/>
      <c r="DP37"/>
      <c r="DQ37"/>
      <c r="DR37"/>
      <c r="DS37"/>
      <c r="ED37" s="1971"/>
      <c r="EE37" s="1971"/>
      <c r="EF37" s="1971"/>
      <c r="EG37" s="1971"/>
      <c r="EH37" s="1971"/>
      <c r="EI37" s="1971"/>
      <c r="EJ37" s="1971"/>
      <c r="EK37" s="1971"/>
      <c r="EM37" s="1972"/>
      <c r="EN37" s="1972"/>
      <c r="EO37" s="1972"/>
      <c r="EP37" s="1972"/>
      <c r="EQ37" s="1972"/>
      <c r="ER37" s="1972"/>
      <c r="ES37" s="1972"/>
      <c r="ET37" s="1972"/>
      <c r="EU37" s="1972"/>
      <c r="EW37" s="1972"/>
      <c r="EX37" s="1972"/>
      <c r="EY37" s="1972"/>
      <c r="EZ37" s="1972"/>
      <c r="FA37" s="1972"/>
      <c r="FB37" s="1972"/>
      <c r="FC37" s="1972"/>
      <c r="FD37" s="1972"/>
      <c r="FE37" s="1972"/>
      <c r="FG37" s="1972"/>
      <c r="FH37" s="1972"/>
      <c r="FI37" s="1972"/>
      <c r="FJ37" s="1972"/>
      <c r="FK37" s="1972"/>
      <c r="FL37" s="1972"/>
      <c r="FM37" s="1972"/>
      <c r="FN37" s="1972"/>
      <c r="FO37" s="1972"/>
    </row>
    <row r="38" spans="1:171" ht="14.4">
      <c r="A38"/>
      <c r="B38"/>
      <c r="C38"/>
      <c r="D38"/>
      <c r="E38"/>
      <c r="F38"/>
      <c r="G38"/>
      <c r="H38"/>
      <c r="I38"/>
      <c r="J38"/>
      <c r="K38"/>
      <c r="L38"/>
      <c r="M38"/>
      <c r="N38"/>
      <c r="O38"/>
      <c r="P38"/>
      <c r="Q38"/>
      <c r="R38"/>
      <c r="S38"/>
      <c r="T38"/>
      <c r="U38"/>
      <c r="V38"/>
      <c r="W38"/>
      <c r="X38"/>
      <c r="Y38"/>
      <c r="Z38"/>
      <c r="AA38"/>
      <c r="AB38"/>
      <c r="AC38"/>
      <c r="AD38"/>
      <c r="AE38"/>
      <c r="AF38"/>
      <c r="AG38"/>
      <c r="AH38"/>
      <c r="AI38"/>
      <c r="AJ38"/>
      <c r="AK38"/>
      <c r="CE38" s="2012" t="s">
        <v>1075</v>
      </c>
      <c r="CF38" s="2013"/>
      <c r="CG38" s="1999" t="s">
        <v>288</v>
      </c>
      <c r="CH38" s="1999" t="s">
        <v>495</v>
      </c>
      <c r="CI38" s="1013" t="s">
        <v>1017</v>
      </c>
      <c r="CJ38" s="1049" t="s">
        <v>1037</v>
      </c>
      <c r="CK38" s="2025" t="s">
        <v>1076</v>
      </c>
      <c r="CL38" s="2026"/>
      <c r="CM38" s="1025"/>
      <c r="CN38" s="1025"/>
      <c r="CO38" s="2020" t="s">
        <v>1040</v>
      </c>
      <c r="CP38" s="1025"/>
      <c r="CQ38" s="1977" t="s">
        <v>435</v>
      </c>
      <c r="CR38" s="1977"/>
      <c r="CS38"/>
      <c r="CT38" s="1978" t="s">
        <v>69</v>
      </c>
      <c r="CU38" s="1978"/>
      <c r="CV38" s="1979" t="s">
        <v>502</v>
      </c>
      <c r="CW38" s="1979"/>
      <c r="CX38" s="1980" t="s">
        <v>1077</v>
      </c>
      <c r="CY38" s="1980"/>
      <c r="CZ38" s="1980"/>
      <c r="DA38" s="1980"/>
      <c r="DB38" s="1980"/>
      <c r="DC38"/>
      <c r="DD38" s="1981" t="s">
        <v>577</v>
      </c>
      <c r="DE38" s="1981"/>
      <c r="DF38" s="1981"/>
      <c r="DG38" s="1981"/>
      <c r="DH38" s="1981"/>
      <c r="DI38"/>
      <c r="DJ38" s="1982" t="s">
        <v>505</v>
      </c>
      <c r="DK38" s="1982"/>
      <c r="DL38" s="1982"/>
      <c r="DM38" s="1982"/>
      <c r="DN38" s="1982"/>
      <c r="DO38" s="1982"/>
      <c r="DP38"/>
      <c r="DQ38" s="1027" t="s">
        <v>69</v>
      </c>
      <c r="DR38" s="1028" t="s">
        <v>1035</v>
      </c>
      <c r="DS38"/>
      <c r="ED38" s="1971"/>
      <c r="EE38" s="1971"/>
      <c r="EF38" s="1971"/>
      <c r="EG38" s="1971"/>
      <c r="EH38" s="1971"/>
      <c r="EI38" s="1971"/>
      <c r="EJ38" s="1971"/>
      <c r="EK38" s="1971"/>
      <c r="EM38" s="1972"/>
      <c r="EN38" s="1972"/>
      <c r="EO38" s="1972"/>
      <c r="EP38" s="1972"/>
      <c r="EQ38" s="1972"/>
      <c r="ER38" s="1972"/>
      <c r="ES38" s="1972"/>
      <c r="ET38" s="1972"/>
      <c r="EU38" s="1972"/>
      <c r="EW38" s="1972"/>
      <c r="EX38" s="1972"/>
      <c r="EY38" s="1972"/>
      <c r="EZ38" s="1972"/>
      <c r="FA38" s="1972"/>
      <c r="FB38" s="1972"/>
      <c r="FC38" s="1972"/>
      <c r="FD38" s="1972"/>
      <c r="FE38" s="1972"/>
      <c r="FG38" s="1972"/>
      <c r="FH38" s="1972"/>
      <c r="FI38" s="1972"/>
      <c r="FJ38" s="1972"/>
      <c r="FK38" s="1972"/>
      <c r="FL38" s="1972"/>
      <c r="FM38" s="1972"/>
      <c r="FN38" s="1972"/>
      <c r="FO38" s="1972"/>
    </row>
    <row r="39" spans="1:171" ht="14.4">
      <c r="A39"/>
      <c r="B39"/>
      <c r="C39"/>
      <c r="D39"/>
      <c r="E39"/>
      <c r="F39"/>
      <c r="G39"/>
      <c r="H39"/>
      <c r="I39"/>
      <c r="J39"/>
      <c r="K39"/>
      <c r="L39"/>
      <c r="M39"/>
      <c r="N39"/>
      <c r="O39"/>
      <c r="P39"/>
      <c r="Q39"/>
      <c r="R39"/>
      <c r="S39"/>
      <c r="T39"/>
      <c r="U39"/>
      <c r="V39"/>
      <c r="W39"/>
      <c r="X39"/>
      <c r="Y39"/>
      <c r="Z39"/>
      <c r="AA39"/>
      <c r="AB39"/>
      <c r="AC39"/>
      <c r="AD39"/>
      <c r="AE39"/>
      <c r="AF39"/>
      <c r="AG39"/>
      <c r="AH39"/>
      <c r="AI39"/>
      <c r="AJ39"/>
      <c r="AK39"/>
      <c r="CE39" s="2014"/>
      <c r="CF39" s="2015"/>
      <c r="CG39" s="2000"/>
      <c r="CH39" s="2000"/>
      <c r="CI39" s="1015" t="s">
        <v>1047</v>
      </c>
      <c r="CJ39" s="1031" t="s">
        <v>1048</v>
      </c>
      <c r="CK39" s="1032" t="s">
        <v>1029</v>
      </c>
      <c r="CL39" s="1032" t="s">
        <v>1030</v>
      </c>
      <c r="CM39" s="1025"/>
      <c r="CN39" s="1025"/>
      <c r="CO39" s="2021"/>
      <c r="CP39" s="1025"/>
      <c r="CQ39" s="1975" t="s">
        <v>1020</v>
      </c>
      <c r="CR39" s="1975"/>
      <c r="CT39" s="466" t="s">
        <v>519</v>
      </c>
      <c r="CU39" s="466" t="s">
        <v>520</v>
      </c>
      <c r="CV39" s="489" t="s">
        <v>513</v>
      </c>
      <c r="CW39" s="489" t="s">
        <v>289</v>
      </c>
      <c r="CX39" s="965" t="s">
        <v>521</v>
      </c>
      <c r="CY39" s="965" t="s">
        <v>522</v>
      </c>
      <c r="CZ39" s="965" t="s">
        <v>289</v>
      </c>
      <c r="DA39" s="1976" t="s">
        <v>523</v>
      </c>
      <c r="DB39" s="1976"/>
      <c r="DC39"/>
      <c r="DD39" s="961" t="s">
        <v>521</v>
      </c>
      <c r="DE39" s="961" t="s">
        <v>522</v>
      </c>
      <c r="DF39" s="961" t="s">
        <v>289</v>
      </c>
      <c r="DG39" s="1976" t="s">
        <v>524</v>
      </c>
      <c r="DH39" s="1976"/>
      <c r="DI39"/>
      <c r="DJ39" s="472" t="s">
        <v>521</v>
      </c>
      <c r="DK39" s="472" t="s">
        <v>525</v>
      </c>
      <c r="DL39" s="472" t="s">
        <v>522</v>
      </c>
      <c r="DM39" s="472" t="s">
        <v>289</v>
      </c>
      <c r="DN39" s="1976" t="s">
        <v>526</v>
      </c>
      <c r="DO39" s="1976"/>
      <c r="DP39"/>
      <c r="DQ39" s="1029" t="s">
        <v>638</v>
      </c>
      <c r="DR39" s="1030" t="s">
        <v>1046</v>
      </c>
      <c r="DS39"/>
      <c r="ED39" s="1971"/>
      <c r="EE39" s="1971"/>
      <c r="EF39" s="1971"/>
      <c r="EG39" s="1971"/>
      <c r="EH39" s="1971"/>
      <c r="EI39" s="1971"/>
      <c r="EJ39" s="1971"/>
      <c r="EK39" s="1971"/>
      <c r="EM39" s="1972"/>
      <c r="EN39" s="1972"/>
      <c r="EO39" s="1972"/>
      <c r="EP39" s="1972"/>
      <c r="EQ39" s="1972"/>
      <c r="ER39" s="1972"/>
      <c r="ES39" s="1972"/>
      <c r="ET39" s="1972"/>
      <c r="EU39" s="1972"/>
      <c r="EW39" s="1972"/>
      <c r="EX39" s="1972"/>
      <c r="EY39" s="1972"/>
      <c r="EZ39" s="1972"/>
      <c r="FA39" s="1972"/>
      <c r="FB39" s="1972"/>
      <c r="FC39" s="1972"/>
      <c r="FD39" s="1972"/>
      <c r="FE39" s="1972"/>
      <c r="FG39" s="1972"/>
      <c r="FH39" s="1972"/>
      <c r="FI39" s="1972"/>
      <c r="FJ39" s="1972"/>
      <c r="FK39" s="1972"/>
      <c r="FL39" s="1972"/>
      <c r="FM39" s="1972"/>
      <c r="FN39" s="1972"/>
      <c r="FO39" s="1972"/>
    </row>
    <row r="40" spans="1:171" ht="15" thickBot="1">
      <c r="A40"/>
      <c r="B40"/>
      <c r="C40"/>
      <c r="D40"/>
      <c r="E40"/>
      <c r="F40"/>
      <c r="G40"/>
      <c r="H40"/>
      <c r="I40"/>
      <c r="J40"/>
      <c r="K40"/>
      <c r="L40"/>
      <c r="M40"/>
      <c r="N40"/>
      <c r="O40"/>
      <c r="P40"/>
      <c r="Q40"/>
      <c r="R40"/>
      <c r="S40"/>
      <c r="T40"/>
      <c r="U40"/>
      <c r="V40"/>
      <c r="W40"/>
      <c r="X40"/>
      <c r="Y40"/>
      <c r="Z40"/>
      <c r="AA40"/>
      <c r="AB40"/>
      <c r="AC40"/>
      <c r="AD40"/>
      <c r="AE40"/>
      <c r="AF40"/>
      <c r="AG40"/>
      <c r="AH40"/>
      <c r="AI40"/>
      <c r="AJ40"/>
      <c r="AK40"/>
      <c r="CE40" s="1930"/>
      <c r="CF40" s="1932"/>
      <c r="CG40" s="464" t="s">
        <v>377</v>
      </c>
      <c r="CH40" s="464" t="s">
        <v>506</v>
      </c>
      <c r="CI40" s="1052" t="s">
        <v>1078</v>
      </c>
      <c r="CJ40" s="1053" t="s">
        <v>1079</v>
      </c>
      <c r="CK40" s="464" t="s">
        <v>581</v>
      </c>
      <c r="CL40" s="489" t="s">
        <v>1080</v>
      </c>
      <c r="CM40" s="1025"/>
      <c r="CN40" s="1025"/>
      <c r="CO40" s="1058" t="s">
        <v>1048</v>
      </c>
      <c r="CP40" s="1025"/>
      <c r="CQ40" s="961" t="s">
        <v>1072</v>
      </c>
      <c r="CR40" s="961" t="s">
        <v>1023</v>
      </c>
      <c r="CS40"/>
      <c r="CT40" s="466" t="s">
        <v>13</v>
      </c>
      <c r="CU40" s="466" t="s">
        <v>13</v>
      </c>
      <c r="CV40" s="489" t="s">
        <v>13</v>
      </c>
      <c r="CW40" s="489" t="s">
        <v>13</v>
      </c>
      <c r="CX40" s="965" t="s">
        <v>531</v>
      </c>
      <c r="CY40" s="965" t="s">
        <v>532</v>
      </c>
      <c r="CZ40" s="965" t="s">
        <v>13</v>
      </c>
      <c r="DA40" s="965" t="s">
        <v>533</v>
      </c>
      <c r="DB40" s="963" t="s">
        <v>534</v>
      </c>
      <c r="DC40"/>
      <c r="DD40" s="961" t="s">
        <v>535</v>
      </c>
      <c r="DE40" s="961" t="s">
        <v>532</v>
      </c>
      <c r="DF40" s="961" t="s">
        <v>13</v>
      </c>
      <c r="DG40" s="489" t="s">
        <v>533</v>
      </c>
      <c r="DH40" s="963" t="s">
        <v>534</v>
      </c>
      <c r="DI40"/>
      <c r="DJ40" s="472" t="s">
        <v>535</v>
      </c>
      <c r="DK40" s="472" t="s">
        <v>13</v>
      </c>
      <c r="DL40" s="472" t="s">
        <v>532</v>
      </c>
      <c r="DM40" s="472" t="s">
        <v>13</v>
      </c>
      <c r="DN40" s="472" t="s">
        <v>533</v>
      </c>
      <c r="DO40" s="963" t="s">
        <v>534</v>
      </c>
      <c r="DP40"/>
      <c r="DQ40" s="1035" t="s">
        <v>12</v>
      </c>
      <c r="DR40" s="1036" t="s">
        <v>1049</v>
      </c>
      <c r="DS40"/>
      <c r="ED40" s="1971"/>
      <c r="EE40" s="1971"/>
      <c r="EF40" s="1971"/>
      <c r="EG40" s="1971"/>
      <c r="EH40" s="1971"/>
      <c r="EI40" s="1971"/>
      <c r="EJ40" s="1971"/>
      <c r="EK40" s="1971"/>
      <c r="EM40" s="1972"/>
      <c r="EN40" s="1972"/>
      <c r="EO40" s="1972"/>
      <c r="EP40" s="1972"/>
      <c r="EQ40" s="1972"/>
      <c r="ER40" s="1972"/>
      <c r="ES40" s="1972"/>
      <c r="ET40" s="1972"/>
      <c r="EU40" s="1972"/>
      <c r="EW40" s="1972"/>
      <c r="EX40" s="1972"/>
      <c r="EY40" s="1972"/>
      <c r="EZ40" s="1972"/>
      <c r="FA40" s="1972"/>
      <c r="FB40" s="1972"/>
      <c r="FC40" s="1972"/>
      <c r="FD40" s="1972"/>
      <c r="FE40" s="1972"/>
      <c r="FG40" s="1972"/>
      <c r="FH40" s="1972"/>
      <c r="FI40" s="1972"/>
      <c r="FJ40" s="1972"/>
      <c r="FK40" s="1972"/>
      <c r="FL40" s="1972"/>
      <c r="FM40" s="1972"/>
      <c r="FN40" s="1972"/>
      <c r="FO40" s="1972"/>
    </row>
    <row r="41" spans="1:171" ht="16.2" thickBot="1">
      <c r="A41"/>
      <c r="B41"/>
      <c r="C41"/>
      <c r="D41"/>
      <c r="E41"/>
      <c r="F41"/>
      <c r="G41"/>
      <c r="H41"/>
      <c r="I41"/>
      <c r="J41"/>
      <c r="K41"/>
      <c r="L41"/>
      <c r="M41"/>
      <c r="N41"/>
      <c r="O41"/>
      <c r="P41"/>
      <c r="Q41"/>
      <c r="R41"/>
      <c r="S41"/>
      <c r="T41"/>
      <c r="U41"/>
      <c r="V41"/>
      <c r="W41"/>
      <c r="X41"/>
      <c r="Y41"/>
      <c r="Z41"/>
      <c r="AA41"/>
      <c r="AB41"/>
      <c r="AC41"/>
      <c r="AD41"/>
      <c r="AE41"/>
      <c r="AF41"/>
      <c r="AG41"/>
      <c r="AH41"/>
      <c r="AI41"/>
      <c r="AJ41"/>
      <c r="AK41"/>
      <c r="CE41" s="2005" t="s">
        <v>1024</v>
      </c>
      <c r="CF41" s="2006"/>
      <c r="CG41" s="1022">
        <f t="shared" ref="CG41:CL41" si="2">D9</f>
        <v>0</v>
      </c>
      <c r="CH41" s="1022">
        <f t="shared" si="2"/>
        <v>0</v>
      </c>
      <c r="CI41" s="1022">
        <f t="shared" si="2"/>
        <v>0</v>
      </c>
      <c r="CJ41" s="1022">
        <f t="shared" si="2"/>
        <v>0</v>
      </c>
      <c r="CK41" s="1022">
        <f t="shared" si="2"/>
        <v>0</v>
      </c>
      <c r="CL41" s="1022">
        <f t="shared" si="2"/>
        <v>0</v>
      </c>
      <c r="CM41" s="1059"/>
      <c r="CN41" s="1060"/>
      <c r="CO41" s="1054">
        <v>5</v>
      </c>
      <c r="CP41" s="1025"/>
      <c r="CQ41" s="1045">
        <f>DB41+DH41+DO41</f>
        <v>-3.0771969826142473E-4</v>
      </c>
      <c r="CR41" s="419" t="e">
        <f>CQ41/CU41</f>
        <v>#DIV/0!</v>
      </c>
      <c r="CS41"/>
      <c r="CT41" s="475">
        <f>CH41</f>
        <v>0</v>
      </c>
      <c r="CU41" s="476">
        <f>CG41</f>
        <v>0</v>
      </c>
      <c r="CV41" s="477">
        <f>CT41-1</f>
        <v>-1</v>
      </c>
      <c r="CW41" s="477">
        <f>CU41-1</f>
        <v>-1</v>
      </c>
      <c r="CX41" s="478">
        <f>CI41</f>
        <v>0</v>
      </c>
      <c r="CY41" s="479">
        <f>(PI()*CJ41/8*CJ41/8)/(4*144)</f>
        <v>0</v>
      </c>
      <c r="CZ41" s="480">
        <f>CW41</f>
        <v>-1</v>
      </c>
      <c r="DA41" s="479">
        <f>CX41*CY41*CZ41</f>
        <v>0</v>
      </c>
      <c r="DB41" s="481">
        <f>DA41/27</f>
        <v>0</v>
      </c>
      <c r="DC41"/>
      <c r="DD41" s="482">
        <f>7+CK41+ROUNDUP(CW41-2-(CK41*CL41/12),0)</f>
        <v>4</v>
      </c>
      <c r="DE41" s="483">
        <f>(PI()*CO41/8*CO41/8)/(4*144)</f>
        <v>2.1305288720633907E-3</v>
      </c>
      <c r="DF41" s="484">
        <f>PI()*CV41+26/12</f>
        <v>-0.9749259869231266</v>
      </c>
      <c r="DG41" s="485">
        <f>DD41*DE41*DF41</f>
        <v>-8.3084318530584674E-3</v>
      </c>
      <c r="DH41" s="481">
        <f>DG41/27</f>
        <v>-3.0771969826142473E-4</v>
      </c>
      <c r="DI41"/>
      <c r="DJ41" s="486">
        <f>IF(CT41&lt;4,4,ROUNDUP(CT41,0))</f>
        <v>4</v>
      </c>
      <c r="DK41" s="487">
        <f>1.9/12</f>
        <v>0.15833333333333333</v>
      </c>
      <c r="DL41" s="487">
        <f>PI()*DK41*DK41/4</f>
        <v>1.968949562406103E-2</v>
      </c>
      <c r="DM41" s="487">
        <f>CU41</f>
        <v>0</v>
      </c>
      <c r="DN41" s="488">
        <f>DJ41*DL41*DM41</f>
        <v>0</v>
      </c>
      <c r="DO41" s="481">
        <f>DN41/27</f>
        <v>0</v>
      </c>
      <c r="DP41"/>
      <c r="DQ41" s="966">
        <f>PI()*CH41*CH41*CG41/108</f>
        <v>0</v>
      </c>
      <c r="DR41" s="966" t="e">
        <f>CQ41/DQ41</f>
        <v>#DIV/0!</v>
      </c>
      <c r="DS41"/>
      <c r="ED41" s="1971"/>
      <c r="EE41" s="1971"/>
      <c r="EF41" s="1971"/>
      <c r="EG41" s="1971"/>
      <c r="EH41" s="1971"/>
      <c r="EI41" s="1971"/>
      <c r="EJ41" s="1971"/>
      <c r="EK41" s="1971"/>
      <c r="EM41" s="1972"/>
      <c r="EN41" s="1972"/>
      <c r="EO41" s="1972"/>
      <c r="EP41" s="1972"/>
      <c r="EQ41" s="1972"/>
      <c r="ER41" s="1972"/>
      <c r="ES41" s="1972"/>
      <c r="ET41" s="1972"/>
      <c r="EU41" s="1972"/>
      <c r="EW41" s="1972"/>
      <c r="EX41" s="1972"/>
      <c r="EY41" s="1972"/>
      <c r="EZ41" s="1972"/>
      <c r="FA41" s="1972"/>
      <c r="FB41" s="1972"/>
      <c r="FC41" s="1972"/>
      <c r="FD41" s="1972"/>
      <c r="FE41" s="1972"/>
      <c r="FG41" s="1972"/>
      <c r="FH41" s="1972"/>
      <c r="FI41" s="1972"/>
      <c r="FJ41" s="1972"/>
      <c r="FK41" s="1972"/>
      <c r="FL41" s="1972"/>
      <c r="FM41" s="1972"/>
      <c r="FN41" s="1972"/>
      <c r="FO41" s="1972"/>
    </row>
    <row r="42" spans="1:171" ht="14.4">
      <c r="A42"/>
      <c r="B42"/>
      <c r="C42"/>
      <c r="D42"/>
      <c r="E42"/>
      <c r="F42"/>
      <c r="G42"/>
      <c r="H42"/>
      <c r="I42"/>
      <c r="J42"/>
      <c r="K42"/>
      <c r="L42"/>
      <c r="M42"/>
      <c r="N42"/>
      <c r="O42"/>
      <c r="P42"/>
      <c r="Q42"/>
      <c r="R42"/>
      <c r="S42"/>
      <c r="T42"/>
      <c r="U42"/>
      <c r="V42"/>
      <c r="W42"/>
      <c r="X42"/>
      <c r="Y42"/>
      <c r="Z42"/>
      <c r="AA42"/>
      <c r="AB42"/>
      <c r="AC42"/>
      <c r="AD42"/>
      <c r="AE42"/>
      <c r="AF42"/>
      <c r="AG42"/>
      <c r="AH42"/>
      <c r="AI42"/>
      <c r="AJ42"/>
      <c r="AK42"/>
      <c r="CE42" s="1046"/>
      <c r="CF42" s="1046"/>
      <c r="CG42" s="1046"/>
      <c r="CH42" s="1046"/>
      <c r="CI42" s="1046"/>
      <c r="CJ42" s="1046"/>
      <c r="CK42"/>
      <c r="CL42"/>
      <c r="CM42"/>
      <c r="CN42"/>
      <c r="CO42" s="1046"/>
      <c r="CP42" s="1025"/>
      <c r="CQ42"/>
      <c r="CR42"/>
      <c r="CS42"/>
      <c r="CT42"/>
      <c r="CU42"/>
      <c r="CV42"/>
      <c r="CW42"/>
      <c r="CX42"/>
      <c r="CY42"/>
      <c r="CZ42"/>
      <c r="DA42"/>
      <c r="DB42"/>
      <c r="DC42"/>
      <c r="DD42"/>
      <c r="DE42"/>
      <c r="DF42"/>
      <c r="DG42"/>
      <c r="DH42"/>
      <c r="DI42"/>
      <c r="DJ42"/>
      <c r="DK42"/>
      <c r="DL42"/>
      <c r="DM42"/>
      <c r="DN42"/>
      <c r="DO42"/>
      <c r="DP42"/>
      <c r="DQ42"/>
      <c r="DR42"/>
      <c r="DS42"/>
      <c r="ED42" s="1971"/>
      <c r="EE42" s="1971"/>
      <c r="EF42" s="1971"/>
      <c r="EG42" s="1971"/>
      <c r="EH42" s="1971"/>
      <c r="EI42" s="1971"/>
      <c r="EJ42" s="1971"/>
      <c r="EK42" s="1971"/>
      <c r="EM42" s="1972"/>
      <c r="EN42" s="1972"/>
      <c r="EO42" s="1972"/>
      <c r="EP42" s="1972"/>
      <c r="EQ42" s="1972"/>
      <c r="ER42" s="1972"/>
      <c r="ES42" s="1972"/>
      <c r="ET42" s="1972"/>
      <c r="EU42" s="1972"/>
      <c r="EW42" s="1972"/>
      <c r="EX42" s="1972"/>
      <c r="EY42" s="1972"/>
      <c r="EZ42" s="1972"/>
      <c r="FA42" s="1972"/>
      <c r="FB42" s="1972"/>
      <c r="FC42" s="1972"/>
      <c r="FD42" s="1972"/>
      <c r="FE42" s="1972"/>
      <c r="FG42" s="1972"/>
      <c r="FH42" s="1972"/>
      <c r="FI42" s="1972"/>
      <c r="FJ42" s="1972"/>
      <c r="FK42" s="1972"/>
      <c r="FL42" s="1972"/>
      <c r="FM42" s="1972"/>
      <c r="FN42" s="1972"/>
      <c r="FO42" s="1972"/>
    </row>
    <row r="43" spans="1:171" ht="14.4">
      <c r="A43"/>
      <c r="B43"/>
      <c r="C43"/>
      <c r="D43"/>
      <c r="E43"/>
      <c r="F43"/>
      <c r="G43"/>
      <c r="H43"/>
      <c r="I43"/>
      <c r="J43"/>
      <c r="K43"/>
      <c r="L43"/>
      <c r="M43"/>
      <c r="N43"/>
      <c r="O43"/>
      <c r="P43"/>
      <c r="V43"/>
      <c r="W43"/>
      <c r="X43"/>
      <c r="Y43"/>
      <c r="Z43"/>
      <c r="AA43"/>
      <c r="AB43"/>
      <c r="AC43"/>
      <c r="AD43"/>
      <c r="AE43"/>
      <c r="AF43"/>
      <c r="AG43"/>
      <c r="AH43"/>
      <c r="AI43"/>
      <c r="AJ43"/>
      <c r="AK43"/>
      <c r="CE43" s="1025"/>
      <c r="CF43" s="1025"/>
      <c r="CG43" s="1025"/>
      <c r="CH43" s="1025"/>
      <c r="CI43" s="1025"/>
      <c r="CJ43" s="1025"/>
      <c r="CK43" s="1025"/>
      <c r="CL43" s="1025"/>
      <c r="CM43" s="1025"/>
      <c r="CN43" s="1025"/>
      <c r="CO43" s="1025"/>
      <c r="CP43" s="1025"/>
      <c r="CQ43"/>
      <c r="CR43"/>
      <c r="CS43"/>
      <c r="CT43"/>
      <c r="CU43"/>
      <c r="CV43"/>
      <c r="CW43"/>
      <c r="CX43"/>
      <c r="CY43"/>
      <c r="CZ43"/>
      <c r="DA43"/>
      <c r="DB43"/>
      <c r="DC43"/>
      <c r="DD43"/>
      <c r="DE43"/>
      <c r="DF43"/>
      <c r="DG43"/>
      <c r="DH43"/>
      <c r="DI43"/>
      <c r="DJ43"/>
      <c r="DK43"/>
      <c r="DL43"/>
      <c r="DM43"/>
      <c r="DN43"/>
      <c r="DO43"/>
      <c r="DP43"/>
      <c r="DQ43"/>
      <c r="DR43"/>
      <c r="DS43"/>
      <c r="ED43" s="1971"/>
      <c r="EE43" s="1971"/>
      <c r="EF43" s="1971"/>
      <c r="EG43" s="1971"/>
      <c r="EH43" s="1971"/>
      <c r="EI43" s="1971"/>
      <c r="EJ43" s="1971"/>
      <c r="EK43" s="1971"/>
      <c r="EM43" s="1972"/>
      <c r="EN43" s="1972"/>
      <c r="EO43" s="1972"/>
      <c r="EP43" s="1972"/>
      <c r="EQ43" s="1972"/>
      <c r="ER43" s="1972"/>
      <c r="ES43" s="1972"/>
      <c r="ET43" s="1972"/>
      <c r="EU43" s="1972"/>
      <c r="EW43" s="1972"/>
      <c r="EX43" s="1972"/>
      <c r="EY43" s="1972"/>
      <c r="EZ43" s="1972"/>
      <c r="FA43" s="1972"/>
      <c r="FB43" s="1972"/>
      <c r="FC43" s="1972"/>
      <c r="FD43" s="1972"/>
      <c r="FE43" s="1972"/>
      <c r="FG43" s="1972"/>
      <c r="FH43" s="1972"/>
      <c r="FI43" s="1972"/>
      <c r="FJ43" s="1972"/>
      <c r="FK43" s="1972"/>
      <c r="FL43" s="1972"/>
      <c r="FM43" s="1972"/>
      <c r="FN43" s="1972"/>
      <c r="FO43" s="1972"/>
    </row>
    <row r="44" spans="1:171" ht="14.4">
      <c r="A44"/>
      <c r="B44"/>
      <c r="C44"/>
      <c r="D44"/>
      <c r="E44"/>
      <c r="F44"/>
      <c r="G44"/>
      <c r="H44"/>
      <c r="I44"/>
      <c r="J44"/>
      <c r="K44"/>
      <c r="L44"/>
      <c r="M44"/>
      <c r="N44"/>
      <c r="O44"/>
      <c r="P44"/>
      <c r="V44"/>
      <c r="W44"/>
      <c r="X44"/>
      <c r="Y44"/>
      <c r="Z44"/>
      <c r="AA44"/>
      <c r="AB44"/>
      <c r="AC44"/>
      <c r="AD44"/>
      <c r="AE44"/>
      <c r="AF44"/>
      <c r="AG44"/>
      <c r="AH44"/>
      <c r="AI44"/>
      <c r="AJ44"/>
      <c r="AK44"/>
      <c r="CE44" s="1025"/>
      <c r="CF44" s="1025"/>
      <c r="CG44" s="1025"/>
      <c r="CH44" s="1025"/>
      <c r="CI44" s="1025"/>
      <c r="CJ44" s="1025"/>
      <c r="CK44" s="1025"/>
      <c r="CL44" s="1025"/>
      <c r="CM44" s="1025"/>
      <c r="CN44" s="1025"/>
      <c r="CO44" s="1025"/>
      <c r="CP44" s="1025"/>
      <c r="CQ44"/>
      <c r="CR44"/>
      <c r="CS44"/>
      <c r="CT44"/>
      <c r="CU44"/>
      <c r="CV44"/>
      <c r="CW44"/>
      <c r="CX44"/>
      <c r="CY44"/>
      <c r="CZ44"/>
      <c r="DA44"/>
      <c r="DB44"/>
      <c r="DC44"/>
      <c r="DD44"/>
      <c r="DE44"/>
      <c r="DF44"/>
      <c r="DG44"/>
      <c r="DH44"/>
      <c r="DI44"/>
      <c r="DJ44"/>
      <c r="DK44"/>
      <c r="DL44"/>
      <c r="DM44"/>
      <c r="DN44"/>
      <c r="DO44"/>
      <c r="DP44"/>
      <c r="DQ44"/>
      <c r="DR44"/>
      <c r="DS44"/>
      <c r="ED44" s="1971"/>
      <c r="EE44" s="1971"/>
      <c r="EF44" s="1971"/>
      <c r="EG44" s="1971"/>
      <c r="EH44" s="1971"/>
      <c r="EI44" s="1971"/>
      <c r="EJ44" s="1971"/>
      <c r="EK44" s="1971"/>
      <c r="EM44" s="1972"/>
      <c r="EN44" s="1972"/>
      <c r="EO44" s="1972"/>
      <c r="EP44" s="1972"/>
      <c r="EQ44" s="1972"/>
      <c r="ER44" s="1972"/>
      <c r="ES44" s="1972"/>
      <c r="ET44" s="1972"/>
      <c r="EU44" s="1972"/>
      <c r="EW44" s="1972"/>
      <c r="EX44" s="1972"/>
      <c r="EY44" s="1972"/>
      <c r="EZ44" s="1972"/>
      <c r="FA44" s="1972"/>
      <c r="FB44" s="1972"/>
      <c r="FC44" s="1972"/>
      <c r="FD44" s="1972"/>
      <c r="FE44" s="1972"/>
      <c r="FG44" s="1972"/>
      <c r="FH44" s="1972"/>
      <c r="FI44" s="1972"/>
      <c r="FJ44" s="1972"/>
      <c r="FK44" s="1972"/>
      <c r="FL44" s="1972"/>
      <c r="FM44" s="1972"/>
      <c r="FN44" s="1972"/>
      <c r="FO44" s="1972"/>
    </row>
    <row r="45" spans="1:171" ht="14.4">
      <c r="A45"/>
      <c r="B45"/>
      <c r="C45"/>
      <c r="D45"/>
      <c r="E45"/>
      <c r="F45"/>
      <c r="G45"/>
      <c r="H45"/>
      <c r="I45"/>
      <c r="J45"/>
      <c r="K45"/>
      <c r="L45"/>
      <c r="M45"/>
      <c r="N45"/>
      <c r="O45"/>
      <c r="P45"/>
      <c r="V45"/>
      <c r="W45"/>
      <c r="X45"/>
      <c r="Y45"/>
      <c r="Z45"/>
      <c r="AA45"/>
      <c r="AB45"/>
      <c r="AC45"/>
      <c r="AD45"/>
      <c r="AE45"/>
      <c r="AF45"/>
      <c r="AG45"/>
      <c r="AH45"/>
      <c r="AI45"/>
      <c r="AJ45"/>
      <c r="AK45"/>
      <c r="CE45" s="1025"/>
      <c r="CF45" s="1025"/>
      <c r="CG45" s="1025"/>
      <c r="CH45" s="1025"/>
      <c r="CI45" s="1025"/>
      <c r="CJ45" s="1025"/>
      <c r="CK45" s="1025"/>
      <c r="CL45" s="1025"/>
      <c r="CM45" s="1025"/>
      <c r="CN45" s="1025"/>
      <c r="CO45" s="1025"/>
      <c r="CP45" s="1025"/>
      <c r="CQ45"/>
      <c r="CR45"/>
      <c r="CS45"/>
      <c r="CT45"/>
      <c r="CU45"/>
      <c r="CV45"/>
      <c r="CW45"/>
      <c r="CX45"/>
      <c r="CY45"/>
      <c r="CZ45"/>
      <c r="DA45"/>
      <c r="DB45"/>
      <c r="DC45"/>
      <c r="DD45"/>
      <c r="DE45"/>
      <c r="DF45"/>
      <c r="DG45"/>
      <c r="DH45"/>
      <c r="DI45"/>
      <c r="DJ45"/>
      <c r="DK45"/>
      <c r="DL45"/>
      <c r="DM45"/>
      <c r="DN45"/>
      <c r="DO45"/>
      <c r="DP45"/>
      <c r="DQ45"/>
      <c r="DR45"/>
      <c r="DS45"/>
      <c r="ED45" s="1971"/>
      <c r="EE45" s="1971"/>
      <c r="EF45" s="1971"/>
      <c r="EG45" s="1971"/>
      <c r="EH45" s="1971"/>
      <c r="EI45" s="1971"/>
      <c r="EJ45" s="1971"/>
      <c r="EK45" s="1971"/>
      <c r="EM45" s="1972"/>
      <c r="EN45" s="1972"/>
      <c r="EO45" s="1972"/>
      <c r="EP45" s="1972"/>
      <c r="EQ45" s="1972"/>
      <c r="ER45" s="1972"/>
      <c r="ES45" s="1972"/>
      <c r="ET45" s="1972"/>
      <c r="EU45" s="1972"/>
      <c r="EW45" s="1972"/>
      <c r="EX45" s="1972"/>
      <c r="EY45" s="1972"/>
      <c r="EZ45" s="1972"/>
      <c r="FA45" s="1972"/>
      <c r="FB45" s="1972"/>
      <c r="FC45" s="1972"/>
      <c r="FD45" s="1972"/>
      <c r="FE45" s="1972"/>
      <c r="FG45" s="1972"/>
      <c r="FH45" s="1972"/>
      <c r="FI45" s="1972"/>
      <c r="FJ45" s="1972"/>
      <c r="FK45" s="1972"/>
      <c r="FL45" s="1972"/>
      <c r="FM45" s="1972"/>
      <c r="FN45" s="1972"/>
      <c r="FO45" s="1972"/>
    </row>
    <row r="46" spans="1:171" ht="14.4">
      <c r="A46"/>
      <c r="B46"/>
      <c r="C46"/>
      <c r="D46"/>
      <c r="E46"/>
      <c r="F46"/>
      <c r="G46"/>
      <c r="H46"/>
      <c r="I46"/>
      <c r="J46"/>
      <c r="K46"/>
      <c r="L46"/>
      <c r="M46"/>
      <c r="N46"/>
      <c r="O46"/>
      <c r="P46"/>
      <c r="V46"/>
      <c r="W46"/>
      <c r="X46"/>
      <c r="Y46"/>
      <c r="Z46"/>
      <c r="AA46"/>
      <c r="AB46"/>
      <c r="AC46"/>
      <c r="AD46"/>
      <c r="AE46"/>
      <c r="AF46"/>
      <c r="AG46"/>
      <c r="AH46"/>
      <c r="AI46"/>
      <c r="AJ46"/>
      <c r="AK46"/>
      <c r="CE46" s="1964" t="s">
        <v>1081</v>
      </c>
      <c r="CF46" s="1965"/>
      <c r="CG46" s="1968" t="s">
        <v>69</v>
      </c>
      <c r="CH46" s="1920"/>
      <c r="CI46" s="2027" t="s">
        <v>549</v>
      </c>
      <c r="CJ46" s="1992"/>
      <c r="CK46" s="1925" t="s">
        <v>550</v>
      </c>
      <c r="CL46" s="1926"/>
      <c r="CM46" s="1926"/>
      <c r="CN46" s="1926"/>
      <c r="CO46" s="1927"/>
      <c r="CP46" s="1025"/>
      <c r="CQ46"/>
      <c r="CR46"/>
      <c r="CS46"/>
      <c r="CT46"/>
      <c r="CU46"/>
      <c r="CV46"/>
      <c r="CW46"/>
      <c r="CX46"/>
      <c r="CY46"/>
      <c r="CZ46"/>
      <c r="DA46"/>
      <c r="DB46"/>
      <c r="DC46"/>
      <c r="DD46"/>
      <c r="DE46"/>
      <c r="DF46"/>
      <c r="DG46"/>
      <c r="DH46"/>
      <c r="DI46"/>
      <c r="DJ46"/>
      <c r="DK46"/>
      <c r="DL46"/>
      <c r="DM46"/>
      <c r="DN46"/>
      <c r="DO46"/>
      <c r="DP46"/>
      <c r="DQ46"/>
      <c r="DR46"/>
      <c r="DS46"/>
      <c r="ED46" s="1971"/>
      <c r="EE46" s="1971"/>
      <c r="EF46" s="1971"/>
      <c r="EG46" s="1971"/>
      <c r="EH46" s="1971"/>
      <c r="EI46" s="1971"/>
      <c r="EJ46" s="1971"/>
      <c r="EK46" s="1971"/>
      <c r="EM46" s="1972"/>
      <c r="EN46" s="1972"/>
      <c r="EO46" s="1972"/>
      <c r="EP46" s="1972"/>
      <c r="EQ46" s="1972"/>
      <c r="ER46" s="1972"/>
      <c r="ES46" s="1972"/>
      <c r="ET46" s="1972"/>
      <c r="EU46" s="1972"/>
      <c r="EW46" s="1972"/>
      <c r="EX46" s="1972"/>
      <c r="EY46" s="1972"/>
      <c r="EZ46" s="1972"/>
      <c r="FA46" s="1972"/>
      <c r="FB46" s="1972"/>
      <c r="FC46" s="1972"/>
      <c r="FD46" s="1972"/>
      <c r="FE46" s="1972"/>
      <c r="FG46" s="1972"/>
      <c r="FH46" s="1972"/>
      <c r="FI46" s="1972"/>
      <c r="FJ46" s="1972"/>
      <c r="FK46" s="1972"/>
      <c r="FL46" s="1972"/>
      <c r="FM46" s="1972"/>
      <c r="FN46" s="1972"/>
      <c r="FO46" s="1972"/>
    </row>
    <row r="47" spans="1:171" ht="14.4">
      <c r="A47"/>
      <c r="B47"/>
      <c r="C47"/>
      <c r="D47"/>
      <c r="E47"/>
      <c r="F47"/>
      <c r="G47"/>
      <c r="H47"/>
      <c r="I47"/>
      <c r="J47"/>
      <c r="K47"/>
      <c r="L47"/>
      <c r="M47"/>
      <c r="N47"/>
      <c r="O47"/>
      <c r="P47"/>
      <c r="V47"/>
      <c r="W47"/>
      <c r="X47"/>
      <c r="Y47"/>
      <c r="Z47"/>
      <c r="AA47"/>
      <c r="AB47"/>
      <c r="AC47"/>
      <c r="AD47"/>
      <c r="AE47"/>
      <c r="AF47"/>
      <c r="AG47"/>
      <c r="AH47"/>
      <c r="AI47"/>
      <c r="AJ47"/>
      <c r="AK47"/>
      <c r="CE47" s="1966"/>
      <c r="CF47" s="1967"/>
      <c r="CG47" s="1969"/>
      <c r="CH47" s="1922"/>
      <c r="CI47" s="2027" t="s">
        <v>1082</v>
      </c>
      <c r="CJ47" s="1992"/>
      <c r="CK47" s="1930" t="s">
        <v>1033</v>
      </c>
      <c r="CL47" s="1931"/>
      <c r="CM47" s="1931"/>
      <c r="CN47" s="1931"/>
      <c r="CO47" s="1932"/>
      <c r="CP47" s="1025"/>
      <c r="CQ47"/>
      <c r="CR47"/>
      <c r="CS47"/>
      <c r="CT47"/>
      <c r="CU47"/>
      <c r="CV47"/>
      <c r="CW47"/>
      <c r="CX47"/>
      <c r="CY47"/>
      <c r="CZ47"/>
      <c r="DA47"/>
      <c r="DB47"/>
      <c r="DC47"/>
      <c r="DD47"/>
      <c r="DE47"/>
      <c r="DF47"/>
      <c r="DG47"/>
      <c r="DH47"/>
      <c r="DI47"/>
      <c r="DJ47"/>
      <c r="DK47"/>
      <c r="DL47"/>
      <c r="DM47"/>
      <c r="DN47"/>
      <c r="DO47"/>
      <c r="DP47"/>
      <c r="DQ47"/>
      <c r="DR47"/>
      <c r="DS47"/>
      <c r="EM47" s="1972"/>
      <c r="EN47" s="1972"/>
      <c r="EO47" s="1972"/>
      <c r="EP47" s="1972"/>
      <c r="EQ47" s="1972"/>
      <c r="ER47" s="1972"/>
      <c r="ES47" s="1972"/>
      <c r="ET47" s="1972"/>
      <c r="EU47" s="1972"/>
      <c r="EW47" s="1972"/>
      <c r="EX47" s="1972"/>
      <c r="EY47" s="1972"/>
      <c r="EZ47" s="1972"/>
      <c r="FA47" s="1972"/>
      <c r="FB47" s="1972"/>
      <c r="FC47" s="1972"/>
      <c r="FD47" s="1972"/>
      <c r="FE47" s="1972"/>
      <c r="FG47" s="1972"/>
      <c r="FH47" s="1972"/>
      <c r="FI47" s="1972"/>
      <c r="FJ47" s="1972"/>
      <c r="FK47" s="1972"/>
      <c r="FL47" s="1972"/>
      <c r="FM47" s="1972"/>
      <c r="FN47" s="1972"/>
      <c r="FO47" s="1972"/>
    </row>
    <row r="48" spans="1:171" ht="14.4">
      <c r="A48"/>
      <c r="B48"/>
      <c r="C48"/>
      <c r="D48"/>
      <c r="E48"/>
      <c r="F48"/>
      <c r="G48"/>
      <c r="H48"/>
      <c r="I48"/>
      <c r="J48"/>
      <c r="K48"/>
      <c r="L48"/>
      <c r="M48"/>
      <c r="N48"/>
      <c r="O48"/>
      <c r="P48"/>
      <c r="V48"/>
      <c r="W48"/>
      <c r="X48"/>
      <c r="Y48"/>
      <c r="Z48"/>
      <c r="AA48"/>
      <c r="AB48"/>
      <c r="AC48"/>
      <c r="AD48"/>
      <c r="AE48"/>
      <c r="AF48"/>
      <c r="AG48"/>
      <c r="AH48"/>
      <c r="AI48"/>
      <c r="AJ48"/>
      <c r="AK48"/>
      <c r="CE48" s="2012" t="s">
        <v>1075</v>
      </c>
      <c r="CF48" s="2013"/>
      <c r="CG48" s="1999" t="s">
        <v>288</v>
      </c>
      <c r="CH48" s="1999" t="s">
        <v>495</v>
      </c>
      <c r="CI48" s="1013" t="s">
        <v>1017</v>
      </c>
      <c r="CJ48" s="1049" t="s">
        <v>1037</v>
      </c>
      <c r="CK48" s="2028" t="s">
        <v>1064</v>
      </c>
      <c r="CL48" s="2029"/>
      <c r="CM48" s="1025"/>
      <c r="CN48" s="1025"/>
      <c r="CO48" s="2020" t="s">
        <v>1040</v>
      </c>
      <c r="CP48" s="1025"/>
      <c r="CQ48" s="1977" t="s">
        <v>435</v>
      </c>
      <c r="CR48" s="1977"/>
      <c r="CS48"/>
      <c r="CT48" s="1978" t="s">
        <v>69</v>
      </c>
      <c r="CU48" s="1978"/>
      <c r="CV48" s="1979" t="s">
        <v>502</v>
      </c>
      <c r="CW48" s="1979"/>
      <c r="CX48" s="1980" t="s">
        <v>1083</v>
      </c>
      <c r="CY48" s="1980"/>
      <c r="CZ48" s="1980"/>
      <c r="DA48" s="1980"/>
      <c r="DB48" s="1980"/>
      <c r="DC48"/>
      <c r="DD48" s="1981" t="s">
        <v>577</v>
      </c>
      <c r="DE48" s="1981"/>
      <c r="DF48" s="1981"/>
      <c r="DG48" s="1981"/>
      <c r="DH48" s="1981"/>
      <c r="DI48"/>
      <c r="DJ48" s="1982" t="s">
        <v>505</v>
      </c>
      <c r="DK48" s="1982"/>
      <c r="DL48" s="1982"/>
      <c r="DM48" s="1982"/>
      <c r="DN48" s="1982"/>
      <c r="DO48" s="1982"/>
      <c r="DP48"/>
      <c r="DQ48" s="1027" t="s">
        <v>69</v>
      </c>
      <c r="DR48" s="1028" t="s">
        <v>1035</v>
      </c>
      <c r="DS48"/>
      <c r="EM48" s="1972"/>
      <c r="EN48" s="1972"/>
      <c r="EO48" s="1972"/>
      <c r="EP48" s="1972"/>
      <c r="EQ48" s="1972"/>
      <c r="ER48" s="1972"/>
      <c r="ES48" s="1972"/>
      <c r="ET48" s="1972"/>
      <c r="EU48" s="1972"/>
      <c r="EW48" s="1972"/>
      <c r="EX48" s="1972"/>
      <c r="EY48" s="1972"/>
      <c r="EZ48" s="1972"/>
      <c r="FA48" s="1972"/>
      <c r="FB48" s="1972"/>
      <c r="FC48" s="1972"/>
      <c r="FD48" s="1972"/>
      <c r="FE48" s="1972"/>
      <c r="FG48" s="1972"/>
      <c r="FH48" s="1972"/>
      <c r="FI48" s="1972"/>
      <c r="FJ48" s="1972"/>
      <c r="FK48" s="1972"/>
      <c r="FL48" s="1972"/>
      <c r="FM48" s="1972"/>
      <c r="FN48" s="1972"/>
      <c r="FO48" s="1972"/>
    </row>
    <row r="49" spans="1:161" ht="14.4">
      <c r="A49"/>
      <c r="B49"/>
      <c r="C49"/>
      <c r="D49"/>
      <c r="E49"/>
      <c r="F49"/>
      <c r="G49"/>
      <c r="H49"/>
      <c r="I49"/>
      <c r="J49"/>
      <c r="K49"/>
      <c r="L49"/>
      <c r="M49"/>
      <c r="N49"/>
      <c r="O49"/>
      <c r="P49"/>
      <c r="V49"/>
      <c r="W49"/>
      <c r="X49"/>
      <c r="Y49"/>
      <c r="Z49"/>
      <c r="AA49"/>
      <c r="AB49"/>
      <c r="AC49"/>
      <c r="AD49"/>
      <c r="AE49"/>
      <c r="AF49"/>
      <c r="AG49"/>
      <c r="AH49"/>
      <c r="AI49"/>
      <c r="AJ49"/>
      <c r="AK49"/>
      <c r="CE49" s="2014"/>
      <c r="CF49" s="2015"/>
      <c r="CG49" s="2000"/>
      <c r="CH49" s="2000"/>
      <c r="CI49" s="1015" t="s">
        <v>1047</v>
      </c>
      <c r="CJ49" s="1031" t="s">
        <v>1048</v>
      </c>
      <c r="CK49" s="1032" t="s">
        <v>1029</v>
      </c>
      <c r="CL49" s="1032" t="s">
        <v>1030</v>
      </c>
      <c r="CM49"/>
      <c r="CN49"/>
      <c r="CO49" s="2021"/>
      <c r="CP49" s="1025"/>
      <c r="CQ49" s="1975" t="s">
        <v>1020</v>
      </c>
      <c r="CR49" s="1975"/>
      <c r="CS49"/>
      <c r="CT49" s="466" t="s">
        <v>519</v>
      </c>
      <c r="CU49" s="466" t="s">
        <v>520</v>
      </c>
      <c r="CV49" s="489" t="s">
        <v>513</v>
      </c>
      <c r="CW49" s="489" t="s">
        <v>289</v>
      </c>
      <c r="CX49" s="965" t="s">
        <v>521</v>
      </c>
      <c r="CY49" s="965" t="s">
        <v>522</v>
      </c>
      <c r="CZ49" s="965" t="s">
        <v>289</v>
      </c>
      <c r="DA49" s="1976" t="s">
        <v>523</v>
      </c>
      <c r="DB49" s="1976"/>
      <c r="DC49"/>
      <c r="DD49" s="961" t="s">
        <v>521</v>
      </c>
      <c r="DE49" s="961" t="s">
        <v>522</v>
      </c>
      <c r="DF49" s="961" t="s">
        <v>289</v>
      </c>
      <c r="DG49" s="1976" t="s">
        <v>524</v>
      </c>
      <c r="DH49" s="1976"/>
      <c r="DI49"/>
      <c r="DJ49" s="472" t="s">
        <v>521</v>
      </c>
      <c r="DK49" s="472" t="s">
        <v>525</v>
      </c>
      <c r="DL49" s="472" t="s">
        <v>522</v>
      </c>
      <c r="DM49" s="472" t="s">
        <v>289</v>
      </c>
      <c r="DN49" s="1976" t="s">
        <v>526</v>
      </c>
      <c r="DO49" s="1976"/>
      <c r="DP49"/>
      <c r="DQ49" s="1029" t="s">
        <v>638</v>
      </c>
      <c r="DR49" s="1030" t="s">
        <v>1046</v>
      </c>
      <c r="DS49"/>
      <c r="EM49" s="1972"/>
      <c r="EN49" s="1972"/>
      <c r="EO49" s="1972"/>
      <c r="EP49" s="1972"/>
      <c r="EQ49" s="1972"/>
      <c r="ER49" s="1972"/>
      <c r="ES49" s="1972"/>
      <c r="ET49" s="1972"/>
      <c r="EU49" s="1972"/>
      <c r="EW49" s="1972"/>
      <c r="EX49" s="1972"/>
      <c r="EY49" s="1972"/>
      <c r="EZ49" s="1972"/>
      <c r="FA49" s="1972"/>
      <c r="FB49" s="1972"/>
      <c r="FC49" s="1972"/>
      <c r="FD49" s="1972"/>
      <c r="FE49" s="1972"/>
    </row>
    <row r="50" spans="1:161" ht="15" thickBot="1">
      <c r="A50"/>
      <c r="B50"/>
      <c r="C50"/>
      <c r="D50"/>
      <c r="E50"/>
      <c r="F50"/>
      <c r="G50"/>
      <c r="H50"/>
      <c r="I50"/>
      <c r="J50"/>
      <c r="K50"/>
      <c r="L50"/>
      <c r="M50"/>
      <c r="N50"/>
      <c r="O50"/>
      <c r="P50"/>
      <c r="V50"/>
      <c r="W50"/>
      <c r="X50"/>
      <c r="Y50"/>
      <c r="Z50"/>
      <c r="AA50"/>
      <c r="AB50"/>
      <c r="AC50"/>
      <c r="AD50"/>
      <c r="AE50"/>
      <c r="AF50"/>
      <c r="AG50"/>
      <c r="AH50"/>
      <c r="AI50"/>
      <c r="AJ50"/>
      <c r="AK50"/>
      <c r="CE50" s="1930"/>
      <c r="CF50" s="1932"/>
      <c r="CG50" s="1037" t="s">
        <v>555</v>
      </c>
      <c r="CH50" s="464" t="s">
        <v>556</v>
      </c>
      <c r="CI50" s="1052" t="s">
        <v>1067</v>
      </c>
      <c r="CJ50" s="1053" t="s">
        <v>1068</v>
      </c>
      <c r="CK50" s="464" t="s">
        <v>559</v>
      </c>
      <c r="CL50" s="489" t="s">
        <v>1069</v>
      </c>
      <c r="CM50" s="1025"/>
      <c r="CN50" s="1025"/>
      <c r="CO50" s="1058" t="s">
        <v>1048</v>
      </c>
      <c r="CP50" s="1025"/>
      <c r="CQ50" s="961" t="s">
        <v>1072</v>
      </c>
      <c r="CR50" s="961" t="s">
        <v>1023</v>
      </c>
      <c r="CS50"/>
      <c r="CT50" s="466" t="s">
        <v>13</v>
      </c>
      <c r="CU50" s="466" t="s">
        <v>13</v>
      </c>
      <c r="CV50" s="489" t="s">
        <v>13</v>
      </c>
      <c r="CW50" s="489" t="s">
        <v>13</v>
      </c>
      <c r="CX50" s="965" t="s">
        <v>531</v>
      </c>
      <c r="CY50" s="965" t="s">
        <v>532</v>
      </c>
      <c r="CZ50" s="965" t="s">
        <v>13</v>
      </c>
      <c r="DA50" s="965" t="s">
        <v>533</v>
      </c>
      <c r="DB50" s="963" t="s">
        <v>534</v>
      </c>
      <c r="DC50"/>
      <c r="DD50" s="961" t="s">
        <v>535</v>
      </c>
      <c r="DE50" s="961" t="s">
        <v>532</v>
      </c>
      <c r="DF50" s="961" t="s">
        <v>13</v>
      </c>
      <c r="DG50" s="489" t="s">
        <v>533</v>
      </c>
      <c r="DH50" s="963" t="s">
        <v>534</v>
      </c>
      <c r="DI50"/>
      <c r="DJ50" s="472" t="s">
        <v>535</v>
      </c>
      <c r="DK50" s="472" t="s">
        <v>13</v>
      </c>
      <c r="DL50" s="472" t="s">
        <v>532</v>
      </c>
      <c r="DM50" s="472" t="s">
        <v>13</v>
      </c>
      <c r="DN50" s="472" t="s">
        <v>533</v>
      </c>
      <c r="DO50" s="963" t="s">
        <v>534</v>
      </c>
      <c r="DP50"/>
      <c r="DQ50" s="1035" t="s">
        <v>12</v>
      </c>
      <c r="DR50" s="1036" t="s">
        <v>1049</v>
      </c>
      <c r="DS50"/>
      <c r="EM50" s="1972"/>
      <c r="EN50" s="1972"/>
      <c r="EO50" s="1972"/>
      <c r="EP50" s="1972"/>
      <c r="EQ50" s="1972"/>
      <c r="ER50" s="1972"/>
      <c r="ES50" s="1972"/>
      <c r="ET50" s="1972"/>
      <c r="EU50" s="1972"/>
    </row>
    <row r="51" spans="1:161" ht="16.2" thickBot="1">
      <c r="A51"/>
      <c r="B51"/>
      <c r="C51"/>
      <c r="D51"/>
      <c r="E51"/>
      <c r="F51"/>
      <c r="G51"/>
      <c r="H51"/>
      <c r="I51"/>
      <c r="J51"/>
      <c r="K51"/>
      <c r="L51"/>
      <c r="M51"/>
      <c r="N51"/>
      <c r="O51"/>
      <c r="P51"/>
      <c r="Q51"/>
      <c r="R51"/>
      <c r="S51"/>
      <c r="T51"/>
      <c r="U51"/>
      <c r="V51"/>
      <c r="W51"/>
      <c r="X51"/>
      <c r="Y51"/>
      <c r="Z51"/>
      <c r="AA51"/>
      <c r="AB51"/>
      <c r="AC51"/>
      <c r="AD51"/>
      <c r="AE51"/>
      <c r="AF51"/>
      <c r="AG51"/>
      <c r="AH51"/>
      <c r="AI51"/>
      <c r="AJ51"/>
      <c r="AK51"/>
      <c r="CE51" s="2005" t="s">
        <v>1024</v>
      </c>
      <c r="CF51" s="2006"/>
      <c r="CG51" s="1022">
        <f t="shared" ref="CG51:CL51" si="3">D9</f>
        <v>0</v>
      </c>
      <c r="CH51" s="1022">
        <f t="shared" si="3"/>
        <v>0</v>
      </c>
      <c r="CI51" s="1022">
        <f t="shared" si="3"/>
        <v>0</v>
      </c>
      <c r="CJ51" s="1022">
        <f t="shared" si="3"/>
        <v>0</v>
      </c>
      <c r="CK51" s="1022">
        <f t="shared" si="3"/>
        <v>0</v>
      </c>
      <c r="CL51" s="1022">
        <f t="shared" si="3"/>
        <v>0</v>
      </c>
      <c r="CM51" s="1059"/>
      <c r="CN51" s="1061"/>
      <c r="CO51" s="1062">
        <v>5</v>
      </c>
      <c r="CP51" s="1025"/>
      <c r="CQ51" s="1045">
        <f>DB51+DH51+DO51</f>
        <v>-3.0771969826142473E-4</v>
      </c>
      <c r="CR51" s="419" t="e">
        <f>CQ51/CU51</f>
        <v>#DIV/0!</v>
      </c>
      <c r="CS51"/>
      <c r="CT51" s="475">
        <f>CH51</f>
        <v>0</v>
      </c>
      <c r="CU51" s="476">
        <f>CG51</f>
        <v>0</v>
      </c>
      <c r="CV51" s="477">
        <f>CT51-1</f>
        <v>-1</v>
      </c>
      <c r="CW51" s="477">
        <f>CU51-1</f>
        <v>-1</v>
      </c>
      <c r="CX51" s="478">
        <f>CI51</f>
        <v>0</v>
      </c>
      <c r="CY51" s="479">
        <f>(PI()*CJ51/8*CJ51/8)/(4*144)</f>
        <v>0</v>
      </c>
      <c r="CZ51" s="480">
        <f>CW51</f>
        <v>-1</v>
      </c>
      <c r="DA51" s="479">
        <f>CX51*CY51*CZ51</f>
        <v>0</v>
      </c>
      <c r="DB51" s="481">
        <f>DA51/27</f>
        <v>0</v>
      </c>
      <c r="DC51"/>
      <c r="DD51" s="482">
        <f>7+CK51+ROUNDUP(CW51-2-(CK51*CL51/12),0)</f>
        <v>4</v>
      </c>
      <c r="DE51" s="483">
        <f>(PI()*CO51/8*CO51/8)/(4*144)</f>
        <v>2.1305288720633907E-3</v>
      </c>
      <c r="DF51" s="484">
        <f>PI()*CV51+26/12</f>
        <v>-0.9749259869231266</v>
      </c>
      <c r="DG51" s="485">
        <f>DD51*DE51*DF51</f>
        <v>-8.3084318530584674E-3</v>
      </c>
      <c r="DH51" s="481">
        <f>DG51/27</f>
        <v>-3.0771969826142473E-4</v>
      </c>
      <c r="DI51"/>
      <c r="DJ51" s="486">
        <f>IF(CT51&lt;4,4,ROUNDUP(CT51,0))</f>
        <v>4</v>
      </c>
      <c r="DK51" s="487">
        <f>1.9/12</f>
        <v>0.15833333333333333</v>
      </c>
      <c r="DL51" s="487">
        <f>PI()*DK51*DK51/4</f>
        <v>1.968949562406103E-2</v>
      </c>
      <c r="DM51" s="487">
        <f>CU51</f>
        <v>0</v>
      </c>
      <c r="DN51" s="488">
        <f>DJ51*DL51*DM51</f>
        <v>0</v>
      </c>
      <c r="DO51" s="481">
        <f>DN51/27</f>
        <v>0</v>
      </c>
      <c r="DP51"/>
      <c r="DQ51" s="966">
        <f>PI()*CH51*CH51*CG51/108</f>
        <v>0</v>
      </c>
      <c r="DR51" s="966" t="e">
        <f>CQ51/DQ51</f>
        <v>#DIV/0!</v>
      </c>
      <c r="DS51"/>
    </row>
    <row r="52" spans="1:161" ht="14.4">
      <c r="A52"/>
      <c r="B52"/>
      <c r="C52"/>
      <c r="D52"/>
      <c r="E52"/>
      <c r="F52"/>
      <c r="G52"/>
      <c r="H52"/>
      <c r="I52"/>
      <c r="J52"/>
      <c r="K52"/>
      <c r="L52"/>
      <c r="M52"/>
      <c r="N52"/>
      <c r="O52"/>
      <c r="P52"/>
      <c r="Q52"/>
      <c r="W52"/>
      <c r="X52"/>
      <c r="Y52"/>
      <c r="Z52"/>
      <c r="AA52"/>
      <c r="AB52"/>
      <c r="AC52"/>
      <c r="AD52"/>
      <c r="AE52"/>
      <c r="AF52"/>
      <c r="AG52"/>
      <c r="AH52"/>
      <c r="AI52"/>
      <c r="AJ52"/>
      <c r="AK52"/>
      <c r="CE52"/>
      <c r="CF52"/>
      <c r="CG52" s="1046"/>
      <c r="CH52" s="1046"/>
      <c r="CI52" s="1046"/>
      <c r="CJ52" s="1046"/>
      <c r="CK52"/>
      <c r="CL52"/>
      <c r="CM52"/>
      <c r="CN52"/>
      <c r="CO52"/>
      <c r="CP52" s="1025"/>
      <c r="CQ52"/>
      <c r="CR52"/>
      <c r="CS52"/>
      <c r="CT52"/>
      <c r="CU52"/>
      <c r="CV52"/>
      <c r="CW52"/>
      <c r="CX52"/>
      <c r="CY52"/>
      <c r="CZ52"/>
      <c r="DA52"/>
      <c r="DB52"/>
      <c r="DC52"/>
      <c r="DD52"/>
      <c r="DE52"/>
      <c r="DF52"/>
      <c r="DG52"/>
      <c r="DH52"/>
      <c r="DI52"/>
      <c r="DJ52"/>
      <c r="DK52"/>
      <c r="DL52"/>
      <c r="DM52"/>
      <c r="DN52"/>
      <c r="DO52"/>
      <c r="DP52"/>
      <c r="DQ52"/>
      <c r="DR52"/>
      <c r="DS52"/>
    </row>
    <row r="53" spans="1:161" ht="14.4">
      <c r="A53"/>
      <c r="B53"/>
      <c r="C53"/>
      <c r="D53"/>
      <c r="E53"/>
      <c r="F53"/>
      <c r="G53"/>
      <c r="H53"/>
      <c r="I53"/>
      <c r="J53"/>
      <c r="K53"/>
      <c r="L53"/>
      <c r="M53"/>
      <c r="N53"/>
      <c r="O53"/>
      <c r="P53"/>
      <c r="Q53"/>
      <c r="W53"/>
      <c r="X53"/>
      <c r="Y53"/>
      <c r="Z53"/>
      <c r="AA53"/>
      <c r="AB53"/>
      <c r="AC53"/>
      <c r="AD53"/>
      <c r="AE53"/>
      <c r="AF53"/>
      <c r="AG53"/>
      <c r="AH53"/>
      <c r="AI53"/>
      <c r="AJ53"/>
      <c r="AK53"/>
      <c r="CE53"/>
      <c r="CF53"/>
      <c r="CG53"/>
      <c r="CH53" s="1063"/>
      <c r="CI53" s="1063"/>
      <c r="CJ53" s="1063"/>
      <c r="CK53" s="1063"/>
      <c r="CL53"/>
      <c r="CM53"/>
      <c r="CN53"/>
      <c r="CO53"/>
      <c r="CP53" s="1025"/>
      <c r="CQ53"/>
      <c r="CR53"/>
      <c r="CS53"/>
      <c r="CT53"/>
      <c r="CU53"/>
      <c r="CV53"/>
      <c r="CW53"/>
      <c r="CX53"/>
      <c r="CY53"/>
      <c r="CZ53"/>
      <c r="DA53"/>
      <c r="DB53"/>
      <c r="DC53"/>
      <c r="DD53"/>
      <c r="DE53"/>
      <c r="DF53"/>
      <c r="DG53"/>
      <c r="DH53"/>
      <c r="DI53"/>
      <c r="DJ53"/>
      <c r="DK53"/>
      <c r="DL53"/>
      <c r="DM53"/>
      <c r="DN53"/>
      <c r="DO53"/>
      <c r="DP53"/>
      <c r="DQ53"/>
      <c r="DR53"/>
      <c r="DS53"/>
    </row>
    <row r="54" spans="1:161" ht="14.4">
      <c r="A54"/>
      <c r="B54"/>
      <c r="C54"/>
      <c r="D54"/>
      <c r="E54"/>
      <c r="F54"/>
      <c r="G54"/>
      <c r="H54"/>
      <c r="I54"/>
      <c r="J54"/>
      <c r="K54"/>
      <c r="L54"/>
      <c r="M54"/>
      <c r="N54"/>
      <c r="O54"/>
      <c r="P54"/>
      <c r="Q54"/>
      <c r="W54"/>
      <c r="X54"/>
      <c r="Y54"/>
      <c r="Z54"/>
      <c r="AA54"/>
      <c r="AB54"/>
      <c r="AC54"/>
      <c r="AD54"/>
      <c r="AE54"/>
      <c r="AF54"/>
      <c r="AG54"/>
      <c r="AH54"/>
      <c r="AI54"/>
      <c r="AJ54"/>
      <c r="AK54"/>
      <c r="CE54"/>
      <c r="CF54"/>
      <c r="CG54"/>
      <c r="CH54" s="1063"/>
      <c r="CI54" s="1063"/>
      <c r="CJ54" s="1063"/>
      <c r="CK54" s="1063"/>
      <c r="CL54"/>
      <c r="CM54"/>
      <c r="CN54"/>
      <c r="CO54"/>
      <c r="CP54" s="1025"/>
      <c r="CQ54"/>
      <c r="CR54"/>
      <c r="CS54"/>
      <c r="CT54"/>
      <c r="CU54"/>
      <c r="CV54"/>
      <c r="CW54"/>
      <c r="CX54"/>
      <c r="CY54"/>
      <c r="CZ54"/>
      <c r="DA54"/>
      <c r="DB54"/>
      <c r="DC54"/>
      <c r="DD54"/>
      <c r="DE54"/>
      <c r="DF54"/>
      <c r="DG54"/>
      <c r="DH54"/>
      <c r="DI54"/>
      <c r="DJ54"/>
      <c r="DK54"/>
      <c r="DL54"/>
      <c r="DM54"/>
      <c r="DN54"/>
      <c r="DO54"/>
      <c r="DP54"/>
      <c r="DQ54"/>
      <c r="DR54"/>
      <c r="DS54"/>
    </row>
    <row r="55" spans="1:161" ht="14.4">
      <c r="A55"/>
      <c r="B55"/>
      <c r="C55"/>
      <c r="D55"/>
      <c r="E55"/>
      <c r="F55"/>
      <c r="G55"/>
      <c r="H55"/>
      <c r="I55"/>
      <c r="J55"/>
      <c r="K55"/>
      <c r="L55"/>
      <c r="M55"/>
      <c r="N55"/>
      <c r="O55"/>
      <c r="P55"/>
      <c r="Q55"/>
      <c r="W55"/>
      <c r="X55"/>
      <c r="Y55"/>
      <c r="Z55"/>
      <c r="AA55"/>
      <c r="AB55"/>
      <c r="AC55"/>
      <c r="AD55"/>
      <c r="AE55"/>
      <c r="AF55"/>
      <c r="AG55"/>
      <c r="AH55"/>
      <c r="AI55"/>
      <c r="AJ55"/>
      <c r="AK55"/>
      <c r="CE55"/>
      <c r="CF55"/>
      <c r="CG55"/>
      <c r="CH55"/>
      <c r="CI55"/>
      <c r="CJ55"/>
      <c r="CK55"/>
      <c r="CL55"/>
      <c r="CM55"/>
      <c r="CN55"/>
      <c r="CO55"/>
      <c r="CP55" s="1025"/>
      <c r="CQ55"/>
      <c r="CR55"/>
      <c r="CS55"/>
      <c r="CT55"/>
      <c r="CU55"/>
      <c r="CV55"/>
      <c r="CW55"/>
      <c r="CX55"/>
      <c r="CY55"/>
      <c r="CZ55"/>
      <c r="DA55"/>
      <c r="DB55"/>
      <c r="DC55"/>
      <c r="DD55"/>
      <c r="DE55"/>
      <c r="DF55"/>
      <c r="DG55"/>
      <c r="DH55"/>
      <c r="DI55"/>
      <c r="DJ55"/>
      <c r="DK55"/>
      <c r="DL55"/>
      <c r="DM55"/>
      <c r="DN55"/>
      <c r="DO55"/>
      <c r="DP55"/>
      <c r="DQ55"/>
      <c r="DR55"/>
      <c r="DS55"/>
    </row>
    <row r="56" spans="1:161" ht="14.4">
      <c r="A56"/>
      <c r="B56"/>
      <c r="C56"/>
      <c r="D56"/>
      <c r="E56"/>
      <c r="F56"/>
      <c r="G56"/>
      <c r="H56"/>
      <c r="I56"/>
      <c r="J56"/>
      <c r="K56"/>
      <c r="L56"/>
      <c r="M56"/>
      <c r="N56"/>
      <c r="O56"/>
      <c r="P56"/>
      <c r="Q56"/>
      <c r="W56"/>
      <c r="X56"/>
      <c r="Y56"/>
      <c r="Z56"/>
      <c r="AA56"/>
      <c r="AB56"/>
      <c r="AC56"/>
      <c r="AD56"/>
      <c r="AE56"/>
      <c r="AF56"/>
      <c r="AG56"/>
      <c r="AH56"/>
      <c r="AI56"/>
      <c r="AJ56"/>
      <c r="AK56"/>
      <c r="CE56" s="1964" t="s">
        <v>596</v>
      </c>
      <c r="CF56" s="1965"/>
      <c r="CG56" s="1968" t="s">
        <v>69</v>
      </c>
      <c r="CH56" s="1920"/>
      <c r="CI56" s="2001" t="s">
        <v>549</v>
      </c>
      <c r="CJ56" s="2027"/>
      <c r="CK56" s="1925" t="s">
        <v>550</v>
      </c>
      <c r="CL56" s="1926"/>
      <c r="CM56" s="1926"/>
      <c r="CN56" s="1926"/>
      <c r="CO56" s="1927"/>
      <c r="CP56" s="1025"/>
      <c r="CQ56"/>
      <c r="CR56"/>
      <c r="CS56"/>
      <c r="CT56"/>
      <c r="CU56"/>
      <c r="CV56"/>
      <c r="CW56"/>
      <c r="CX56"/>
      <c r="CY56"/>
      <c r="CZ56"/>
      <c r="DA56"/>
      <c r="DB56"/>
      <c r="DC56"/>
      <c r="DD56"/>
      <c r="DE56"/>
      <c r="DF56"/>
      <c r="DG56"/>
      <c r="DH56"/>
      <c r="DI56"/>
      <c r="DJ56"/>
      <c r="DK56"/>
      <c r="DL56"/>
      <c r="DM56"/>
      <c r="DN56"/>
      <c r="DO56"/>
      <c r="DP56"/>
      <c r="DQ56"/>
      <c r="DR56"/>
      <c r="DS56"/>
    </row>
    <row r="57" spans="1:161" ht="14.4">
      <c r="A57"/>
      <c r="B57"/>
      <c r="C57"/>
      <c r="D57"/>
      <c r="E57"/>
      <c r="F57"/>
      <c r="G57"/>
      <c r="H57"/>
      <c r="I57"/>
      <c r="J57"/>
      <c r="K57"/>
      <c r="L57"/>
      <c r="M57"/>
      <c r="N57"/>
      <c r="O57"/>
      <c r="P57"/>
      <c r="Q57"/>
      <c r="W57"/>
      <c r="X57"/>
      <c r="Y57"/>
      <c r="Z57"/>
      <c r="AA57"/>
      <c r="AB57"/>
      <c r="AC57"/>
      <c r="AD57"/>
      <c r="AE57"/>
      <c r="AF57"/>
      <c r="AG57"/>
      <c r="AH57"/>
      <c r="AI57"/>
      <c r="AJ57"/>
      <c r="AK57"/>
      <c r="CE57" s="1966"/>
      <c r="CF57" s="1967"/>
      <c r="CG57" s="1969"/>
      <c r="CH57" s="1922"/>
      <c r="CI57" s="2001"/>
      <c r="CJ57" s="2027"/>
      <c r="CK57" s="1930" t="s">
        <v>1033</v>
      </c>
      <c r="CL57" s="1931"/>
      <c r="CM57" s="1931"/>
      <c r="CN57" s="1931"/>
      <c r="CO57" s="1932"/>
      <c r="CP57" s="1025"/>
      <c r="CQ57"/>
      <c r="CR57"/>
      <c r="CS57"/>
      <c r="CT57"/>
      <c r="CU57"/>
      <c r="CV57"/>
      <c r="CW57"/>
      <c r="CX57"/>
      <c r="CY57"/>
      <c r="CZ57"/>
      <c r="DA57"/>
      <c r="DB57"/>
      <c r="DC57"/>
      <c r="DD57"/>
      <c r="DE57" s="449"/>
      <c r="DF57"/>
      <c r="DG57"/>
      <c r="DH57"/>
      <c r="DI57"/>
      <c r="DJ57"/>
      <c r="DK57"/>
      <c r="DL57"/>
      <c r="DM57"/>
      <c r="DN57"/>
      <c r="DO57"/>
      <c r="DP57"/>
      <c r="DQ57"/>
      <c r="DR57"/>
      <c r="DS57"/>
    </row>
    <row r="58" spans="1:161" ht="14.4">
      <c r="A58"/>
      <c r="B58"/>
      <c r="C58"/>
      <c r="D58"/>
      <c r="E58"/>
      <c r="F58"/>
      <c r="G58"/>
      <c r="H58"/>
      <c r="I58"/>
      <c r="J58"/>
      <c r="K58"/>
      <c r="L58"/>
      <c r="M58"/>
      <c r="N58"/>
      <c r="O58"/>
      <c r="P58"/>
      <c r="Q58"/>
      <c r="W58"/>
      <c r="X58"/>
      <c r="Y58"/>
      <c r="Z58"/>
      <c r="AA58"/>
      <c r="AB58"/>
      <c r="AC58"/>
      <c r="AD58"/>
      <c r="AE58"/>
      <c r="AF58"/>
      <c r="AG58"/>
      <c r="AH58"/>
      <c r="AI58"/>
      <c r="AJ58"/>
      <c r="AK58" s="1025"/>
      <c r="CE58" s="2030" t="s">
        <v>1084</v>
      </c>
      <c r="CF58" s="2031"/>
      <c r="CG58" s="1999" t="s">
        <v>288</v>
      </c>
      <c r="CH58" s="1999" t="s">
        <v>495</v>
      </c>
      <c r="CI58" s="1013" t="s">
        <v>1017</v>
      </c>
      <c r="CJ58" s="1049" t="s">
        <v>1037</v>
      </c>
      <c r="CK58"/>
      <c r="CL58"/>
      <c r="CM58"/>
      <c r="CN58"/>
      <c r="CO58" s="2020" t="s">
        <v>1040</v>
      </c>
      <c r="CP58" s="1025"/>
      <c r="CQ58" s="1977" t="s">
        <v>435</v>
      </c>
      <c r="CR58" s="1977"/>
      <c r="CT58" s="1978" t="s">
        <v>69</v>
      </c>
      <c r="CU58" s="1978"/>
      <c r="CV58" s="1979" t="s">
        <v>502</v>
      </c>
      <c r="CW58" s="1979"/>
      <c r="CX58" s="1980" t="s">
        <v>590</v>
      </c>
      <c r="CY58" s="1980"/>
      <c r="CZ58" s="1980"/>
      <c r="DA58" s="1980"/>
      <c r="DB58" s="1980"/>
      <c r="DC58"/>
      <c r="DD58" s="1981" t="s">
        <v>577</v>
      </c>
      <c r="DE58" s="1981"/>
      <c r="DF58" s="1981"/>
      <c r="DG58" s="1981"/>
      <c r="DH58" s="1981"/>
      <c r="DI58"/>
      <c r="DJ58" s="1982" t="s">
        <v>505</v>
      </c>
      <c r="DK58" s="1982"/>
      <c r="DL58" s="1982"/>
      <c r="DM58" s="1982"/>
      <c r="DN58" s="1982"/>
      <c r="DO58" s="1982"/>
      <c r="DP58"/>
      <c r="DQ58" s="1027" t="s">
        <v>69</v>
      </c>
      <c r="DR58" s="1028" t="s">
        <v>1035</v>
      </c>
      <c r="DS58"/>
    </row>
    <row r="59" spans="1:161" ht="14.4">
      <c r="A59"/>
      <c r="B59"/>
      <c r="C59"/>
      <c r="D59"/>
      <c r="E59"/>
      <c r="F59"/>
      <c r="G59"/>
      <c r="H59"/>
      <c r="I59"/>
      <c r="J59"/>
      <c r="K59"/>
      <c r="L59"/>
      <c r="M59"/>
      <c r="N59"/>
      <c r="O59"/>
      <c r="P59"/>
      <c r="Q59"/>
      <c r="W59"/>
      <c r="X59"/>
      <c r="Y59"/>
      <c r="Z59"/>
      <c r="AA59"/>
      <c r="AB59"/>
      <c r="AC59"/>
      <c r="AD59"/>
      <c r="AE59"/>
      <c r="AF59"/>
      <c r="AG59"/>
      <c r="AH59"/>
      <c r="AI59"/>
      <c r="AJ59"/>
      <c r="AK59"/>
      <c r="CE59" s="2032"/>
      <c r="CF59" s="2033"/>
      <c r="CG59" s="2000"/>
      <c r="CH59" s="2000"/>
      <c r="CI59" s="1015" t="s">
        <v>1085</v>
      </c>
      <c r="CJ59" s="1031" t="s">
        <v>1048</v>
      </c>
      <c r="CK59" s="1025"/>
      <c r="CL59" s="1025"/>
      <c r="CM59" s="1025"/>
      <c r="CN59" s="1025"/>
      <c r="CO59" s="2021"/>
      <c r="CP59" s="1025"/>
      <c r="CQ59" s="1975" t="s">
        <v>1020</v>
      </c>
      <c r="CR59" s="1975"/>
      <c r="CT59" s="466" t="s">
        <v>519</v>
      </c>
      <c r="CU59" s="466" t="s">
        <v>520</v>
      </c>
      <c r="CV59" s="489" t="s">
        <v>513</v>
      </c>
      <c r="CW59" s="489" t="s">
        <v>592</v>
      </c>
      <c r="CX59" s="965" t="s">
        <v>521</v>
      </c>
      <c r="CY59" s="965" t="s">
        <v>522</v>
      </c>
      <c r="CZ59" s="965" t="s">
        <v>289</v>
      </c>
      <c r="DA59" s="1976" t="s">
        <v>523</v>
      </c>
      <c r="DB59" s="1976"/>
      <c r="DC59"/>
      <c r="DD59" s="961" t="s">
        <v>521</v>
      </c>
      <c r="DE59" s="961" t="s">
        <v>522</v>
      </c>
      <c r="DF59" s="961" t="s">
        <v>289</v>
      </c>
      <c r="DG59" s="1976" t="s">
        <v>524</v>
      </c>
      <c r="DH59" s="1976"/>
      <c r="DI59"/>
      <c r="DJ59" s="472" t="s">
        <v>521</v>
      </c>
      <c r="DK59" s="472" t="s">
        <v>525</v>
      </c>
      <c r="DL59" s="472" t="s">
        <v>522</v>
      </c>
      <c r="DM59" s="472" t="s">
        <v>289</v>
      </c>
      <c r="DN59" s="1976" t="s">
        <v>526</v>
      </c>
      <c r="DO59" s="1976"/>
      <c r="DP59"/>
      <c r="DQ59" s="1029" t="s">
        <v>638</v>
      </c>
      <c r="DR59" s="1030" t="s">
        <v>1046</v>
      </c>
      <c r="DS59"/>
    </row>
    <row r="60" spans="1:161" ht="15" thickBot="1">
      <c r="A60"/>
      <c r="B60"/>
      <c r="C60"/>
      <c r="D60"/>
      <c r="E60"/>
      <c r="F60"/>
      <c r="G60"/>
      <c r="H60"/>
      <c r="I60"/>
      <c r="J60"/>
      <c r="K60"/>
      <c r="L60"/>
      <c r="M60"/>
      <c r="N60"/>
      <c r="O60"/>
      <c r="P60"/>
      <c r="Q60"/>
      <c r="R60"/>
      <c r="S60"/>
      <c r="T60"/>
      <c r="U60"/>
      <c r="V60"/>
      <c r="W60"/>
      <c r="X60"/>
      <c r="Y60"/>
      <c r="Z60"/>
      <c r="AA60"/>
      <c r="AB60"/>
      <c r="AC60"/>
      <c r="AD60"/>
      <c r="AE60"/>
      <c r="AF60"/>
      <c r="AG60"/>
      <c r="AH60"/>
      <c r="AI60"/>
      <c r="AJ60"/>
      <c r="AK60"/>
      <c r="CE60" s="2034"/>
      <c r="CF60" s="2035"/>
      <c r="CG60" s="1064" t="s">
        <v>377</v>
      </c>
      <c r="CH60" s="1065" t="s">
        <v>506</v>
      </c>
      <c r="CI60" s="1066" t="s">
        <v>1047</v>
      </c>
      <c r="CJ60" s="1067" t="s">
        <v>1086</v>
      </c>
      <c r="CK60" s="1025"/>
      <c r="CL60" s="1025"/>
      <c r="CM60" s="1025"/>
      <c r="CN60" s="1025"/>
      <c r="CO60" s="1058" t="s">
        <v>1048</v>
      </c>
      <c r="CP60" s="1025"/>
      <c r="CQ60" s="961" t="s">
        <v>1072</v>
      </c>
      <c r="CR60" s="961" t="s">
        <v>1023</v>
      </c>
      <c r="CS60"/>
      <c r="CT60" s="466" t="s">
        <v>13</v>
      </c>
      <c r="CU60" s="466" t="s">
        <v>13</v>
      </c>
      <c r="CV60" s="489" t="s">
        <v>13</v>
      </c>
      <c r="CW60" s="489" t="s">
        <v>13</v>
      </c>
      <c r="CX60" s="512" t="s">
        <v>595</v>
      </c>
      <c r="CY60" s="965" t="s">
        <v>532</v>
      </c>
      <c r="CZ60" s="965" t="s">
        <v>13</v>
      </c>
      <c r="DA60" s="965" t="s">
        <v>533</v>
      </c>
      <c r="DB60" s="963" t="s">
        <v>534</v>
      </c>
      <c r="DC60"/>
      <c r="DD60" s="961" t="s">
        <v>535</v>
      </c>
      <c r="DE60" s="961" t="s">
        <v>532</v>
      </c>
      <c r="DF60" s="961" t="s">
        <v>13</v>
      </c>
      <c r="DG60" s="489" t="s">
        <v>533</v>
      </c>
      <c r="DH60" s="963" t="s">
        <v>534</v>
      </c>
      <c r="DI60"/>
      <c r="DJ60" s="472" t="s">
        <v>535</v>
      </c>
      <c r="DK60" s="472" t="s">
        <v>13</v>
      </c>
      <c r="DL60" s="472" t="s">
        <v>532</v>
      </c>
      <c r="DM60" s="472" t="s">
        <v>13</v>
      </c>
      <c r="DN60" s="472" t="s">
        <v>533</v>
      </c>
      <c r="DO60" s="963" t="s">
        <v>534</v>
      </c>
      <c r="DP60"/>
      <c r="DQ60" s="1035" t="s">
        <v>12</v>
      </c>
      <c r="DR60" s="1036" t="s">
        <v>1049</v>
      </c>
      <c r="DS60"/>
    </row>
    <row r="61" spans="1:161" ht="16.2" thickBot="1">
      <c r="A61"/>
      <c r="B61"/>
      <c r="C61"/>
      <c r="D61"/>
      <c r="E61"/>
      <c r="F61"/>
      <c r="G61"/>
      <c r="H61"/>
      <c r="I61"/>
      <c r="J61"/>
      <c r="K61"/>
      <c r="L61"/>
      <c r="M61"/>
      <c r="N61"/>
      <c r="O61"/>
      <c r="P61"/>
      <c r="Q61"/>
      <c r="R61"/>
      <c r="S61"/>
      <c r="T61"/>
      <c r="U61"/>
      <c r="V61"/>
      <c r="W61"/>
      <c r="X61"/>
      <c r="Y61"/>
      <c r="Z61"/>
      <c r="AA61"/>
      <c r="AB61"/>
      <c r="AC61"/>
      <c r="AD61"/>
      <c r="AE61"/>
      <c r="AF61"/>
      <c r="AG61"/>
      <c r="AH61"/>
      <c r="AI61"/>
      <c r="AJ61"/>
      <c r="AK61"/>
      <c r="CE61" s="2005" t="s">
        <v>1024</v>
      </c>
      <c r="CF61" s="2006"/>
      <c r="CG61" s="1022">
        <f>D9</f>
        <v>0</v>
      </c>
      <c r="CH61" s="1022">
        <f>E9</f>
        <v>0</v>
      </c>
      <c r="CI61" s="1022">
        <f>F9</f>
        <v>0</v>
      </c>
      <c r="CJ61" s="1068">
        <v>11</v>
      </c>
      <c r="CK61" s="1069"/>
      <c r="CL61" s="1060"/>
      <c r="CM61" s="1060"/>
      <c r="CN61" s="1061"/>
      <c r="CO61" s="1070">
        <v>5</v>
      </c>
      <c r="CP61" s="1025"/>
      <c r="CQ61" s="1045">
        <f>DB61+DH61+DO61</f>
        <v>-3.0771969826142473E-4</v>
      </c>
      <c r="CR61" s="419" t="e">
        <f>CQ61/CU61</f>
        <v>#DIV/0!</v>
      </c>
      <c r="CS61"/>
      <c r="CT61" s="475">
        <f>CH61</f>
        <v>0</v>
      </c>
      <c r="CU61" s="476">
        <f>CG61</f>
        <v>0</v>
      </c>
      <c r="CV61" s="477">
        <f>CT61-1</f>
        <v>-1</v>
      </c>
      <c r="CW61" s="477">
        <f>CU61-1</f>
        <v>-1</v>
      </c>
      <c r="CX61" s="478">
        <f>CI61</f>
        <v>0</v>
      </c>
      <c r="CY61" s="479">
        <f>(PI()*CJ61/8*CJ61/8)/(4*144)</f>
        <v>1.0311759740786809E-2</v>
      </c>
      <c r="CZ61" s="480">
        <f>CW61</f>
        <v>-1</v>
      </c>
      <c r="DA61" s="479">
        <f>CX61*CY61*CZ61</f>
        <v>0</v>
      </c>
      <c r="DB61" s="481">
        <f>DA61/27</f>
        <v>0</v>
      </c>
      <c r="DC61"/>
      <c r="DD61" s="482">
        <f>7+ROUNDUP((CW61-2)/(12/12),0)</f>
        <v>4</v>
      </c>
      <c r="DE61" s="483">
        <f>(PI()*CO61/8*CO61/8)/(4*144)</f>
        <v>2.1305288720633907E-3</v>
      </c>
      <c r="DF61" s="484">
        <f>PI()*CV61+26/12</f>
        <v>-0.9749259869231266</v>
      </c>
      <c r="DG61" s="485">
        <f>DD61*DE61*DF61</f>
        <v>-8.3084318530584674E-3</v>
      </c>
      <c r="DH61" s="481">
        <f>DG61/27</f>
        <v>-3.0771969826142473E-4</v>
      </c>
      <c r="DI61"/>
      <c r="DJ61" s="486">
        <f>IF(CT61&lt;4,4,ROUNDUP(CT61,0))</f>
        <v>4</v>
      </c>
      <c r="DK61" s="487">
        <f>1.9/12</f>
        <v>0.15833333333333333</v>
      </c>
      <c r="DL61" s="487">
        <f>PI()*DK61*DK61/4</f>
        <v>1.968949562406103E-2</v>
      </c>
      <c r="DM61" s="487">
        <f>CU61</f>
        <v>0</v>
      </c>
      <c r="DN61" s="488">
        <f>DJ61*DL61*DM61</f>
        <v>0</v>
      </c>
      <c r="DO61" s="481">
        <f>DN61/27</f>
        <v>0</v>
      </c>
      <c r="DP61"/>
      <c r="DQ61" s="966">
        <f>PI()*CH61*CH61*CG61/108</f>
        <v>0</v>
      </c>
      <c r="DR61" s="966" t="e">
        <f>CQ61/DQ61</f>
        <v>#DIV/0!</v>
      </c>
      <c r="DS61"/>
    </row>
    <row r="62" spans="1:161" ht="14.4">
      <c r="A62"/>
      <c r="B62"/>
      <c r="C62"/>
      <c r="D62"/>
      <c r="E62"/>
      <c r="F62"/>
      <c r="G62"/>
      <c r="H62"/>
      <c r="I62"/>
      <c r="J62"/>
      <c r="K62"/>
      <c r="L62"/>
      <c r="M62"/>
      <c r="N62"/>
      <c r="O62"/>
      <c r="P62"/>
      <c r="Q62"/>
      <c r="R62"/>
      <c r="S62"/>
      <c r="T62"/>
      <c r="U62"/>
      <c r="V62"/>
      <c r="W62"/>
      <c r="X62"/>
      <c r="Y62"/>
      <c r="Z62"/>
      <c r="AA62"/>
      <c r="AB62"/>
      <c r="AC62"/>
      <c r="AD62"/>
      <c r="AE62"/>
      <c r="AF62"/>
      <c r="AG62"/>
      <c r="AH62"/>
      <c r="AI62"/>
      <c r="AJ62"/>
      <c r="AK62"/>
      <c r="CE62" s="1071"/>
      <c r="CF62" s="1071"/>
      <c r="CG62" s="1025"/>
      <c r="CH62" s="1025"/>
      <c r="CI62" s="1025"/>
      <c r="CJ62" s="1071"/>
      <c r="CK62"/>
      <c r="CL62"/>
      <c r="CM62"/>
      <c r="CN62"/>
      <c r="CO62" s="1071"/>
      <c r="CP62" s="1025"/>
      <c r="CQ62"/>
      <c r="CR62"/>
      <c r="CS62"/>
      <c r="CT62"/>
      <c r="CU62"/>
      <c r="CV62"/>
      <c r="CW62"/>
      <c r="CX62"/>
      <c r="CY62"/>
      <c r="CZ62"/>
      <c r="DA62"/>
      <c r="DB62"/>
      <c r="DC62"/>
      <c r="DD62"/>
      <c r="DE62"/>
      <c r="DF62"/>
      <c r="DG62"/>
      <c r="DH62"/>
      <c r="DI62"/>
      <c r="DJ62"/>
      <c r="DK62"/>
      <c r="DL62"/>
      <c r="DM62"/>
      <c r="DN62"/>
      <c r="DO62"/>
      <c r="DP62"/>
      <c r="DQ62"/>
      <c r="DR62"/>
      <c r="DS62"/>
    </row>
    <row r="63" spans="1:161" ht="14.4">
      <c r="A63"/>
      <c r="B63"/>
      <c r="C63"/>
      <c r="D63"/>
      <c r="E63"/>
      <c r="F63"/>
      <c r="G63"/>
      <c r="H63"/>
      <c r="I63"/>
      <c r="J63"/>
      <c r="K63"/>
      <c r="L63"/>
      <c r="M63"/>
      <c r="N63"/>
      <c r="O63"/>
      <c r="P63"/>
      <c r="Q63"/>
      <c r="R63"/>
      <c r="S63"/>
      <c r="T63"/>
      <c r="U63"/>
      <c r="V63"/>
      <c r="W63"/>
      <c r="X63"/>
      <c r="Y63"/>
      <c r="Z63"/>
      <c r="AA63"/>
      <c r="AB63"/>
      <c r="AC63"/>
      <c r="AD63"/>
      <c r="AE63"/>
      <c r="AF63"/>
      <c r="AG63"/>
      <c r="AH63"/>
      <c r="AI63"/>
      <c r="AJ63"/>
      <c r="AK63"/>
      <c r="CE63"/>
      <c r="CF63"/>
      <c r="CG63" s="1025"/>
      <c r="CH63" s="1025"/>
      <c r="CI63" s="1025"/>
      <c r="CJ63" s="1025"/>
      <c r="CK63" s="1053"/>
      <c r="CL63" s="1053"/>
      <c r="CM63" s="1053"/>
      <c r="CN63" s="1053"/>
      <c r="CO63" s="1025"/>
      <c r="CP63" s="1025"/>
      <c r="CQ63"/>
      <c r="CR63"/>
      <c r="CS63"/>
      <c r="CT63"/>
      <c r="CU63"/>
      <c r="CV63"/>
      <c r="CW63"/>
      <c r="CX63"/>
      <c r="CY63"/>
      <c r="CZ63"/>
      <c r="DA63"/>
      <c r="DB63"/>
      <c r="DC63"/>
      <c r="DD63"/>
      <c r="DE63"/>
      <c r="DF63"/>
      <c r="DG63"/>
      <c r="DH63"/>
      <c r="DI63"/>
      <c r="DJ63"/>
      <c r="DK63"/>
      <c r="DL63"/>
      <c r="DM63"/>
      <c r="DN63"/>
      <c r="DO63"/>
      <c r="DP63"/>
      <c r="DQ63"/>
      <c r="DR63"/>
      <c r="DS63"/>
    </row>
    <row r="64" spans="1:161" ht="14.4">
      <c r="A64"/>
      <c r="B64"/>
      <c r="C64"/>
      <c r="D64"/>
      <c r="E64"/>
      <c r="F64"/>
      <c r="G64"/>
      <c r="H64"/>
      <c r="I64"/>
      <c r="J64"/>
      <c r="K64"/>
      <c r="L64"/>
      <c r="M64"/>
      <c r="N64"/>
      <c r="O64"/>
      <c r="P64"/>
      <c r="Q64"/>
      <c r="R64"/>
      <c r="S64"/>
      <c r="T64"/>
      <c r="U64"/>
      <c r="V64"/>
      <c r="W64"/>
      <c r="X64"/>
      <c r="Y64"/>
      <c r="Z64"/>
      <c r="AA64"/>
      <c r="AB64"/>
      <c r="AC64"/>
      <c r="AD64"/>
      <c r="AE64"/>
      <c r="AF64"/>
      <c r="AG64"/>
      <c r="AH64"/>
      <c r="AI64"/>
      <c r="AJ64"/>
      <c r="AK64"/>
      <c r="CE64" s="1025"/>
      <c r="CF64" s="1025"/>
      <c r="CG64" s="1025"/>
      <c r="CH64" s="1025"/>
      <c r="CI64" s="1025"/>
      <c r="CJ64" s="1025"/>
      <c r="CK64" s="1053"/>
      <c r="CL64" s="1053"/>
      <c r="CM64" s="1053"/>
      <c r="CN64" s="1053"/>
      <c r="CO64" s="1025"/>
      <c r="CP64" s="1025"/>
      <c r="CQ64"/>
      <c r="CR64"/>
      <c r="CS64"/>
      <c r="CT64"/>
      <c r="CU64"/>
      <c r="CV64"/>
      <c r="CW64"/>
      <c r="CX64"/>
      <c r="CY64"/>
      <c r="CZ64"/>
      <c r="DA64"/>
      <c r="DB64"/>
      <c r="DC64"/>
      <c r="DD64"/>
      <c r="DE64"/>
      <c r="DF64"/>
      <c r="DG64"/>
      <c r="DH64"/>
      <c r="DI64"/>
      <c r="DJ64"/>
      <c r="DK64"/>
      <c r="DL64"/>
      <c r="DM64"/>
      <c r="DN64"/>
      <c r="DO64"/>
      <c r="DP64"/>
      <c r="DQ64"/>
      <c r="DR64"/>
      <c r="DS64"/>
    </row>
    <row r="65" spans="1:123" ht="14.4">
      <c r="A65"/>
      <c r="B65"/>
      <c r="C65"/>
      <c r="D65"/>
      <c r="E65"/>
      <c r="F65"/>
      <c r="G65"/>
      <c r="H65"/>
      <c r="I65"/>
      <c r="J65"/>
      <c r="K65"/>
      <c r="L65"/>
      <c r="M65"/>
      <c r="N65"/>
      <c r="O65"/>
      <c r="P65"/>
      <c r="Q65"/>
      <c r="R65"/>
      <c r="S65"/>
      <c r="T65"/>
      <c r="U65"/>
      <c r="V65"/>
      <c r="W65"/>
      <c r="X65"/>
      <c r="Y65"/>
      <c r="Z65"/>
      <c r="AA65"/>
      <c r="AB65"/>
      <c r="AC65"/>
      <c r="AD65"/>
      <c r="AE65"/>
      <c r="AF65"/>
      <c r="AG65"/>
      <c r="AH65"/>
      <c r="AI65"/>
      <c r="AJ65"/>
      <c r="AK65"/>
      <c r="CE65" s="1025"/>
      <c r="CF65" s="1025"/>
      <c r="CG65" s="1025"/>
      <c r="CH65" s="1025"/>
      <c r="CI65"/>
      <c r="CJ65"/>
      <c r="CK65"/>
      <c r="CL65" s="1025"/>
      <c r="CM65" s="1025"/>
      <c r="CN65" s="1025"/>
      <c r="CO65" s="1025"/>
      <c r="CP65" s="1025"/>
      <c r="CQ65"/>
      <c r="CR65"/>
      <c r="CS65"/>
      <c r="CT65"/>
      <c r="CU65"/>
      <c r="CV65"/>
      <c r="CW65"/>
      <c r="CX65"/>
      <c r="CY65"/>
      <c r="CZ65"/>
      <c r="DA65"/>
      <c r="DB65"/>
      <c r="DC65"/>
      <c r="DD65"/>
      <c r="DE65"/>
      <c r="DF65"/>
      <c r="DG65"/>
      <c r="DH65"/>
      <c r="DI65"/>
      <c r="DJ65"/>
      <c r="DK65"/>
      <c r="DL65"/>
      <c r="DM65"/>
      <c r="DN65"/>
      <c r="DO65"/>
      <c r="DP65"/>
      <c r="DQ65"/>
      <c r="DR65"/>
      <c r="DS65"/>
    </row>
    <row r="66" spans="1:123" ht="14.4">
      <c r="A66"/>
      <c r="B66"/>
      <c r="C66"/>
      <c r="D66"/>
      <c r="E66"/>
      <c r="F66"/>
      <c r="G66"/>
      <c r="H66"/>
      <c r="I66"/>
      <c r="J66"/>
      <c r="K66"/>
      <c r="L66"/>
      <c r="M66"/>
      <c r="N66"/>
      <c r="O66"/>
      <c r="P66"/>
      <c r="Q66"/>
      <c r="R66"/>
      <c r="S66"/>
      <c r="T66"/>
      <c r="U66"/>
      <c r="V66"/>
      <c r="W66"/>
      <c r="X66"/>
      <c r="Y66"/>
      <c r="Z66"/>
      <c r="AA66"/>
      <c r="AB66"/>
      <c r="AC66"/>
      <c r="AD66"/>
      <c r="AE66"/>
      <c r="AF66"/>
      <c r="AG66"/>
      <c r="AH66"/>
      <c r="AI66"/>
      <c r="AJ66"/>
      <c r="AK66"/>
      <c r="CE66" s="1964" t="s">
        <v>468</v>
      </c>
      <c r="CF66" s="1965"/>
      <c r="CG66" s="1968" t="s">
        <v>69</v>
      </c>
      <c r="CH66" s="1920"/>
      <c r="CI66" s="2001" t="s">
        <v>549</v>
      </c>
      <c r="CJ66" s="2027"/>
      <c r="CK66" s="1925" t="s">
        <v>550</v>
      </c>
      <c r="CL66" s="1926"/>
      <c r="CM66" s="1926"/>
      <c r="CN66" s="1926"/>
      <c r="CO66" s="1927"/>
      <c r="CP66" s="1025"/>
      <c r="CQ66"/>
      <c r="CR66"/>
      <c r="CS66"/>
      <c r="CT66"/>
      <c r="CU66"/>
      <c r="CV66"/>
      <c r="CW66"/>
      <c r="CX66" s="1072"/>
      <c r="CY66"/>
      <c r="CZ66"/>
      <c r="DB66"/>
      <c r="DC66"/>
      <c r="DD66"/>
      <c r="DE66"/>
      <c r="DF66"/>
      <c r="DG66"/>
      <c r="DH66"/>
      <c r="DI66"/>
      <c r="DJ66"/>
      <c r="DK66"/>
      <c r="DL66"/>
      <c r="DM66"/>
      <c r="DN66"/>
      <c r="DO66"/>
      <c r="DP66"/>
      <c r="DQ66"/>
      <c r="DR66"/>
      <c r="DS66"/>
    </row>
    <row r="67" spans="1:123" ht="14.4">
      <c r="A67"/>
      <c r="B67"/>
      <c r="C67"/>
      <c r="D67"/>
      <c r="E67"/>
      <c r="F67"/>
      <c r="G67"/>
      <c r="H67"/>
      <c r="I67"/>
      <c r="J67"/>
      <c r="K67"/>
      <c r="L67"/>
      <c r="M67"/>
      <c r="N67"/>
      <c r="O67"/>
      <c r="P67"/>
      <c r="Q67"/>
      <c r="R67"/>
      <c r="S67"/>
      <c r="T67"/>
      <c r="U67"/>
      <c r="V67"/>
      <c r="W67"/>
      <c r="X67"/>
      <c r="Y67"/>
      <c r="Z67"/>
      <c r="AA67"/>
      <c r="AB67"/>
      <c r="AC67"/>
      <c r="AD67"/>
      <c r="AE67"/>
      <c r="AF67"/>
      <c r="AG67"/>
      <c r="AH67"/>
      <c r="AI67"/>
      <c r="AJ67"/>
      <c r="AK67" s="1025"/>
      <c r="CE67" s="1966"/>
      <c r="CF67" s="1967"/>
      <c r="CG67" s="1969"/>
      <c r="CH67" s="1922"/>
      <c r="CI67" s="2001"/>
      <c r="CJ67" s="2027"/>
      <c r="CK67" s="1930" t="s">
        <v>1033</v>
      </c>
      <c r="CL67" s="1931"/>
      <c r="CM67" s="1931"/>
      <c r="CN67" s="1931"/>
      <c r="CO67" s="1932"/>
      <c r="CP67" s="1025"/>
      <c r="CQ67"/>
      <c r="CR67"/>
      <c r="CS67"/>
      <c r="CT67"/>
      <c r="CU67"/>
      <c r="CV67"/>
      <c r="CW67"/>
      <c r="CX67"/>
      <c r="CY67"/>
      <c r="CZ67"/>
      <c r="DA67"/>
      <c r="DB67"/>
      <c r="DC67"/>
      <c r="DD67"/>
      <c r="DE67"/>
      <c r="DF67"/>
      <c r="DG67"/>
      <c r="DH67"/>
      <c r="DI67"/>
      <c r="DJ67"/>
      <c r="DK67"/>
      <c r="DL67"/>
      <c r="DM67"/>
      <c r="DN67"/>
      <c r="DO67"/>
      <c r="DP67"/>
      <c r="DQ67"/>
      <c r="DR67"/>
      <c r="DS67"/>
    </row>
    <row r="68" spans="1:123" ht="14.4">
      <c r="A68"/>
      <c r="B68"/>
      <c r="C68"/>
      <c r="D68"/>
      <c r="E68"/>
      <c r="F68"/>
      <c r="G68"/>
      <c r="H68"/>
      <c r="I68"/>
      <c r="J68"/>
      <c r="K68"/>
      <c r="L68"/>
      <c r="M68"/>
      <c r="N68"/>
      <c r="O68"/>
      <c r="P68"/>
      <c r="Q68"/>
      <c r="R68"/>
      <c r="S68"/>
      <c r="T68"/>
      <c r="U68"/>
      <c r="V68"/>
      <c r="W68"/>
      <c r="X68"/>
      <c r="Y68"/>
      <c r="Z68"/>
      <c r="AA68"/>
      <c r="AB68"/>
      <c r="AC68"/>
      <c r="AD68"/>
      <c r="AE68"/>
      <c r="AF68"/>
      <c r="AG68"/>
      <c r="AH68"/>
      <c r="AI68"/>
      <c r="AJ68"/>
      <c r="AK68" s="1025"/>
      <c r="CE68" s="2030" t="s">
        <v>1087</v>
      </c>
      <c r="CF68" s="2031"/>
      <c r="CG68" s="1933" t="s">
        <v>1088</v>
      </c>
      <c r="CH68" s="1933" t="s">
        <v>1089</v>
      </c>
      <c r="CI68" s="1013" t="s">
        <v>1017</v>
      </c>
      <c r="CJ68" s="1049" t="s">
        <v>1037</v>
      </c>
      <c r="CK68"/>
      <c r="CL68"/>
      <c r="CM68"/>
      <c r="CN68"/>
      <c r="CO68" s="2020" t="s">
        <v>1040</v>
      </c>
      <c r="CP68" s="1025"/>
      <c r="CQ68" s="1977" t="s">
        <v>435</v>
      </c>
      <c r="CR68" s="1977"/>
      <c r="CS68"/>
      <c r="CT68" s="1978" t="s">
        <v>69</v>
      </c>
      <c r="CU68" s="1978"/>
      <c r="CV68" s="1979" t="s">
        <v>502</v>
      </c>
      <c r="CW68" s="1979"/>
      <c r="CX68" s="1980" t="s">
        <v>590</v>
      </c>
      <c r="CY68" s="1980"/>
      <c r="CZ68" s="1980"/>
      <c r="DA68" s="1980"/>
      <c r="DB68" s="1980"/>
      <c r="DC68"/>
      <c r="DD68" s="1981" t="s">
        <v>577</v>
      </c>
      <c r="DE68" s="1981"/>
      <c r="DF68" s="1981"/>
      <c r="DG68" s="1981"/>
      <c r="DH68" s="1981"/>
      <c r="DI68"/>
      <c r="DJ68" s="1982" t="s">
        <v>505</v>
      </c>
      <c r="DK68" s="1982"/>
      <c r="DL68" s="1982"/>
      <c r="DM68" s="1982"/>
      <c r="DN68" s="1982"/>
      <c r="DO68" s="1982"/>
      <c r="DP68"/>
      <c r="DQ68" s="1027" t="s">
        <v>69</v>
      </c>
      <c r="DR68" s="1028" t="s">
        <v>1035</v>
      </c>
      <c r="DS68"/>
    </row>
    <row r="69" spans="1:123" ht="14.4">
      <c r="A69"/>
      <c r="B69"/>
      <c r="C69"/>
      <c r="D69"/>
      <c r="E69"/>
      <c r="F69"/>
      <c r="G69"/>
      <c r="H69"/>
      <c r="I69"/>
      <c r="J69"/>
      <c r="K69"/>
      <c r="L69"/>
      <c r="M69"/>
      <c r="N69"/>
      <c r="O69"/>
      <c r="P69"/>
      <c r="Q69"/>
      <c r="R69"/>
      <c r="S69"/>
      <c r="T69"/>
      <c r="U69"/>
      <c r="V69"/>
      <c r="W69"/>
      <c r="X69"/>
      <c r="Y69"/>
      <c r="Z69"/>
      <c r="AA69"/>
      <c r="AB69"/>
      <c r="AC69"/>
      <c r="AD69"/>
      <c r="AE69"/>
      <c r="AF69"/>
      <c r="AG69"/>
      <c r="AH69"/>
      <c r="AI69"/>
      <c r="AJ69"/>
      <c r="AK69" s="1025"/>
      <c r="CE69" s="2032"/>
      <c r="CF69" s="2033"/>
      <c r="CG69" s="1953"/>
      <c r="CH69" s="1953"/>
      <c r="CI69" s="1015" t="s">
        <v>1085</v>
      </c>
      <c r="CJ69" s="1031" t="s">
        <v>1048</v>
      </c>
      <c r="CK69" s="1025"/>
      <c r="CL69" s="1025"/>
      <c r="CM69" s="1025"/>
      <c r="CN69" s="1025"/>
      <c r="CO69" s="2021"/>
      <c r="CP69" s="1025"/>
      <c r="CQ69" s="1975" t="s">
        <v>1020</v>
      </c>
      <c r="CR69" s="1975"/>
      <c r="CS69"/>
      <c r="CT69" s="466" t="s">
        <v>519</v>
      </c>
      <c r="CU69" s="466" t="s">
        <v>520</v>
      </c>
      <c r="CV69" s="489" t="s">
        <v>513</v>
      </c>
      <c r="CW69" s="489" t="s">
        <v>592</v>
      </c>
      <c r="CX69" s="965" t="s">
        <v>521</v>
      </c>
      <c r="CY69" s="965" t="s">
        <v>522</v>
      </c>
      <c r="CZ69" s="965" t="s">
        <v>289</v>
      </c>
      <c r="DA69" s="1976" t="s">
        <v>523</v>
      </c>
      <c r="DB69" s="1976"/>
      <c r="DC69"/>
      <c r="DD69" s="961" t="s">
        <v>521</v>
      </c>
      <c r="DE69" s="961" t="s">
        <v>522</v>
      </c>
      <c r="DF69" s="961" t="s">
        <v>289</v>
      </c>
      <c r="DG69" s="1976" t="s">
        <v>524</v>
      </c>
      <c r="DH69" s="1976"/>
      <c r="DI69"/>
      <c r="DJ69" s="472" t="s">
        <v>521</v>
      </c>
      <c r="DK69" s="472" t="s">
        <v>525</v>
      </c>
      <c r="DL69" s="472" t="s">
        <v>522</v>
      </c>
      <c r="DM69" s="472" t="s">
        <v>289</v>
      </c>
      <c r="DN69" s="1976" t="s">
        <v>526</v>
      </c>
      <c r="DO69" s="1976"/>
      <c r="DP69"/>
      <c r="DQ69" s="1029" t="s">
        <v>638</v>
      </c>
      <c r="DR69" s="1030" t="s">
        <v>1046</v>
      </c>
      <c r="DS69"/>
    </row>
    <row r="70" spans="1:123" ht="15" thickBot="1">
      <c r="A70"/>
      <c r="B70"/>
      <c r="C70"/>
      <c r="D70"/>
      <c r="E70"/>
      <c r="F70"/>
      <c r="G70"/>
      <c r="H70"/>
      <c r="I70"/>
      <c r="J70"/>
      <c r="K70"/>
      <c r="L70"/>
      <c r="M70"/>
      <c r="N70"/>
      <c r="O70"/>
      <c r="P70"/>
      <c r="Q70"/>
      <c r="R70"/>
      <c r="S70"/>
      <c r="T70"/>
      <c r="U70"/>
      <c r="V70"/>
      <c r="W70"/>
      <c r="X70"/>
      <c r="Y70"/>
      <c r="Z70"/>
      <c r="AA70"/>
      <c r="AB70"/>
      <c r="AC70"/>
      <c r="AD70"/>
      <c r="AE70"/>
      <c r="AF70"/>
      <c r="AG70"/>
      <c r="AH70"/>
      <c r="AI70"/>
      <c r="AJ70"/>
      <c r="AK70" s="1025"/>
      <c r="CE70" s="2034"/>
      <c r="CF70" s="2035"/>
      <c r="CG70" s="1064" t="s">
        <v>1090</v>
      </c>
      <c r="CH70" s="1065" t="s">
        <v>1091</v>
      </c>
      <c r="CI70" s="1066" t="s">
        <v>1047</v>
      </c>
      <c r="CJ70" s="1067" t="s">
        <v>1086</v>
      </c>
      <c r="CK70" s="1025"/>
      <c r="CL70" s="1025"/>
      <c r="CM70" s="1025"/>
      <c r="CN70" s="1025"/>
      <c r="CO70" s="1058" t="s">
        <v>1048</v>
      </c>
      <c r="CP70" s="1025"/>
      <c r="CQ70" s="961" t="s">
        <v>1072</v>
      </c>
      <c r="CR70" s="961" t="s">
        <v>1023</v>
      </c>
      <c r="CT70" s="466" t="s">
        <v>13</v>
      </c>
      <c r="CU70" s="466" t="s">
        <v>13</v>
      </c>
      <c r="CV70" s="489" t="s">
        <v>13</v>
      </c>
      <c r="CW70" s="489" t="s">
        <v>13</v>
      </c>
      <c r="CX70" s="512" t="s">
        <v>602</v>
      </c>
      <c r="CY70" s="965" t="s">
        <v>532</v>
      </c>
      <c r="CZ70" s="965" t="s">
        <v>13</v>
      </c>
      <c r="DA70" s="965" t="s">
        <v>533</v>
      </c>
      <c r="DB70" s="963" t="s">
        <v>534</v>
      </c>
      <c r="DC70"/>
      <c r="DD70" s="961" t="s">
        <v>535</v>
      </c>
      <c r="DE70" s="961" t="s">
        <v>532</v>
      </c>
      <c r="DF70" s="961" t="s">
        <v>13</v>
      </c>
      <c r="DG70" s="489" t="s">
        <v>533</v>
      </c>
      <c r="DH70" s="963" t="s">
        <v>534</v>
      </c>
      <c r="DI70"/>
      <c r="DJ70" s="472" t="s">
        <v>535</v>
      </c>
      <c r="DK70" s="472" t="s">
        <v>13</v>
      </c>
      <c r="DL70" s="472" t="s">
        <v>532</v>
      </c>
      <c r="DM70" s="472" t="s">
        <v>13</v>
      </c>
      <c r="DN70" s="472" t="s">
        <v>533</v>
      </c>
      <c r="DO70" s="963" t="s">
        <v>534</v>
      </c>
      <c r="DP70"/>
      <c r="DQ70" s="1035" t="s">
        <v>12</v>
      </c>
      <c r="DR70" s="1036" t="s">
        <v>1049</v>
      </c>
      <c r="DS70"/>
    </row>
    <row r="71" spans="1:123" ht="16.2" thickBot="1">
      <c r="A71"/>
      <c r="B71"/>
      <c r="C71"/>
      <c r="D71"/>
      <c r="E71"/>
      <c r="F71"/>
      <c r="G71"/>
      <c r="H71"/>
      <c r="I71"/>
      <c r="J71"/>
      <c r="K71"/>
      <c r="L71"/>
      <c r="M71"/>
      <c r="N71"/>
      <c r="O71"/>
      <c r="P71"/>
      <c r="Q71"/>
      <c r="R71"/>
      <c r="S71"/>
      <c r="T71"/>
      <c r="U71"/>
      <c r="V71"/>
      <c r="W71"/>
      <c r="X71"/>
      <c r="Y71"/>
      <c r="Z71"/>
      <c r="AA71"/>
      <c r="AB71"/>
      <c r="AC71"/>
      <c r="AD71"/>
      <c r="AE71"/>
      <c r="AF71"/>
      <c r="AG71"/>
      <c r="AH71"/>
      <c r="AI71"/>
      <c r="AJ71"/>
      <c r="AK71" s="1025"/>
      <c r="CE71" s="2005" t="s">
        <v>1024</v>
      </c>
      <c r="CF71" s="2006"/>
      <c r="CG71" s="494">
        <f>D9</f>
        <v>0</v>
      </c>
      <c r="CH71" s="494">
        <f>E9</f>
        <v>0</v>
      </c>
      <c r="CI71" s="494">
        <f>F9</f>
        <v>0</v>
      </c>
      <c r="CJ71" s="1068">
        <v>11</v>
      </c>
      <c r="CK71" s="1069"/>
      <c r="CL71" s="1060"/>
      <c r="CM71" s="1060"/>
      <c r="CN71" s="1061"/>
      <c r="CO71" s="1073">
        <v>5</v>
      </c>
      <c r="CP71" s="1025"/>
      <c r="CQ71" s="1045">
        <f>DB71+DH71+DO71</f>
        <v>-3.0771969826142473E-4</v>
      </c>
      <c r="CR71" s="520" t="e">
        <f>CQ71/CU71</f>
        <v>#DIV/0!</v>
      </c>
      <c r="CT71" s="475">
        <f>CH71</f>
        <v>0</v>
      </c>
      <c r="CU71" s="476">
        <f>CG71</f>
        <v>0</v>
      </c>
      <c r="CV71" s="477">
        <f>CT71-1</f>
        <v>-1</v>
      </c>
      <c r="CW71" s="477">
        <f>CU71-1</f>
        <v>-1</v>
      </c>
      <c r="CX71" s="478">
        <f>CI71</f>
        <v>0</v>
      </c>
      <c r="CY71" s="479">
        <f>(PI()*CJ71/8*CJ71/8)/(4*144)</f>
        <v>1.0311759740786809E-2</v>
      </c>
      <c r="CZ71" s="480">
        <f>CW71</f>
        <v>-1</v>
      </c>
      <c r="DA71" s="479">
        <f>CX71*CY71*CZ71</f>
        <v>0</v>
      </c>
      <c r="DB71" s="481">
        <f>DA71/27</f>
        <v>0</v>
      </c>
      <c r="DC71"/>
      <c r="DD71" s="482">
        <f>7+ROUNDUP((CW71-2)/1,0)</f>
        <v>4</v>
      </c>
      <c r="DE71" s="483">
        <f>(PI()*CO71/8*CO71/8)/(4*144)</f>
        <v>2.1305288720633907E-3</v>
      </c>
      <c r="DF71" s="484">
        <f>PI()*CV71+26/12</f>
        <v>-0.9749259869231266</v>
      </c>
      <c r="DG71" s="485">
        <f>DD71*DE71*DF71</f>
        <v>-8.3084318530584674E-3</v>
      </c>
      <c r="DH71" s="481">
        <f>DG71/27</f>
        <v>-3.0771969826142473E-4</v>
      </c>
      <c r="DI71"/>
      <c r="DJ71" s="486">
        <f>IF(CT71&lt;4,4,ROUNDUP(CT71,0))</f>
        <v>4</v>
      </c>
      <c r="DK71" s="487">
        <f>1.9/12</f>
        <v>0.15833333333333333</v>
      </c>
      <c r="DL71" s="487">
        <f>PI()*DK71*DK71/4</f>
        <v>1.968949562406103E-2</v>
      </c>
      <c r="DM71" s="487">
        <f>CU71</f>
        <v>0</v>
      </c>
      <c r="DN71" s="488">
        <f>DJ71*DL71*DM71</f>
        <v>0</v>
      </c>
      <c r="DO71" s="481">
        <f>DN71/27</f>
        <v>0</v>
      </c>
      <c r="DP71"/>
      <c r="DQ71" s="966">
        <f>PI()*CG71*CG71*CH71/108</f>
        <v>0</v>
      </c>
      <c r="DR71" s="966" t="e">
        <f>CQ71/DQ71</f>
        <v>#DIV/0!</v>
      </c>
      <c r="DS71"/>
    </row>
    <row r="72" spans="1:123" ht="14.4">
      <c r="A72"/>
      <c r="B72"/>
      <c r="C72"/>
      <c r="D72"/>
      <c r="E72"/>
      <c r="F72"/>
      <c r="G72"/>
      <c r="H72"/>
      <c r="I72"/>
      <c r="J72"/>
      <c r="K72"/>
      <c r="L72"/>
      <c r="M72"/>
      <c r="N72"/>
      <c r="O72"/>
      <c r="P72"/>
      <c r="Q72"/>
      <c r="R72"/>
      <c r="S72"/>
      <c r="T72"/>
      <c r="U72"/>
      <c r="V72"/>
      <c r="W72"/>
      <c r="X72"/>
      <c r="Y72"/>
      <c r="Z72"/>
      <c r="AA72"/>
      <c r="AB72"/>
      <c r="AC72"/>
      <c r="AD72"/>
      <c r="AE72"/>
      <c r="AF72"/>
      <c r="AG72"/>
      <c r="AH72"/>
      <c r="AI72"/>
      <c r="AJ72"/>
      <c r="AK72" s="1025"/>
      <c r="CE72" s="1071"/>
      <c r="CF72" s="1071"/>
      <c r="CG72" s="1025"/>
      <c r="CH72" s="1025"/>
      <c r="CI72" s="1025"/>
      <c r="CJ72" s="1071"/>
      <c r="CK72"/>
      <c r="CL72"/>
      <c r="CM72"/>
      <c r="CN72"/>
      <c r="CO72" s="1071"/>
      <c r="CP72" s="1025"/>
      <c r="CQ72"/>
      <c r="CR72"/>
      <c r="CS72"/>
      <c r="CT72"/>
      <c r="CU72"/>
      <c r="CV72"/>
      <c r="CW72"/>
      <c r="CX72"/>
      <c r="CY72"/>
      <c r="CZ72"/>
      <c r="DA72"/>
      <c r="DB72"/>
      <c r="DC72"/>
      <c r="DD72"/>
      <c r="DE72"/>
      <c r="DF72"/>
      <c r="DG72"/>
      <c r="DH72"/>
      <c r="DI72"/>
      <c r="DJ72"/>
      <c r="DK72"/>
      <c r="DL72"/>
      <c r="DM72"/>
      <c r="DN72"/>
      <c r="DO72"/>
      <c r="DP72"/>
      <c r="DQ72"/>
      <c r="DR72"/>
      <c r="DS72"/>
    </row>
    <row r="73" spans="1:123" ht="14.4">
      <c r="A73"/>
      <c r="B73"/>
      <c r="C73"/>
      <c r="D73"/>
      <c r="E73"/>
      <c r="F73"/>
      <c r="G73"/>
      <c r="H73"/>
      <c r="I73"/>
      <c r="J73"/>
      <c r="K73"/>
      <c r="L73"/>
      <c r="M73"/>
      <c r="N73"/>
      <c r="O73"/>
      <c r="P73"/>
      <c r="Q73"/>
      <c r="R73"/>
      <c r="S73"/>
      <c r="T73"/>
      <c r="U73"/>
      <c r="V73"/>
      <c r="W73"/>
      <c r="X73"/>
      <c r="Y73"/>
      <c r="Z73"/>
      <c r="AA73"/>
      <c r="AB73"/>
      <c r="AC73"/>
      <c r="AD73"/>
      <c r="AE73"/>
      <c r="AF73"/>
      <c r="AG73"/>
      <c r="AH73"/>
      <c r="AI73"/>
      <c r="AJ73"/>
      <c r="AK73" s="1025"/>
      <c r="CE73"/>
      <c r="CF73"/>
      <c r="CG73"/>
      <c r="CH73"/>
      <c r="CI73"/>
      <c r="CJ73"/>
      <c r="CK73"/>
      <c r="CL73"/>
      <c r="CM73"/>
      <c r="CN73" s="1074"/>
      <c r="CO73"/>
      <c r="CP73" s="1025"/>
      <c r="CQ73" s="1075" t="s">
        <v>1092</v>
      </c>
      <c r="CR73"/>
      <c r="CS73"/>
      <c r="CT73"/>
      <c r="CU73"/>
      <c r="CV73"/>
      <c r="CW73"/>
      <c r="CX73"/>
      <c r="CY73"/>
      <c r="CZ73"/>
      <c r="DA73"/>
      <c r="DB73"/>
      <c r="DC73"/>
      <c r="DD73"/>
      <c r="DE73"/>
      <c r="DF73"/>
      <c r="DG73"/>
      <c r="DH73"/>
      <c r="DI73"/>
      <c r="DJ73"/>
      <c r="DK73"/>
      <c r="DL73"/>
      <c r="DM73"/>
      <c r="DN73"/>
      <c r="DO73"/>
      <c r="DP73"/>
      <c r="DQ73"/>
      <c r="DR73"/>
      <c r="DS73"/>
    </row>
    <row r="74" spans="1:123" ht="14.4">
      <c r="A74"/>
      <c r="B74"/>
      <c r="C74"/>
      <c r="D74"/>
      <c r="E74"/>
      <c r="F74"/>
      <c r="G74"/>
      <c r="H74"/>
      <c r="I74"/>
      <c r="J74"/>
      <c r="K74"/>
      <c r="L74"/>
      <c r="M74"/>
      <c r="N74"/>
      <c r="O74"/>
      <c r="P74"/>
      <c r="Q74"/>
      <c r="R74"/>
      <c r="S74"/>
      <c r="T74"/>
      <c r="U74"/>
      <c r="V74"/>
      <c r="W74"/>
      <c r="X74"/>
      <c r="Y74"/>
      <c r="Z74"/>
      <c r="AA74"/>
      <c r="AB74"/>
      <c r="AC74"/>
      <c r="AD74"/>
      <c r="AE74"/>
      <c r="AF74"/>
      <c r="AG74"/>
      <c r="AH74"/>
      <c r="AI74"/>
      <c r="AJ74"/>
      <c r="AK74" s="1025"/>
      <c r="CE74"/>
      <c r="CF74"/>
      <c r="CG74"/>
      <c r="CH74"/>
      <c r="CI74"/>
      <c r="CJ74"/>
      <c r="CK74"/>
      <c r="CL74"/>
      <c r="CM74"/>
      <c r="CN74" s="1074"/>
      <c r="CO74"/>
      <c r="CP74" s="1025"/>
      <c r="CQ74" s="1076" t="s">
        <v>1015</v>
      </c>
      <c r="CR74" s="847"/>
      <c r="CS74"/>
      <c r="CT74"/>
      <c r="CU74"/>
      <c r="CV74"/>
      <c r="CW74"/>
      <c r="CX74"/>
      <c r="CY74"/>
      <c r="CZ74"/>
      <c r="DA74"/>
      <c r="DB74"/>
      <c r="DC74"/>
      <c r="DD74"/>
      <c r="DE74" s="1077"/>
      <c r="DI74"/>
      <c r="DJ74"/>
      <c r="DK74"/>
      <c r="DL74"/>
      <c r="DM74"/>
      <c r="DN74"/>
      <c r="DO74"/>
      <c r="DP74"/>
      <c r="DQ74"/>
      <c r="DR74"/>
      <c r="DS74"/>
    </row>
    <row r="75" spans="1:123" ht="14.4">
      <c r="A75"/>
      <c r="B75"/>
      <c r="C75"/>
      <c r="D75"/>
      <c r="E75"/>
      <c r="F75"/>
      <c r="G75"/>
      <c r="H75"/>
      <c r="I75"/>
      <c r="J75"/>
      <c r="K75"/>
      <c r="L75"/>
      <c r="M75"/>
      <c r="N75"/>
      <c r="O75"/>
      <c r="P75"/>
      <c r="Q75"/>
      <c r="R75"/>
      <c r="S75"/>
      <c r="T75"/>
      <c r="U75"/>
      <c r="V75"/>
      <c r="W75"/>
      <c r="X75"/>
      <c r="Y75"/>
      <c r="Z75"/>
      <c r="AA75"/>
      <c r="AB75"/>
      <c r="AC75"/>
      <c r="AD75"/>
      <c r="AE75"/>
      <c r="AF75"/>
      <c r="AG75"/>
      <c r="AH75"/>
      <c r="AI75"/>
      <c r="AJ75"/>
      <c r="AK75" s="1025"/>
      <c r="CE75"/>
      <c r="CF75" s="1063"/>
      <c r="CG75" s="1063"/>
      <c r="CH75"/>
      <c r="CI75"/>
      <c r="CJ75"/>
      <c r="CK75"/>
      <c r="CL75"/>
      <c r="CM75"/>
      <c r="CN75" s="1074"/>
      <c r="CO75"/>
      <c r="CP75" s="1025"/>
      <c r="CQ75" s="1078" t="s">
        <v>1061</v>
      </c>
      <c r="CR75" s="956"/>
      <c r="CS75"/>
      <c r="CT75"/>
      <c r="CU75"/>
      <c r="CV75"/>
      <c r="CW75"/>
      <c r="CX75"/>
      <c r="CY75"/>
      <c r="CZ75"/>
      <c r="DA75"/>
      <c r="DB75"/>
      <c r="DC75"/>
      <c r="DD75"/>
      <c r="DE75" s="446"/>
      <c r="DF75" s="1079"/>
      <c r="DG75" s="1079"/>
      <c r="DH75" s="1079"/>
      <c r="DI75"/>
      <c r="DJ75"/>
      <c r="DK75"/>
      <c r="DL75"/>
      <c r="DM75"/>
      <c r="DN75"/>
      <c r="DO75"/>
      <c r="DP75"/>
      <c r="DQ75"/>
      <c r="DR75"/>
      <c r="DS75"/>
    </row>
    <row r="76" spans="1:123" ht="14.4">
      <c r="A76"/>
      <c r="B76"/>
      <c r="C76"/>
      <c r="D76"/>
      <c r="E76"/>
      <c r="F76"/>
      <c r="G76"/>
      <c r="H76"/>
      <c r="I76"/>
      <c r="J76"/>
      <c r="K76"/>
      <c r="L76"/>
      <c r="M76"/>
      <c r="N76"/>
      <c r="O76"/>
      <c r="P76"/>
      <c r="Q76"/>
      <c r="R76"/>
      <c r="S76"/>
      <c r="T76"/>
      <c r="U76"/>
      <c r="V76"/>
      <c r="W76"/>
      <c r="X76"/>
      <c r="Y76"/>
      <c r="Z76"/>
      <c r="AA76"/>
      <c r="AB76"/>
      <c r="AC76"/>
      <c r="AD76"/>
      <c r="AE76"/>
      <c r="AF76"/>
      <c r="AG76"/>
      <c r="AH76"/>
      <c r="AI76"/>
      <c r="AJ76"/>
      <c r="AK76" s="1025"/>
      <c r="CE76"/>
      <c r="CF76" s="1063"/>
      <c r="CG76" s="1063"/>
      <c r="CH76" s="1063"/>
      <c r="CI76" s="1063"/>
      <c r="CJ76"/>
      <c r="CK76"/>
      <c r="CL76"/>
      <c r="CM76"/>
      <c r="CN76" s="1074"/>
      <c r="CO76"/>
      <c r="CP76"/>
      <c r="CQ76" s="1080" t="s">
        <v>1093</v>
      </c>
      <c r="CR76" s="956"/>
      <c r="CS76"/>
      <c r="CT76"/>
      <c r="CU76"/>
      <c r="CV76"/>
      <c r="CW76"/>
      <c r="CX76"/>
      <c r="CY76"/>
      <c r="CZ76"/>
      <c r="DA76"/>
      <c r="DB76"/>
      <c r="DC76"/>
      <c r="DD76"/>
      <c r="DE76"/>
      <c r="DF76"/>
      <c r="DG76" s="449"/>
      <c r="DH76" s="449"/>
      <c r="DI76"/>
      <c r="DJ76"/>
      <c r="DK76"/>
      <c r="DL76"/>
      <c r="DM76"/>
      <c r="DN76"/>
      <c r="DO76"/>
      <c r="DP76"/>
      <c r="DQ76"/>
      <c r="DR76"/>
      <c r="DS76"/>
    </row>
    <row r="77" spans="1:123" ht="14.4">
      <c r="A77"/>
      <c r="B77"/>
      <c r="C77"/>
      <c r="D77"/>
      <c r="E77"/>
      <c r="F77"/>
      <c r="G77"/>
      <c r="H77"/>
      <c r="I77"/>
      <c r="J77"/>
      <c r="K77"/>
      <c r="L77"/>
      <c r="M77"/>
      <c r="N77"/>
      <c r="O77"/>
      <c r="U77"/>
      <c r="V77"/>
      <c r="W77"/>
      <c r="X77"/>
      <c r="Y77"/>
      <c r="Z77"/>
      <c r="AA77"/>
      <c r="AB77"/>
      <c r="AC77"/>
      <c r="AD77"/>
      <c r="AE77"/>
      <c r="AF77"/>
      <c r="AG77"/>
      <c r="AH77"/>
      <c r="AI77"/>
      <c r="AJ77"/>
      <c r="AK77" s="1025"/>
      <c r="CE77"/>
      <c r="CF77"/>
      <c r="CG77"/>
      <c r="CH77"/>
      <c r="CI77"/>
      <c r="CJ77"/>
      <c r="CK77"/>
      <c r="CL77"/>
      <c r="CM77"/>
      <c r="CN77" s="1074"/>
      <c r="CO77"/>
      <c r="CP77"/>
      <c r="CQ77" s="1078" t="s">
        <v>1094</v>
      </c>
      <c r="CR77" s="397"/>
      <c r="DK77"/>
      <c r="DL77"/>
      <c r="DM77"/>
      <c r="DN77"/>
      <c r="DO77"/>
      <c r="DP77"/>
      <c r="DQ77"/>
      <c r="DR77"/>
      <c r="DS77"/>
    </row>
    <row r="78" spans="1:123" ht="14.4">
      <c r="A78"/>
      <c r="B78"/>
      <c r="C78"/>
      <c r="D78"/>
      <c r="E78"/>
      <c r="F78"/>
      <c r="G78"/>
      <c r="H78"/>
      <c r="I78"/>
      <c r="J78"/>
      <c r="K78"/>
      <c r="L78"/>
      <c r="M78"/>
      <c r="N78"/>
      <c r="O78"/>
      <c r="U78"/>
      <c r="V78"/>
      <c r="W78"/>
      <c r="X78"/>
      <c r="Y78"/>
      <c r="Z78"/>
      <c r="AA78"/>
      <c r="AB78"/>
      <c r="AC78"/>
      <c r="AD78"/>
      <c r="AE78"/>
      <c r="AF78"/>
      <c r="AG78"/>
      <c r="AH78"/>
      <c r="AI78"/>
      <c r="AJ78"/>
      <c r="AK78" s="1025"/>
      <c r="CE78"/>
      <c r="CF78"/>
      <c r="CG78"/>
      <c r="CH78"/>
      <c r="CI78"/>
      <c r="CJ78"/>
      <c r="CK78"/>
      <c r="CL78"/>
      <c r="CM78"/>
      <c r="CN78" s="1074"/>
      <c r="CO78"/>
      <c r="CP78"/>
      <c r="CQ78" s="1078" t="s">
        <v>596</v>
      </c>
      <c r="CR78" s="397"/>
      <c r="CW78"/>
      <c r="CX78"/>
      <c r="CY78"/>
      <c r="CZ78"/>
      <c r="DK78"/>
      <c r="DL78"/>
      <c r="DM78"/>
      <c r="DN78"/>
      <c r="DO78"/>
      <c r="DP78"/>
      <c r="DQ78"/>
      <c r="DR78"/>
      <c r="DS78"/>
    </row>
    <row r="79" spans="1:123" ht="14.4">
      <c r="A79"/>
      <c r="B79"/>
      <c r="C79"/>
      <c r="D79"/>
      <c r="E79"/>
      <c r="F79"/>
      <c r="G79"/>
      <c r="H79"/>
      <c r="I79"/>
      <c r="J79"/>
      <c r="K79"/>
      <c r="L79"/>
      <c r="M79"/>
      <c r="N79"/>
      <c r="O79"/>
      <c r="U79"/>
      <c r="V79"/>
      <c r="W79"/>
      <c r="X79"/>
      <c r="Y79"/>
      <c r="Z79"/>
      <c r="AA79"/>
      <c r="AB79"/>
      <c r="AC79"/>
      <c r="AD79"/>
      <c r="AE79"/>
      <c r="AF79"/>
      <c r="AG79"/>
      <c r="AH79"/>
      <c r="AI79"/>
      <c r="AJ79"/>
      <c r="AK79" s="1025"/>
      <c r="CE79"/>
      <c r="CF79"/>
      <c r="CG79"/>
      <c r="CH79"/>
      <c r="CI79"/>
      <c r="CJ79" s="1025"/>
      <c r="CK79" s="1025"/>
      <c r="CL79" s="1025"/>
      <c r="CM79"/>
      <c r="CN79" s="1025"/>
      <c r="CO79"/>
      <c r="CP79"/>
      <c r="CQ79" s="1078" t="s">
        <v>468</v>
      </c>
      <c r="CR79" s="956"/>
      <c r="CS79"/>
      <c r="CT79"/>
      <c r="CU79"/>
      <c r="CV79"/>
      <c r="CW79"/>
      <c r="CX79"/>
      <c r="CY79"/>
      <c r="CZ79"/>
      <c r="DA79"/>
      <c r="DB79"/>
      <c r="DC79"/>
      <c r="DD79"/>
      <c r="DE79"/>
      <c r="DF79"/>
      <c r="DG79"/>
      <c r="DH79"/>
      <c r="DI79"/>
      <c r="DJ79"/>
      <c r="DK79"/>
      <c r="DL79"/>
      <c r="DM79"/>
      <c r="DN79"/>
      <c r="DO79"/>
      <c r="DP79"/>
      <c r="DQ79"/>
      <c r="DR79"/>
      <c r="DS79"/>
    </row>
    <row r="80" spans="1:123" ht="14.4">
      <c r="A80"/>
      <c r="B80"/>
      <c r="C80"/>
      <c r="D80"/>
      <c r="E80"/>
      <c r="F80"/>
      <c r="G80"/>
      <c r="H80"/>
      <c r="I80"/>
      <c r="J80"/>
      <c r="K80"/>
      <c r="L80"/>
      <c r="M80"/>
      <c r="N80"/>
      <c r="O80"/>
      <c r="U80"/>
      <c r="V80"/>
      <c r="W80"/>
      <c r="X80"/>
      <c r="Y80"/>
      <c r="Z80"/>
      <c r="AA80"/>
      <c r="AB80"/>
      <c r="AC80"/>
      <c r="AD80"/>
      <c r="AE80"/>
      <c r="AF80"/>
      <c r="AG80"/>
      <c r="AH80"/>
      <c r="AI80"/>
      <c r="AJ80"/>
      <c r="AK80" s="1025"/>
      <c r="CE80"/>
      <c r="CF80"/>
      <c r="CG80"/>
      <c r="CH80"/>
      <c r="CI80"/>
      <c r="CJ80"/>
      <c r="CK80"/>
      <c r="CL80"/>
      <c r="CM80"/>
      <c r="CN80" s="1025"/>
      <c r="CO80"/>
      <c r="CP80" s="1025"/>
      <c r="CQ80" s="955" t="s">
        <v>1095</v>
      </c>
      <c r="CR80" s="956"/>
      <c r="CS80"/>
      <c r="CT80"/>
      <c r="CU80"/>
      <c r="CV80"/>
      <c r="CW80"/>
      <c r="CX80"/>
      <c r="CY80"/>
      <c r="CZ80"/>
      <c r="DA80"/>
      <c r="DB80"/>
      <c r="DC80"/>
      <c r="DD80"/>
      <c r="DE80"/>
      <c r="DF80"/>
      <c r="DG80"/>
      <c r="DH80"/>
      <c r="DI80"/>
      <c r="DJ80"/>
      <c r="DK80"/>
      <c r="DL80"/>
      <c r="DM80"/>
      <c r="DN80"/>
      <c r="DO80"/>
      <c r="DP80"/>
      <c r="DQ80"/>
      <c r="DR80"/>
      <c r="DS80"/>
    </row>
    <row r="81" spans="1:123" ht="14.4">
      <c r="A81"/>
      <c r="B81"/>
      <c r="C81"/>
      <c r="D81"/>
      <c r="E81"/>
      <c r="F81"/>
      <c r="G81"/>
      <c r="H81"/>
      <c r="I81"/>
      <c r="J81"/>
      <c r="K81"/>
      <c r="L81"/>
      <c r="M81"/>
      <c r="N81"/>
      <c r="O81"/>
      <c r="U81"/>
      <c r="V81"/>
      <c r="W81"/>
      <c r="X81"/>
      <c r="Y81"/>
      <c r="Z81"/>
      <c r="AA81"/>
      <c r="AB81"/>
      <c r="AC81"/>
      <c r="AD81"/>
      <c r="AE81"/>
      <c r="AF81"/>
      <c r="AG81"/>
      <c r="AH81"/>
      <c r="AI81"/>
      <c r="AJ81"/>
      <c r="AK81" s="1025"/>
      <c r="CE81"/>
      <c r="CF81"/>
      <c r="CG81"/>
      <c r="CH81"/>
      <c r="CI81"/>
      <c r="CJ81"/>
      <c r="CK81"/>
      <c r="CL81"/>
      <c r="CM81"/>
      <c r="CN81" s="1025"/>
      <c r="CO81"/>
      <c r="CP81" s="1025"/>
      <c r="CQ81" s="154"/>
      <c r="CR81" s="850"/>
      <c r="CS81"/>
      <c r="CT81"/>
      <c r="CU81"/>
      <c r="CV81"/>
      <c r="CW81"/>
      <c r="CX81"/>
      <c r="CY81"/>
      <c r="CZ81"/>
      <c r="DA81"/>
      <c r="DB81"/>
      <c r="DC81"/>
      <c r="DD81"/>
      <c r="DE81"/>
      <c r="DF81"/>
      <c r="DG81"/>
      <c r="DH81"/>
      <c r="DI81"/>
      <c r="DJ81"/>
      <c r="DK81"/>
      <c r="DL81"/>
      <c r="DM81"/>
      <c r="DN81"/>
      <c r="DO81"/>
      <c r="DP81"/>
      <c r="DQ81"/>
      <c r="DR81"/>
      <c r="DS81"/>
    </row>
    <row r="82" spans="1:123" ht="14.4">
      <c r="A82"/>
      <c r="B82"/>
      <c r="C82"/>
      <c r="D82"/>
      <c r="E82"/>
      <c r="F82"/>
      <c r="G82"/>
      <c r="H82"/>
      <c r="I82"/>
      <c r="J82"/>
      <c r="K82"/>
      <c r="L82"/>
      <c r="M82"/>
      <c r="N82"/>
      <c r="O82"/>
      <c r="U82"/>
      <c r="V82"/>
      <c r="W82"/>
      <c r="X82"/>
      <c r="Y82"/>
      <c r="Z82"/>
      <c r="AA82"/>
      <c r="AB82"/>
      <c r="AC82"/>
      <c r="AD82"/>
      <c r="AE82"/>
      <c r="AF82"/>
      <c r="AG82"/>
      <c r="AH82"/>
      <c r="AI82"/>
      <c r="AJ82"/>
      <c r="AK82" s="1025"/>
      <c r="CE82"/>
      <c r="CF82"/>
      <c r="CG82"/>
      <c r="CH82"/>
      <c r="CI82"/>
      <c r="CJ82"/>
      <c r="CK82"/>
      <c r="CL82"/>
      <c r="CM82"/>
      <c r="CN82" s="1025"/>
      <c r="CO82"/>
      <c r="CP82" s="1025"/>
      <c r="CQ82"/>
      <c r="CR82"/>
      <c r="CS82"/>
      <c r="CT82"/>
      <c r="CU82"/>
      <c r="CV82"/>
      <c r="CW82"/>
      <c r="CX82"/>
      <c r="CY82"/>
      <c r="CZ82"/>
      <c r="DA82"/>
      <c r="DB82"/>
      <c r="DC82"/>
      <c r="DD82"/>
      <c r="DE82"/>
      <c r="DF82"/>
      <c r="DG82"/>
      <c r="DH82"/>
      <c r="DI82"/>
      <c r="DJ82"/>
      <c r="DK82"/>
      <c r="DL82"/>
      <c r="DM82"/>
      <c r="DN82"/>
      <c r="DO82"/>
      <c r="DP82"/>
      <c r="DQ82"/>
      <c r="DR82"/>
      <c r="DS82"/>
    </row>
    <row r="83" spans="1:123" ht="14.4">
      <c r="A83"/>
      <c r="B83"/>
      <c r="C83"/>
      <c r="D83"/>
      <c r="E83"/>
      <c r="F83"/>
      <c r="G83"/>
      <c r="H83"/>
      <c r="I83"/>
      <c r="J83"/>
      <c r="K83"/>
      <c r="L83"/>
      <c r="M83"/>
      <c r="N83"/>
      <c r="O83"/>
      <c r="U83"/>
      <c r="V83"/>
      <c r="W83"/>
      <c r="X83"/>
      <c r="Y83"/>
      <c r="Z83"/>
      <c r="AA83"/>
      <c r="AB83"/>
      <c r="AC83"/>
      <c r="AD83"/>
      <c r="AE83"/>
      <c r="AF83"/>
      <c r="AG83"/>
      <c r="AH83"/>
      <c r="AI83"/>
      <c r="AJ83"/>
      <c r="AK83" s="1025"/>
      <c r="AL83"/>
      <c r="AM83"/>
      <c r="AN83"/>
      <c r="AO83"/>
      <c r="AP83"/>
      <c r="AQ83"/>
      <c r="AR83"/>
      <c r="AS83"/>
      <c r="AT83"/>
      <c r="AU83" s="1074"/>
      <c r="AV83"/>
      <c r="AW83" s="1025"/>
      <c r="AX83"/>
      <c r="AY83"/>
      <c r="AZ83"/>
      <c r="BA83"/>
      <c r="BB83"/>
      <c r="BC83"/>
      <c r="BD83"/>
      <c r="BE83"/>
      <c r="BF83"/>
      <c r="BG83"/>
      <c r="BH83"/>
      <c r="BI83"/>
      <c r="BJ83"/>
      <c r="BK83"/>
      <c r="BL83"/>
      <c r="BM83"/>
      <c r="BN83"/>
      <c r="BO83"/>
      <c r="BP83"/>
      <c r="BQ83"/>
      <c r="BR83"/>
      <c r="BS83"/>
      <c r="BT83"/>
      <c r="BU83"/>
      <c r="BV83"/>
      <c r="BW83"/>
      <c r="BX83"/>
      <c r="BY83"/>
      <c r="BZ83"/>
    </row>
    <row r="95" spans="1:123" ht="12.75" customHeight="1"/>
    <row r="96" spans="1:123">
      <c r="U96" s="2036" t="s">
        <v>447</v>
      </c>
      <c r="V96" s="2037"/>
      <c r="W96" s="2037"/>
      <c r="X96" s="2037"/>
      <c r="Y96" s="2037"/>
      <c r="Z96" s="2037"/>
      <c r="AA96" s="2037"/>
      <c r="AB96" s="2037"/>
      <c r="AC96" s="2037"/>
      <c r="AD96" s="2037"/>
      <c r="AE96" s="2038"/>
    </row>
    <row r="97" spans="16:53">
      <c r="U97" s="396"/>
      <c r="AE97" s="397"/>
    </row>
    <row r="98" spans="16:53" ht="13.5" customHeight="1">
      <c r="U98" s="2039" t="s">
        <v>450</v>
      </c>
      <c r="V98" s="2040"/>
      <c r="X98" s="2043" t="s">
        <v>451</v>
      </c>
      <c r="Y98" s="2044"/>
      <c r="AA98" s="2047" t="s">
        <v>452</v>
      </c>
      <c r="AB98" s="2048"/>
      <c r="AD98" s="2051" t="s">
        <v>453</v>
      </c>
      <c r="AE98" s="2052"/>
    </row>
    <row r="99" spans="16:53">
      <c r="U99" s="2041"/>
      <c r="V99" s="2042"/>
      <c r="X99" s="2045"/>
      <c r="Y99" s="2046"/>
      <c r="AA99" s="2049"/>
      <c r="AB99" s="2050"/>
      <c r="AD99" s="2053"/>
      <c r="AE99" s="2054"/>
      <c r="AG99" s="2055" t="s">
        <v>454</v>
      </c>
      <c r="AH99" s="2055"/>
    </row>
    <row r="100" spans="16:53">
      <c r="U100" s="398" t="s">
        <v>455</v>
      </c>
      <c r="V100" s="399">
        <f>PI()*3.5*3.5*V103/(4*27)</f>
        <v>14.253522224620358</v>
      </c>
      <c r="X100" s="400" t="s">
        <v>455</v>
      </c>
      <c r="Y100" s="401">
        <f>PI()*4*4*Y103/(4*27)</f>
        <v>18.616845354606181</v>
      </c>
      <c r="AA100" s="400" t="s">
        <v>455</v>
      </c>
      <c r="AB100" s="401">
        <f>PI()*4.5*4.5*AB103/(4*27)</f>
        <v>23.561944901923447</v>
      </c>
      <c r="AD100" s="400" t="s">
        <v>455</v>
      </c>
      <c r="AE100" s="401">
        <f>PI()*5*5*AE103/(4*27)</f>
        <v>29.08882086657216</v>
      </c>
      <c r="AG100" s="402"/>
      <c r="AH100" s="403"/>
      <c r="AI100" s="403"/>
      <c r="AJ100" s="403"/>
      <c r="AK100" s="403"/>
      <c r="AL100" s="403"/>
      <c r="AM100" s="403"/>
      <c r="AN100" s="403"/>
      <c r="AO100" s="403"/>
      <c r="AP100" s="403"/>
      <c r="AQ100" s="403"/>
      <c r="AR100" s="403"/>
      <c r="AS100" s="403"/>
      <c r="AT100" s="403"/>
      <c r="AU100" s="403"/>
      <c r="AV100" s="403"/>
      <c r="AW100" s="403"/>
      <c r="AX100" s="1081"/>
      <c r="BA100" s="404" t="s">
        <v>456</v>
      </c>
    </row>
    <row r="101" spans="16:53">
      <c r="U101" s="405" t="s">
        <v>30</v>
      </c>
      <c r="V101" s="406" t="s">
        <v>31</v>
      </c>
      <c r="X101" s="545" t="s">
        <v>30</v>
      </c>
      <c r="Y101" s="443" t="s">
        <v>31</v>
      </c>
      <c r="AA101" s="407" t="s">
        <v>30</v>
      </c>
      <c r="AB101" s="408" t="s">
        <v>31</v>
      </c>
      <c r="AD101" s="407" t="s">
        <v>30</v>
      </c>
      <c r="AE101" s="408" t="s">
        <v>31</v>
      </c>
      <c r="AG101" s="409"/>
      <c r="AH101" s="410"/>
      <c r="AI101" s="410"/>
      <c r="AJ101" s="410"/>
      <c r="AK101" s="410"/>
      <c r="AL101" s="410"/>
      <c r="AM101" s="410"/>
      <c r="AN101" s="410"/>
      <c r="AO101" s="410"/>
      <c r="AP101" s="410"/>
      <c r="AQ101" s="410"/>
      <c r="AR101" s="410"/>
      <c r="AS101" s="410"/>
      <c r="AT101" s="410"/>
      <c r="AU101" s="410"/>
      <c r="AV101" s="410"/>
      <c r="AW101" s="410"/>
      <c r="AX101" s="411"/>
      <c r="BA101" s="412" t="s">
        <v>457</v>
      </c>
    </row>
    <row r="102" spans="16:53">
      <c r="U102" s="413">
        <v>0</v>
      </c>
      <c r="V102" s="489">
        <v>0</v>
      </c>
      <c r="X102" s="414">
        <v>0</v>
      </c>
      <c r="Y102" s="415">
        <v>0</v>
      </c>
      <c r="AA102" s="416">
        <v>0</v>
      </c>
      <c r="AB102" s="416">
        <v>0</v>
      </c>
      <c r="AD102" s="417">
        <v>0</v>
      </c>
      <c r="AE102" s="417">
        <v>0</v>
      </c>
      <c r="AG102" s="409"/>
      <c r="AH102" s="410"/>
      <c r="AI102" s="410"/>
      <c r="AJ102" s="410"/>
      <c r="AK102" s="410"/>
      <c r="AL102" s="410"/>
      <c r="AM102" s="410"/>
      <c r="AN102" s="410"/>
      <c r="AO102" s="410"/>
      <c r="AP102" s="410"/>
      <c r="AQ102" s="410"/>
      <c r="AR102" s="410"/>
      <c r="AS102" s="410"/>
      <c r="AT102" s="410"/>
      <c r="AU102" s="410"/>
      <c r="AV102" s="410"/>
      <c r="AW102" s="410"/>
      <c r="AX102" s="411"/>
      <c r="BA102" s="418" t="s">
        <v>458</v>
      </c>
    </row>
    <row r="103" spans="16:53">
      <c r="Q103" s="412" t="s">
        <v>459</v>
      </c>
      <c r="T103" s="397"/>
      <c r="U103" s="419">
        <f>V100*AC115</f>
        <v>0.29181964706106867</v>
      </c>
      <c r="V103" s="420">
        <f>Q29</f>
        <v>40</v>
      </c>
      <c r="X103" s="421">
        <f>Y100*AC116</f>
        <v>0.36211745066018031</v>
      </c>
      <c r="Y103" s="422">
        <f>Q29</f>
        <v>40</v>
      </c>
      <c r="AA103" s="423">
        <f>AB100*AC117</f>
        <v>0.42836941608737894</v>
      </c>
      <c r="AB103" s="424">
        <f>Q29</f>
        <v>40</v>
      </c>
      <c r="AD103" s="425">
        <f>AE100*AC118</f>
        <v>0.47287840567061196</v>
      </c>
      <c r="AE103" s="426">
        <f>Q29</f>
        <v>40</v>
      </c>
      <c r="AG103" s="409"/>
      <c r="AH103" s="410"/>
      <c r="AI103" s="410"/>
      <c r="AJ103" s="410"/>
      <c r="AK103" s="410"/>
      <c r="AL103" s="410"/>
      <c r="AM103" s="410"/>
      <c r="AN103" s="410"/>
      <c r="AO103" s="410"/>
      <c r="AP103" s="410"/>
      <c r="AQ103" s="410"/>
      <c r="AR103" s="410"/>
      <c r="AS103" s="410"/>
      <c r="AT103" s="410"/>
      <c r="AU103" s="410"/>
      <c r="AV103" s="410"/>
      <c r="AW103" s="410"/>
      <c r="AX103" s="411"/>
      <c r="BA103" s="427" t="s">
        <v>31</v>
      </c>
    </row>
    <row r="104" spans="16:53">
      <c r="P104" s="428" t="s">
        <v>174</v>
      </c>
      <c r="Q104" s="418" t="s">
        <v>460</v>
      </c>
      <c r="T104" s="397"/>
      <c r="U104" s="396"/>
      <c r="AE104" s="397"/>
      <c r="AG104" s="409"/>
      <c r="AH104" s="410"/>
      <c r="AI104" s="410"/>
      <c r="AJ104" s="410"/>
      <c r="AK104" s="410"/>
      <c r="AL104" s="410"/>
      <c r="AM104" s="410"/>
      <c r="AN104" s="410"/>
      <c r="AO104" s="410"/>
      <c r="AP104" s="410"/>
      <c r="AQ104" s="410"/>
      <c r="AR104" s="410"/>
      <c r="AS104" s="410"/>
      <c r="AT104" s="410"/>
      <c r="AU104" s="410"/>
      <c r="AV104" s="410"/>
      <c r="AW104" s="410"/>
      <c r="AX104" s="411"/>
      <c r="BA104" s="961">
        <v>10</v>
      </c>
    </row>
    <row r="105" spans="16:53">
      <c r="P105" s="429" t="s">
        <v>13</v>
      </c>
      <c r="Q105" s="427" t="s">
        <v>461</v>
      </c>
      <c r="T105" s="397"/>
      <c r="U105" s="396"/>
      <c r="AE105" s="397"/>
      <c r="AG105" s="409"/>
      <c r="AH105" s="410"/>
      <c r="AI105" s="410"/>
      <c r="AJ105" s="410"/>
      <c r="AK105" s="410"/>
      <c r="AL105" s="410"/>
      <c r="AM105" s="410"/>
      <c r="AN105" s="410"/>
      <c r="AO105" s="410"/>
      <c r="AP105" s="410"/>
      <c r="AQ105" s="410"/>
      <c r="AR105" s="410"/>
      <c r="AS105" s="410"/>
      <c r="AT105" s="410"/>
      <c r="AU105" s="410"/>
      <c r="AV105" s="410"/>
      <c r="AW105" s="410"/>
      <c r="AX105" s="411"/>
      <c r="BA105" s="961">
        <v>20</v>
      </c>
    </row>
    <row r="106" spans="16:53">
      <c r="P106" s="967">
        <v>3.5</v>
      </c>
      <c r="Q106" s="430">
        <f>AC115</f>
        <v>2.0473511210934478E-2</v>
      </c>
      <c r="U106" s="431"/>
      <c r="V106" s="432"/>
      <c r="W106" s="432"/>
      <c r="X106" s="432"/>
      <c r="Y106" s="432"/>
      <c r="Z106" s="432"/>
      <c r="AA106" s="432"/>
      <c r="AB106" s="432"/>
      <c r="AC106" s="432"/>
      <c r="AD106" s="432"/>
      <c r="AE106" s="433"/>
      <c r="AG106" s="409"/>
      <c r="AH106" s="410"/>
      <c r="AI106" s="410"/>
      <c r="AJ106" s="410"/>
      <c r="AK106" s="410"/>
      <c r="AL106" s="410"/>
      <c r="AM106" s="410"/>
      <c r="AN106" s="410"/>
      <c r="AO106" s="410"/>
      <c r="AP106" s="410"/>
      <c r="AQ106" s="410"/>
      <c r="AR106" s="410"/>
      <c r="AS106" s="410"/>
      <c r="AT106" s="410"/>
      <c r="AU106" s="410"/>
      <c r="AV106" s="410"/>
      <c r="AW106" s="410"/>
      <c r="AX106" s="411"/>
      <c r="BA106" s="961">
        <v>30</v>
      </c>
    </row>
    <row r="107" spans="16:53">
      <c r="P107" s="434">
        <v>4</v>
      </c>
      <c r="Q107" s="435">
        <f>AC116</f>
        <v>1.9451064010186085E-2</v>
      </c>
      <c r="AG107" s="409"/>
      <c r="AH107" s="410"/>
      <c r="AI107" s="410"/>
      <c r="AJ107" s="410"/>
      <c r="AK107" s="410"/>
      <c r="AL107" s="410"/>
      <c r="AM107" s="410"/>
      <c r="AN107" s="410"/>
      <c r="AO107" s="410"/>
      <c r="AP107" s="410"/>
      <c r="AQ107" s="410"/>
      <c r="AR107" s="410"/>
      <c r="AS107" s="410"/>
      <c r="AT107" s="410"/>
      <c r="AU107" s="410"/>
      <c r="AV107" s="410"/>
      <c r="AW107" s="410"/>
      <c r="AX107" s="411"/>
      <c r="BA107" s="961">
        <v>40</v>
      </c>
    </row>
    <row r="108" spans="16:53">
      <c r="P108" s="436">
        <v>4.5</v>
      </c>
      <c r="Q108" s="437">
        <f>AC117</f>
        <v>1.8180562677252064E-2</v>
      </c>
      <c r="AG108" s="409"/>
      <c r="AH108" s="410"/>
      <c r="AI108" s="410"/>
      <c r="AJ108" s="410"/>
      <c r="AK108" s="410"/>
      <c r="AL108" s="410"/>
      <c r="AM108" s="410"/>
      <c r="AN108" s="410"/>
      <c r="AO108" s="410"/>
      <c r="AP108" s="410"/>
      <c r="AQ108" s="410"/>
      <c r="AR108" s="410"/>
      <c r="AS108" s="410"/>
      <c r="AT108" s="410"/>
      <c r="AU108" s="410"/>
      <c r="AV108" s="410"/>
      <c r="AW108" s="410"/>
      <c r="AX108" s="411"/>
      <c r="BA108" s="961">
        <v>50</v>
      </c>
    </row>
    <row r="109" spans="16:53" ht="13.8" thickBot="1">
      <c r="P109" s="438">
        <v>5</v>
      </c>
      <c r="Q109" s="439">
        <f>AC118</f>
        <v>1.6256362120680767E-2</v>
      </c>
      <c r="AG109" s="409"/>
      <c r="AH109" s="410"/>
      <c r="AI109" s="410"/>
      <c r="AJ109" s="410"/>
      <c r="AK109" s="410"/>
      <c r="AL109" s="410"/>
      <c r="AM109" s="410"/>
      <c r="AN109" s="410"/>
      <c r="AO109" s="410"/>
      <c r="AP109" s="410"/>
      <c r="AQ109" s="410"/>
      <c r="AR109" s="410"/>
      <c r="AS109" s="410"/>
      <c r="AT109" s="410"/>
      <c r="AU109" s="410"/>
      <c r="AV109" s="410"/>
      <c r="AW109" s="410"/>
      <c r="AX109" s="411"/>
      <c r="BA109" s="961">
        <v>60</v>
      </c>
    </row>
    <row r="110" spans="16:53" ht="15.6" thickBot="1">
      <c r="P110" s="440" t="s">
        <v>462</v>
      </c>
      <c r="Q110" s="441">
        <f>AC119</f>
        <v>1.8163479559385048E-2</v>
      </c>
      <c r="V110" s="2077" t="s">
        <v>463</v>
      </c>
      <c r="W110" s="2078"/>
      <c r="X110" s="2078"/>
      <c r="Y110" s="2078"/>
      <c r="Z110" s="2078"/>
      <c r="AA110" s="2078"/>
      <c r="AB110" s="2079"/>
      <c r="AG110" s="409"/>
      <c r="AH110" s="410"/>
      <c r="AI110" s="410"/>
      <c r="AJ110" s="410"/>
      <c r="AK110" s="410"/>
      <c r="AL110" s="410"/>
      <c r="AM110" s="410"/>
      <c r="AN110" s="410"/>
      <c r="AO110" s="410"/>
      <c r="AP110" s="410"/>
      <c r="AQ110" s="410"/>
      <c r="AR110" s="410"/>
      <c r="AS110" s="410"/>
      <c r="AT110" s="410"/>
      <c r="AU110" s="410"/>
      <c r="AV110" s="410"/>
      <c r="AW110" s="410"/>
      <c r="AX110" s="411"/>
      <c r="BA110" s="961">
        <v>70</v>
      </c>
    </row>
    <row r="111" spans="16:53">
      <c r="V111" s="2080" t="s">
        <v>464</v>
      </c>
      <c r="W111" s="2081"/>
      <c r="X111" s="2081"/>
      <c r="Y111" s="2081"/>
      <c r="Z111" s="2081"/>
      <c r="AA111" s="2081"/>
      <c r="AB111" s="2082"/>
      <c r="AG111" s="409"/>
      <c r="AH111" s="410"/>
      <c r="AI111" s="410"/>
      <c r="AJ111" s="410"/>
      <c r="AK111" s="410"/>
      <c r="AL111" s="410"/>
      <c r="AM111" s="410"/>
      <c r="AN111" s="410"/>
      <c r="AO111" s="410"/>
      <c r="AP111" s="410"/>
      <c r="AQ111" s="410"/>
      <c r="AR111" s="410"/>
      <c r="AS111" s="410"/>
      <c r="AT111" s="410"/>
      <c r="AU111" s="410"/>
      <c r="AV111" s="410"/>
      <c r="AW111" s="410"/>
      <c r="AX111" s="411"/>
      <c r="BA111" s="961">
        <v>80</v>
      </c>
    </row>
    <row r="112" spans="16:53" ht="14.4">
      <c r="P112" s="395" t="s">
        <v>465</v>
      </c>
      <c r="V112" s="2080" t="s">
        <v>466</v>
      </c>
      <c r="W112" s="2081"/>
      <c r="X112" s="2082"/>
      <c r="Y112" s="2080" t="s">
        <v>467</v>
      </c>
      <c r="Z112" s="2082"/>
      <c r="AA112" s="2080" t="s">
        <v>468</v>
      </c>
      <c r="AB112" s="2082"/>
      <c r="AG112" s="409"/>
      <c r="AH112" s="410"/>
      <c r="AI112" s="410"/>
      <c r="AJ112" s="410"/>
      <c r="AK112" s="410"/>
      <c r="AL112" s="410"/>
      <c r="AM112" s="410"/>
      <c r="AN112" s="410"/>
      <c r="AO112" s="410"/>
      <c r="AP112" s="410"/>
      <c r="AQ112" s="410"/>
      <c r="AR112" s="410"/>
      <c r="AS112" s="410"/>
      <c r="AT112" s="410"/>
      <c r="AU112" s="410"/>
      <c r="AV112" s="410"/>
      <c r="AW112" s="410"/>
      <c r="AX112" s="411"/>
      <c r="BA112" s="961">
        <v>90</v>
      </c>
    </row>
    <row r="113" spans="15:53">
      <c r="U113" s="412" t="s">
        <v>174</v>
      </c>
      <c r="V113" s="2083">
        <v>2013</v>
      </c>
      <c r="W113" s="2083" t="s">
        <v>469</v>
      </c>
      <c r="X113" s="2083">
        <v>2010</v>
      </c>
      <c r="Y113" s="2056" t="s">
        <v>470</v>
      </c>
      <c r="Z113" s="2056">
        <v>2010</v>
      </c>
      <c r="AA113" s="2056" t="s">
        <v>471</v>
      </c>
      <c r="AB113" s="2056" t="s">
        <v>469</v>
      </c>
      <c r="AC113" s="1082" t="s">
        <v>472</v>
      </c>
      <c r="AG113" s="409"/>
      <c r="AH113" s="410"/>
      <c r="AI113" s="410"/>
      <c r="AJ113" s="410"/>
      <c r="AK113" s="410"/>
      <c r="AL113" s="410"/>
      <c r="AM113" s="410"/>
      <c r="AN113" s="410"/>
      <c r="AO113" s="410"/>
      <c r="AP113" s="410"/>
      <c r="AQ113" s="410"/>
      <c r="AR113" s="410"/>
      <c r="AS113" s="410"/>
      <c r="AT113" s="410"/>
      <c r="AU113" s="410"/>
      <c r="AV113" s="410"/>
      <c r="AW113" s="410"/>
      <c r="AX113" s="411"/>
      <c r="BA113" s="961">
        <v>100</v>
      </c>
    </row>
    <row r="114" spans="15:53">
      <c r="U114" s="442" t="s">
        <v>13</v>
      </c>
      <c r="V114" s="2084"/>
      <c r="W114" s="2084"/>
      <c r="X114" s="2085"/>
      <c r="Y114" s="2057"/>
      <c r="Z114" s="2057"/>
      <c r="AA114" s="2057"/>
      <c r="AB114" s="2057"/>
      <c r="AC114" s="443" t="s">
        <v>461</v>
      </c>
      <c r="AG114" s="409"/>
      <c r="AH114" s="410"/>
      <c r="AI114" s="410"/>
      <c r="AJ114" s="410"/>
      <c r="AK114" s="410"/>
      <c r="AL114" s="410"/>
      <c r="AM114" s="410"/>
      <c r="AN114" s="410"/>
      <c r="AO114" s="410"/>
      <c r="AP114" s="410"/>
      <c r="AQ114" s="410"/>
      <c r="AR114" s="410"/>
      <c r="AS114" s="410"/>
      <c r="AT114" s="410"/>
      <c r="AU114" s="410"/>
      <c r="AV114" s="410"/>
      <c r="AW114" s="410"/>
      <c r="AX114" s="411"/>
      <c r="BA114" s="961">
        <v>110</v>
      </c>
    </row>
    <row r="115" spans="15:53">
      <c r="O115" s="2058" t="s">
        <v>473</v>
      </c>
      <c r="P115" s="2059"/>
      <c r="Q115" s="2059"/>
      <c r="R115" s="2059"/>
      <c r="S115" s="2060"/>
      <c r="U115" s="967">
        <v>3.5</v>
      </c>
      <c r="V115" s="444" t="s">
        <v>196</v>
      </c>
      <c r="W115" s="444" t="s">
        <v>196</v>
      </c>
      <c r="X115" s="958">
        <f>BG184</f>
        <v>2.0473511210934478E-2</v>
      </c>
      <c r="Y115" s="444" t="s">
        <v>196</v>
      </c>
      <c r="Z115" s="444" t="s">
        <v>196</v>
      </c>
      <c r="AA115" s="444" t="s">
        <v>196</v>
      </c>
      <c r="AB115" s="445" t="s">
        <v>196</v>
      </c>
      <c r="AC115" s="430">
        <f>X115</f>
        <v>2.0473511210934478E-2</v>
      </c>
      <c r="AG115" s="409"/>
      <c r="AH115" s="410"/>
      <c r="AI115" s="410"/>
      <c r="AJ115" s="410"/>
      <c r="AK115" s="410"/>
      <c r="AL115" s="410"/>
      <c r="AM115" s="410"/>
      <c r="AN115" s="410"/>
      <c r="AO115" s="410"/>
      <c r="AP115" s="410"/>
      <c r="AQ115" s="410"/>
      <c r="AR115" s="410"/>
      <c r="AS115" s="410"/>
      <c r="AT115" s="410"/>
      <c r="AU115" s="410"/>
      <c r="AV115" s="410"/>
      <c r="AW115" s="410"/>
      <c r="AX115" s="411"/>
      <c r="BA115" s="961">
        <v>120</v>
      </c>
    </row>
    <row r="116" spans="15:53">
      <c r="O116" s="2061"/>
      <c r="P116" s="2062"/>
      <c r="Q116" s="2062"/>
      <c r="R116" s="2062"/>
      <c r="S116" s="2063"/>
      <c r="U116" s="434">
        <v>4</v>
      </c>
      <c r="V116" s="1083">
        <f>CC184</f>
        <v>1.9404763814089503E-2</v>
      </c>
      <c r="W116" s="1083">
        <f>BR184</f>
        <v>1.9389192409715497E-2</v>
      </c>
      <c r="X116" s="1084">
        <f>BG188</f>
        <v>1.9000185521292932E-2</v>
      </c>
      <c r="Y116" s="1084">
        <f>AS242</f>
        <v>1.9478237289350043E-2</v>
      </c>
      <c r="Z116" s="1084">
        <f>AY242</f>
        <v>2.0435506282277766E-2</v>
      </c>
      <c r="AA116" s="1084">
        <f>AS274</f>
        <v>1.8997843154188239E-2</v>
      </c>
      <c r="AB116" s="1084">
        <f>AX274</f>
        <v>1.945171960038862E-2</v>
      </c>
      <c r="AC116" s="435">
        <f>SUM(V116:AB116)/7</f>
        <v>1.9451064010186085E-2</v>
      </c>
      <c r="AG116" s="409"/>
      <c r="AH116" s="410"/>
      <c r="AI116" s="410"/>
      <c r="AJ116" s="410"/>
      <c r="AK116" s="410"/>
      <c r="AL116" s="410"/>
      <c r="AM116" s="410"/>
      <c r="AN116" s="410"/>
      <c r="AO116" s="410"/>
      <c r="AP116" s="410"/>
      <c r="AQ116" s="410"/>
      <c r="AR116" s="410"/>
      <c r="AS116" s="410"/>
      <c r="AT116" s="410"/>
      <c r="AU116" s="410"/>
      <c r="AV116" s="410"/>
      <c r="AW116" s="410"/>
      <c r="AX116" s="411"/>
      <c r="BA116" s="961">
        <v>130</v>
      </c>
    </row>
    <row r="117" spans="15:53">
      <c r="O117" s="2061"/>
      <c r="P117" s="2062"/>
      <c r="Q117" s="2062"/>
      <c r="R117" s="2062"/>
      <c r="S117" s="2063"/>
      <c r="U117" s="436">
        <v>4.5</v>
      </c>
      <c r="V117" s="1084">
        <f>CC186</f>
        <v>1.8373913977221365E-2</v>
      </c>
      <c r="W117" s="1084">
        <f>BR187</f>
        <v>1.8280882817476442E-2</v>
      </c>
      <c r="X117" s="1084">
        <f>BG195</f>
        <v>1.7680122558405672E-2</v>
      </c>
      <c r="Y117" s="1084">
        <f>AT242</f>
        <v>1.8125532213230634E-2</v>
      </c>
      <c r="Z117" s="1084">
        <f>AZ242</f>
        <v>1.9009178442341935E-2</v>
      </c>
      <c r="AA117" s="1084">
        <f>AT274</f>
        <v>1.7682701176083782E-2</v>
      </c>
      <c r="AB117" s="1084">
        <f>AY274</f>
        <v>1.8111607556004605E-2</v>
      </c>
      <c r="AC117" s="437">
        <f>SUM(V117:AB117)/7</f>
        <v>1.8180562677252064E-2</v>
      </c>
      <c r="AG117" s="409"/>
      <c r="AH117" s="410"/>
      <c r="AI117" s="410"/>
      <c r="AJ117" s="410"/>
      <c r="AK117" s="410"/>
      <c r="AL117" s="410"/>
      <c r="AM117" s="410"/>
      <c r="AN117" s="410"/>
      <c r="AO117" s="410"/>
      <c r="AP117" s="410"/>
      <c r="AQ117" s="410"/>
      <c r="AR117" s="410"/>
      <c r="AS117" s="410"/>
      <c r="AT117" s="410"/>
      <c r="AU117" s="410"/>
      <c r="AV117" s="410"/>
      <c r="AW117" s="410"/>
      <c r="AX117" s="411"/>
      <c r="BA117" s="961">
        <v>140</v>
      </c>
    </row>
    <row r="118" spans="15:53" ht="13.8" thickBot="1">
      <c r="O118" s="2064" t="s">
        <v>474</v>
      </c>
      <c r="P118" s="2065"/>
      <c r="Q118" s="2065"/>
      <c r="R118" s="2065"/>
      <c r="S118" s="2066"/>
      <c r="U118" s="438">
        <v>5</v>
      </c>
      <c r="V118" s="1084">
        <f>CC191</f>
        <v>1.6266971803670555E-2</v>
      </c>
      <c r="W118" s="1084">
        <f>BR194</f>
        <v>1.6266971803670555E-2</v>
      </c>
      <c r="X118" s="959" t="s">
        <v>196</v>
      </c>
      <c r="Y118" s="1084">
        <f>AU242</f>
        <v>1.5890732094817235E-2</v>
      </c>
      <c r="Z118" s="1084">
        <f>BA242</f>
        <v>1.7701206224554657E-2</v>
      </c>
      <c r="AA118" s="1084">
        <f>AU274</f>
        <v>1.5513062653751577E-2</v>
      </c>
      <c r="AB118" s="1085">
        <f>AZ274</f>
        <v>1.5899228143620013E-2</v>
      </c>
      <c r="AC118" s="439">
        <f>SUM(V118:AB118)/6</f>
        <v>1.6256362120680767E-2</v>
      </c>
      <c r="AG118" s="409"/>
      <c r="AH118" s="410"/>
      <c r="AI118" s="410"/>
      <c r="AJ118" s="410"/>
      <c r="AK118" s="410"/>
      <c r="AL118" s="410"/>
      <c r="AM118" s="410"/>
      <c r="AN118" s="410"/>
      <c r="AO118" s="410"/>
      <c r="AP118" s="410"/>
      <c r="AQ118" s="410"/>
      <c r="AR118" s="410"/>
      <c r="AS118" s="410"/>
      <c r="AT118" s="410"/>
      <c r="AU118" s="410"/>
      <c r="AV118" s="410"/>
      <c r="AW118" s="410"/>
      <c r="AX118" s="411"/>
      <c r="BA118" s="961">
        <v>150</v>
      </c>
    </row>
    <row r="119" spans="15:53" ht="13.8" thickBot="1">
      <c r="O119" s="2064"/>
      <c r="P119" s="2065"/>
      <c r="Q119" s="2065"/>
      <c r="R119" s="2065"/>
      <c r="S119" s="2066"/>
      <c r="AA119" s="2070" t="s">
        <v>462</v>
      </c>
      <c r="AB119" s="2070"/>
      <c r="AC119" s="441">
        <f>SUM(X115,V116:AB117,V118:W118,Y118:AB118)/21</f>
        <v>1.8163479559385048E-2</v>
      </c>
      <c r="AG119" s="409"/>
      <c r="AH119" s="410"/>
      <c r="AI119" s="410"/>
      <c r="AJ119" s="410"/>
      <c r="AK119" s="410"/>
      <c r="AL119" s="410"/>
      <c r="AM119" s="410"/>
      <c r="AN119" s="410"/>
      <c r="AO119" s="410"/>
      <c r="AP119" s="410"/>
      <c r="AQ119" s="410"/>
      <c r="AR119" s="410"/>
      <c r="AS119" s="410"/>
      <c r="AT119" s="410"/>
      <c r="AU119" s="410"/>
      <c r="AV119" s="410"/>
      <c r="AW119" s="410"/>
      <c r="AX119" s="411"/>
    </row>
    <row r="120" spans="15:53" ht="15.75" customHeight="1">
      <c r="O120" s="2064"/>
      <c r="P120" s="2065"/>
      <c r="Q120" s="2065"/>
      <c r="R120" s="2065"/>
      <c r="S120" s="2066"/>
      <c r="AG120" s="409"/>
      <c r="AH120" s="410"/>
      <c r="AI120" s="410"/>
      <c r="AJ120" s="410"/>
      <c r="AK120" s="410"/>
      <c r="AL120" s="410"/>
      <c r="AM120" s="410"/>
      <c r="AN120" s="410"/>
      <c r="AO120" s="410"/>
      <c r="AP120" s="410"/>
      <c r="AQ120" s="410"/>
      <c r="AR120" s="410"/>
      <c r="AS120" s="410"/>
      <c r="AT120" s="410"/>
      <c r="AU120" s="410"/>
      <c r="AV120" s="410"/>
      <c r="AW120" s="410"/>
      <c r="AX120" s="411"/>
    </row>
    <row r="121" spans="15:53">
      <c r="O121" s="2067"/>
      <c r="P121" s="2068"/>
      <c r="Q121" s="2068"/>
      <c r="R121" s="2068"/>
      <c r="S121" s="2069"/>
      <c r="U121" s="412" t="s">
        <v>174</v>
      </c>
      <c r="V121" s="2071" t="s">
        <v>475</v>
      </c>
      <c r="W121" s="2072"/>
      <c r="X121" s="2073"/>
      <c r="Y121" s="2071" t="s">
        <v>476</v>
      </c>
      <c r="Z121" s="2073"/>
      <c r="AA121" s="2071" t="s">
        <v>477</v>
      </c>
      <c r="AB121" s="2073"/>
      <c r="AG121" s="409"/>
      <c r="AH121" s="410"/>
      <c r="AI121" s="410"/>
      <c r="AJ121" s="410"/>
      <c r="AK121" s="410"/>
      <c r="AL121" s="410"/>
      <c r="AM121" s="410"/>
      <c r="AN121" s="410"/>
      <c r="AO121" s="410"/>
      <c r="AP121" s="410"/>
      <c r="AQ121" s="410"/>
      <c r="AR121" s="410"/>
      <c r="AS121" s="410"/>
      <c r="AT121" s="410"/>
      <c r="AU121" s="410"/>
      <c r="AV121" s="410"/>
      <c r="AW121" s="410"/>
      <c r="AX121" s="411"/>
    </row>
    <row r="122" spans="15:53" ht="12.75" customHeight="1" thickBot="1">
      <c r="U122" s="442" t="s">
        <v>13</v>
      </c>
      <c r="V122" s="2074"/>
      <c r="W122" s="2075"/>
      <c r="X122" s="2076"/>
      <c r="Y122" s="2074"/>
      <c r="Z122" s="2076"/>
      <c r="AA122" s="2074"/>
      <c r="AB122" s="2076"/>
      <c r="AC122" s="446" t="s">
        <v>472</v>
      </c>
      <c r="AG122" s="409"/>
      <c r="AH122" s="410"/>
      <c r="AI122" s="410"/>
      <c r="AJ122" s="410"/>
      <c r="AK122" s="410"/>
      <c r="AL122" s="410"/>
      <c r="AM122" s="410"/>
      <c r="AN122" s="410"/>
      <c r="AO122" s="410"/>
      <c r="AP122" s="410"/>
      <c r="AQ122" s="410"/>
      <c r="AR122" s="410"/>
      <c r="AS122" s="410"/>
      <c r="AT122" s="410"/>
      <c r="AU122" s="410"/>
      <c r="AV122" s="410"/>
      <c r="AW122" s="410"/>
      <c r="AX122" s="411"/>
    </row>
    <row r="123" spans="15:53" ht="12.75" customHeight="1" thickBot="1">
      <c r="O123" s="447"/>
      <c r="P123" s="2086" t="s">
        <v>478</v>
      </c>
      <c r="Q123" s="2086"/>
      <c r="R123" s="2086"/>
      <c r="S123" s="2086"/>
      <c r="U123" s="967">
        <v>3.5</v>
      </c>
      <c r="V123" s="2087">
        <f>X115</f>
        <v>2.0473511210934478E-2</v>
      </c>
      <c r="W123" s="2087"/>
      <c r="X123" s="2087"/>
      <c r="Y123" s="2097" t="s">
        <v>196</v>
      </c>
      <c r="Z123" s="2087"/>
      <c r="AA123" s="2097" t="s">
        <v>196</v>
      </c>
      <c r="AB123" s="2087"/>
      <c r="AC123" s="430">
        <f>AC115</f>
        <v>2.0473511210934478E-2</v>
      </c>
      <c r="AD123" s="448"/>
      <c r="AE123" s="449"/>
      <c r="AG123" s="409"/>
      <c r="AH123" s="410"/>
      <c r="AI123" s="410"/>
      <c r="AJ123" s="410"/>
      <c r="AK123" s="410"/>
      <c r="AL123" s="410"/>
      <c r="AM123" s="410"/>
      <c r="AN123" s="410"/>
      <c r="AO123" s="410"/>
      <c r="AP123" s="410"/>
      <c r="AQ123" s="410"/>
      <c r="AR123" s="410"/>
      <c r="AS123" s="410"/>
      <c r="AT123" s="410"/>
      <c r="AU123" s="410"/>
      <c r="AV123" s="410"/>
      <c r="AW123" s="410"/>
      <c r="AX123" s="411"/>
    </row>
    <row r="124" spans="15:53" ht="12.75" customHeight="1">
      <c r="P124" s="2086"/>
      <c r="Q124" s="2086"/>
      <c r="R124" s="2086"/>
      <c r="S124" s="2086"/>
      <c r="U124" s="434">
        <v>4</v>
      </c>
      <c r="V124" s="2087">
        <f>SUM(V116:X116)/3</f>
        <v>1.9264713915032646E-2</v>
      </c>
      <c r="W124" s="2087"/>
      <c r="X124" s="2087"/>
      <c r="Y124" s="2087">
        <f>SUM(Y116:Z116)/2</f>
        <v>1.9956871785813905E-2</v>
      </c>
      <c r="Z124" s="2087"/>
      <c r="AA124" s="2087">
        <f>SUM(AA116:AB116)/2</f>
        <v>1.9224781377288429E-2</v>
      </c>
      <c r="AB124" s="2087"/>
      <c r="AC124" s="435">
        <f>AC116</f>
        <v>1.9451064010186085E-2</v>
      </c>
      <c r="AD124" s="448"/>
      <c r="AE124" s="449"/>
      <c r="AG124" s="409"/>
      <c r="AH124" s="410"/>
      <c r="AI124" s="410"/>
      <c r="AJ124" s="410"/>
      <c r="AK124" s="410"/>
      <c r="AL124" s="410"/>
      <c r="AM124" s="410"/>
      <c r="AN124" s="410"/>
      <c r="AO124" s="410"/>
      <c r="AP124" s="410"/>
      <c r="AQ124" s="410"/>
      <c r="AR124" s="410"/>
      <c r="AS124" s="410"/>
      <c r="AT124" s="410"/>
      <c r="AU124" s="410"/>
      <c r="AV124" s="410"/>
      <c r="AW124" s="410"/>
      <c r="AX124" s="411"/>
    </row>
    <row r="125" spans="15:53" ht="12.75" customHeight="1">
      <c r="P125" s="2086"/>
      <c r="Q125" s="2086"/>
      <c r="R125" s="2086"/>
      <c r="S125" s="2086"/>
      <c r="U125" s="436">
        <v>4.5</v>
      </c>
      <c r="V125" s="2087">
        <f>SUM(V117:X117)/3</f>
        <v>1.811163978436783E-2</v>
      </c>
      <c r="W125" s="2087"/>
      <c r="X125" s="2087"/>
      <c r="Y125" s="2087">
        <f>SUM(Y117:Z117)/2</f>
        <v>1.8567355327786285E-2</v>
      </c>
      <c r="Z125" s="2087"/>
      <c r="AA125" s="2087">
        <f>SUM(AA117:AB117)/2</f>
        <v>1.7897154366044193E-2</v>
      </c>
      <c r="AB125" s="2087"/>
      <c r="AC125" s="437">
        <f>AC117</f>
        <v>1.8180562677252064E-2</v>
      </c>
      <c r="AD125" s="448"/>
      <c r="AE125" s="449"/>
      <c r="AG125" s="409"/>
      <c r="AH125" s="410"/>
      <c r="AI125" s="410"/>
      <c r="AJ125" s="410"/>
      <c r="AK125" s="410"/>
      <c r="AL125" s="410"/>
      <c r="AM125" s="410"/>
      <c r="AN125" s="410"/>
      <c r="AO125" s="410"/>
      <c r="AP125" s="410"/>
      <c r="AQ125" s="410"/>
      <c r="AR125" s="410"/>
      <c r="AS125" s="410"/>
      <c r="AT125" s="410"/>
      <c r="AU125" s="410"/>
      <c r="AV125" s="410"/>
      <c r="AW125" s="410"/>
      <c r="AX125" s="411"/>
    </row>
    <row r="126" spans="15:53" ht="12.75" customHeight="1">
      <c r="O126" s="450"/>
      <c r="P126" s="2086" t="s">
        <v>479</v>
      </c>
      <c r="Q126" s="2086"/>
      <c r="R126" s="2086"/>
      <c r="S126" s="2086"/>
      <c r="U126" s="438">
        <v>5</v>
      </c>
      <c r="V126" s="2087">
        <f>SUM(V118:W118)/2</f>
        <v>1.6266971803670555E-2</v>
      </c>
      <c r="W126" s="2087"/>
      <c r="X126" s="2087"/>
      <c r="Y126" s="2087">
        <f>SUM(Y118:Z118)/2</f>
        <v>1.6795969159685946E-2</v>
      </c>
      <c r="Z126" s="2087"/>
      <c r="AA126" s="2087">
        <f>SUM(AA118:AB118)/2</f>
        <v>1.5706145398685794E-2</v>
      </c>
      <c r="AB126" s="2087"/>
      <c r="AC126" s="451">
        <f>AC118</f>
        <v>1.6256362120680767E-2</v>
      </c>
      <c r="AD126" s="448"/>
      <c r="AE126" s="449"/>
      <c r="AG126" s="409"/>
      <c r="AH126" s="410"/>
      <c r="AI126" s="410"/>
      <c r="AJ126" s="410"/>
      <c r="AK126" s="410"/>
      <c r="AL126" s="410"/>
      <c r="AM126" s="410"/>
      <c r="AN126" s="410"/>
      <c r="AO126" s="410"/>
      <c r="AP126" s="410"/>
      <c r="AQ126" s="410"/>
      <c r="AR126" s="410"/>
      <c r="AS126" s="410"/>
      <c r="AT126" s="410"/>
      <c r="AU126" s="410"/>
      <c r="AV126" s="410"/>
      <c r="AW126" s="410"/>
      <c r="AX126" s="411"/>
    </row>
    <row r="127" spans="15:53" ht="12.75" customHeight="1">
      <c r="O127" s="452"/>
      <c r="P127" s="2086"/>
      <c r="Q127" s="2086"/>
      <c r="R127" s="2086"/>
      <c r="S127" s="2086"/>
      <c r="T127" s="453"/>
      <c r="U127" s="453"/>
      <c r="V127" s="453"/>
      <c r="W127" s="453"/>
      <c r="AD127" s="448"/>
      <c r="AG127" s="454"/>
      <c r="AH127" s="455"/>
      <c r="AI127" s="455"/>
      <c r="AJ127" s="455"/>
      <c r="AK127" s="455"/>
      <c r="AL127" s="455"/>
      <c r="AM127" s="455"/>
      <c r="AN127" s="455"/>
      <c r="AO127" s="455"/>
      <c r="AP127" s="455"/>
      <c r="AQ127" s="455"/>
      <c r="AR127" s="455"/>
      <c r="AS127" s="455"/>
      <c r="AT127" s="455"/>
      <c r="AU127" s="455"/>
      <c r="AV127" s="455"/>
      <c r="AW127" s="455"/>
      <c r="AX127" s="456"/>
    </row>
    <row r="128" spans="15:53" ht="12.75" customHeight="1">
      <c r="P128" s="2086"/>
      <c r="Q128" s="2086"/>
      <c r="R128" s="2086"/>
      <c r="S128" s="2086"/>
      <c r="T128" s="453"/>
      <c r="U128" s="453"/>
      <c r="V128" s="453"/>
      <c r="W128" s="453"/>
      <c r="AE128" s="449"/>
    </row>
    <row r="129" spans="13:81">
      <c r="P129" s="2086"/>
      <c r="Q129" s="2086"/>
      <c r="R129" s="2086"/>
      <c r="S129" s="2086"/>
    </row>
    <row r="132" spans="13:81">
      <c r="AE132" s="449"/>
    </row>
    <row r="133" spans="13:81">
      <c r="AE133" s="449"/>
    </row>
    <row r="134" spans="13:81">
      <c r="AE134" s="449"/>
    </row>
    <row r="136" spans="13:81" ht="12.75" customHeight="1"/>
    <row r="137" spans="13:81" ht="15.9" customHeight="1"/>
    <row r="138" spans="13:81" ht="15.9" customHeight="1">
      <c r="M138" s="457"/>
      <c r="N138" s="457"/>
      <c r="T138" s="457"/>
    </row>
    <row r="139" spans="13:81" ht="15.9" customHeight="1">
      <c r="M139" s="457"/>
      <c r="N139" s="457"/>
      <c r="T139" s="457"/>
    </row>
    <row r="140" spans="13:81" ht="15.9" customHeight="1">
      <c r="M140" s="452"/>
      <c r="N140" s="452"/>
      <c r="T140" s="452"/>
    </row>
    <row r="141" spans="13:81" ht="15.9" customHeight="1"/>
    <row r="142" spans="13:81" ht="15.9" customHeight="1">
      <c r="M142" s="2088" t="s">
        <v>480</v>
      </c>
      <c r="N142" s="2089"/>
      <c r="O142" s="2089"/>
      <c r="P142" s="2089"/>
      <c r="Q142" s="2089"/>
      <c r="R142" s="2090"/>
      <c r="AZ142" s="2091" t="s">
        <v>481</v>
      </c>
      <c r="BA142" s="2092"/>
      <c r="BB142" s="2092"/>
      <c r="BC142" s="2092"/>
      <c r="BD142" s="2092"/>
      <c r="BE142" s="2092"/>
      <c r="BF142" s="2092"/>
      <c r="BG142" s="2092"/>
      <c r="BH142" s="2092"/>
      <c r="BI142" s="2092"/>
      <c r="BJ142" s="2092"/>
      <c r="BK142" s="2092"/>
      <c r="BL142" s="2092"/>
      <c r="BM142" s="2092"/>
      <c r="BN142" s="2092"/>
      <c r="BO142" s="2092"/>
      <c r="BP142" s="2092"/>
      <c r="BQ142" s="2092"/>
      <c r="BR142" s="2092"/>
      <c r="BS142" s="2092"/>
      <c r="BT142" s="2092"/>
      <c r="BU142" s="2092"/>
      <c r="BV142" s="2092"/>
      <c r="BW142" s="2092"/>
      <c r="BX142" s="2092"/>
      <c r="BY142" s="2092"/>
      <c r="BZ142" s="2092"/>
      <c r="CA142" s="2092"/>
      <c r="CB142" s="2092"/>
      <c r="CC142" s="2093"/>
    </row>
    <row r="143" spans="13:81" ht="15.9" customHeight="1">
      <c r="M143" s="458" t="s">
        <v>482</v>
      </c>
      <c r="N143" s="458" t="s">
        <v>482</v>
      </c>
      <c r="O143" s="458" t="s">
        <v>482</v>
      </c>
      <c r="P143" s="458" t="s">
        <v>482</v>
      </c>
      <c r="Q143" s="458" t="s">
        <v>482</v>
      </c>
      <c r="R143" s="458" t="s">
        <v>482</v>
      </c>
      <c r="S143" s="459" t="s">
        <v>483</v>
      </c>
      <c r="AZ143" s="2094"/>
      <c r="BA143" s="2095"/>
      <c r="BB143" s="2095"/>
      <c r="BC143" s="2095"/>
      <c r="BD143" s="2095"/>
      <c r="BE143" s="2095"/>
      <c r="BF143" s="2095"/>
      <c r="BG143" s="2095"/>
      <c r="BH143" s="2095"/>
      <c r="BI143" s="2095"/>
      <c r="BJ143" s="2095"/>
      <c r="BK143" s="2095"/>
      <c r="BL143" s="2095"/>
      <c r="BM143" s="2095"/>
      <c r="BN143" s="2095"/>
      <c r="BO143" s="2095"/>
      <c r="BP143" s="2095"/>
      <c r="BQ143" s="2095"/>
      <c r="BR143" s="2095"/>
      <c r="BS143" s="2095"/>
      <c r="BT143" s="2095"/>
      <c r="BU143" s="2095"/>
      <c r="BV143" s="2095"/>
      <c r="BW143" s="2095"/>
      <c r="BX143" s="2095"/>
      <c r="BY143" s="2095"/>
      <c r="BZ143" s="2095"/>
      <c r="CA143" s="2095"/>
      <c r="CB143" s="2095"/>
      <c r="CC143" s="2096"/>
    </row>
    <row r="144" spans="13:81" ht="15.6">
      <c r="S144" s="459" t="s">
        <v>484</v>
      </c>
      <c r="AZ144" s="460"/>
      <c r="BA144" s="461"/>
      <c r="BB144" s="461"/>
      <c r="BC144" s="461"/>
      <c r="BD144" s="461"/>
      <c r="BE144" s="461"/>
      <c r="BF144" s="461"/>
      <c r="BG144" s="461"/>
      <c r="BH144" s="461"/>
      <c r="BI144" s="461"/>
      <c r="BJ144" s="461"/>
      <c r="BK144" s="461"/>
      <c r="BL144" s="461"/>
      <c r="BM144" s="461"/>
      <c r="BN144" s="461"/>
      <c r="BO144" s="461"/>
      <c r="BP144" s="461"/>
      <c r="BQ144" s="461"/>
      <c r="BR144" s="461"/>
      <c r="BS144" s="461"/>
      <c r="BT144" s="461"/>
      <c r="BU144" s="461"/>
      <c r="BV144" s="461"/>
      <c r="BW144" s="461"/>
      <c r="BX144" s="461"/>
      <c r="BY144" s="461"/>
      <c r="BZ144" s="461"/>
      <c r="CA144" s="461"/>
      <c r="CB144" s="461"/>
      <c r="CC144" s="1086"/>
    </row>
    <row r="145" spans="11:81" ht="12.75" customHeight="1">
      <c r="K145" s="2112" t="s">
        <v>466</v>
      </c>
      <c r="L145" s="2113"/>
      <c r="M145" s="2114"/>
      <c r="S145" s="462" t="s">
        <v>12</v>
      </c>
      <c r="V145" s="2118" t="s">
        <v>485</v>
      </c>
      <c r="W145" s="2119"/>
      <c r="X145" s="2119"/>
      <c r="Y145" s="2119"/>
      <c r="Z145" s="2119"/>
      <c r="AA145" s="2119"/>
      <c r="AB145" s="2119"/>
      <c r="AC145" s="2119"/>
      <c r="AD145" s="2119"/>
      <c r="AE145" s="2119"/>
      <c r="AF145" s="2119"/>
      <c r="AG145" s="2119"/>
      <c r="AH145" s="2119"/>
      <c r="AI145" s="2119"/>
      <c r="AJ145" s="2119"/>
      <c r="AK145" s="2119"/>
      <c r="AL145" s="2119"/>
      <c r="AM145" s="2119"/>
      <c r="AN145" s="2119"/>
      <c r="AO145" s="2119"/>
      <c r="AP145" s="2120"/>
      <c r="AZ145" s="396"/>
      <c r="BA145" s="2100" t="s">
        <v>486</v>
      </c>
      <c r="BB145" s="2101"/>
      <c r="BC145" s="2036" t="s">
        <v>487</v>
      </c>
      <c r="BD145" s="2038"/>
      <c r="BJ145" s="2100" t="s">
        <v>488</v>
      </c>
      <c r="BK145" s="2101"/>
      <c r="BL145" s="2036" t="s">
        <v>487</v>
      </c>
      <c r="BM145" s="2038"/>
      <c r="BN145" s="2036" t="s">
        <v>489</v>
      </c>
      <c r="BO145" s="2038"/>
      <c r="BU145" s="2100" t="s">
        <v>490</v>
      </c>
      <c r="BV145" s="2101"/>
      <c r="BW145" s="2036" t="s">
        <v>487</v>
      </c>
      <c r="BX145" s="2038"/>
      <c r="BY145" s="2036" t="s">
        <v>489</v>
      </c>
      <c r="BZ145" s="2038"/>
      <c r="CC145" s="397"/>
    </row>
    <row r="146" spans="11:81" ht="16.5" customHeight="1">
      <c r="K146" s="2115"/>
      <c r="L146" s="2116"/>
      <c r="M146" s="2117"/>
      <c r="S146" s="463" t="s">
        <v>482</v>
      </c>
      <c r="V146" s="2121"/>
      <c r="W146" s="2122"/>
      <c r="X146" s="2122"/>
      <c r="Y146" s="2122"/>
      <c r="Z146" s="2122"/>
      <c r="AA146" s="2122"/>
      <c r="AB146" s="2122"/>
      <c r="AC146" s="2122"/>
      <c r="AD146" s="2122"/>
      <c r="AE146" s="2122"/>
      <c r="AF146" s="2122"/>
      <c r="AG146" s="2122"/>
      <c r="AH146" s="2122"/>
      <c r="AI146" s="2122"/>
      <c r="AJ146" s="2122"/>
      <c r="AK146" s="2122"/>
      <c r="AL146" s="2122"/>
      <c r="AM146" s="2122"/>
      <c r="AN146" s="2122"/>
      <c r="AO146" s="2122"/>
      <c r="AP146" s="2123"/>
      <c r="AZ146" s="396"/>
      <c r="BA146" s="2102"/>
      <c r="BB146" s="2103"/>
      <c r="BC146" s="2098" t="s">
        <v>491</v>
      </c>
      <c r="BD146" s="2056" t="s">
        <v>492</v>
      </c>
      <c r="BJ146" s="2102"/>
      <c r="BK146" s="2103"/>
      <c r="BL146" s="2098" t="s">
        <v>491</v>
      </c>
      <c r="BM146" s="2098" t="s">
        <v>492</v>
      </c>
      <c r="BN146" s="2099" t="s">
        <v>493</v>
      </c>
      <c r="BO146" s="2099"/>
      <c r="BU146" s="2102"/>
      <c r="BV146" s="2103"/>
      <c r="BW146" s="2098" t="s">
        <v>491</v>
      </c>
      <c r="BX146" s="2098" t="s">
        <v>492</v>
      </c>
      <c r="BY146" s="2099" t="s">
        <v>493</v>
      </c>
      <c r="BZ146" s="2099"/>
      <c r="CC146" s="397"/>
    </row>
    <row r="147" spans="11:81" ht="15.9" customHeight="1">
      <c r="AZ147" s="396"/>
      <c r="BA147" s="961" t="s">
        <v>494</v>
      </c>
      <c r="BB147" s="961" t="s">
        <v>495</v>
      </c>
      <c r="BC147" s="2098"/>
      <c r="BD147" s="2057"/>
      <c r="BJ147" s="961" t="s">
        <v>494</v>
      </c>
      <c r="BK147" s="961" t="s">
        <v>495</v>
      </c>
      <c r="BL147" s="2098"/>
      <c r="BM147" s="2098"/>
      <c r="BN147" s="961" t="s">
        <v>496</v>
      </c>
      <c r="BO147" s="961" t="s">
        <v>497</v>
      </c>
      <c r="BU147" s="961" t="s">
        <v>494</v>
      </c>
      <c r="BV147" s="961" t="s">
        <v>495</v>
      </c>
      <c r="BW147" s="2098"/>
      <c r="BX147" s="2098"/>
      <c r="BY147" s="961" t="s">
        <v>496</v>
      </c>
      <c r="BZ147" s="961" t="s">
        <v>497</v>
      </c>
      <c r="CC147" s="397"/>
    </row>
    <row r="148" spans="11:81">
      <c r="K148" s="2107" t="s">
        <v>470</v>
      </c>
      <c r="L148" s="2108"/>
      <c r="M148" s="1981" t="s">
        <v>498</v>
      </c>
      <c r="N148" s="1981"/>
      <c r="O148" s="1981" t="s">
        <v>499</v>
      </c>
      <c r="P148" s="1981"/>
      <c r="Q148" s="2109" t="s">
        <v>500</v>
      </c>
      <c r="R148" s="2110"/>
      <c r="S148" s="2111" t="s">
        <v>501</v>
      </c>
      <c r="T148" s="1977"/>
      <c r="V148" s="1978" t="s">
        <v>69</v>
      </c>
      <c r="W148" s="1978"/>
      <c r="X148" s="1979" t="s">
        <v>502</v>
      </c>
      <c r="Y148" s="1979"/>
      <c r="Z148" s="1980" t="s">
        <v>503</v>
      </c>
      <c r="AA148" s="1980"/>
      <c r="AB148" s="1980"/>
      <c r="AC148" s="1980"/>
      <c r="AD148" s="1980"/>
      <c r="AE148" s="404"/>
      <c r="AF148" s="1981" t="s">
        <v>504</v>
      </c>
      <c r="AG148" s="1981"/>
      <c r="AH148" s="1981"/>
      <c r="AI148" s="1981"/>
      <c r="AJ148" s="1981"/>
      <c r="AK148" s="1982" t="s">
        <v>505</v>
      </c>
      <c r="AL148" s="1982"/>
      <c r="AM148" s="1982"/>
      <c r="AN148" s="1982"/>
      <c r="AO148" s="1982"/>
      <c r="AP148" s="1982"/>
      <c r="AZ148" s="396"/>
      <c r="BA148" s="464" t="s">
        <v>377</v>
      </c>
      <c r="BB148" s="464" t="s">
        <v>506</v>
      </c>
      <c r="BC148" s="464" t="s">
        <v>507</v>
      </c>
      <c r="BD148" s="464" t="s">
        <v>508</v>
      </c>
      <c r="BJ148" s="464" t="s">
        <v>377</v>
      </c>
      <c r="BK148" s="464" t="s">
        <v>506</v>
      </c>
      <c r="BL148" s="464" t="s">
        <v>507</v>
      </c>
      <c r="BM148" s="464" t="s">
        <v>508</v>
      </c>
      <c r="BN148" s="464" t="s">
        <v>509</v>
      </c>
      <c r="BO148" s="489" t="s">
        <v>510</v>
      </c>
      <c r="BU148" s="464" t="s">
        <v>377</v>
      </c>
      <c r="BV148" s="464" t="s">
        <v>506</v>
      </c>
      <c r="BW148" s="464" t="s">
        <v>507</v>
      </c>
      <c r="BX148" s="464" t="s">
        <v>508</v>
      </c>
      <c r="BY148" s="464" t="s">
        <v>509</v>
      </c>
      <c r="BZ148" s="489" t="s">
        <v>510</v>
      </c>
      <c r="CC148" s="397"/>
    </row>
    <row r="149" spans="11:81">
      <c r="K149" s="2104" t="s">
        <v>511</v>
      </c>
      <c r="L149" s="2105"/>
      <c r="M149" s="962" t="s">
        <v>512</v>
      </c>
      <c r="N149" s="962" t="s">
        <v>513</v>
      </c>
      <c r="O149" s="962" t="s">
        <v>514</v>
      </c>
      <c r="P149" s="962" t="s">
        <v>515</v>
      </c>
      <c r="Q149" s="962" t="s">
        <v>516</v>
      </c>
      <c r="R149" s="465" t="s">
        <v>517</v>
      </c>
      <c r="S149" s="2106" t="s">
        <v>518</v>
      </c>
      <c r="T149" s="1975"/>
      <c r="V149" s="466" t="s">
        <v>519</v>
      </c>
      <c r="W149" s="466" t="s">
        <v>520</v>
      </c>
      <c r="X149" s="489" t="s">
        <v>513</v>
      </c>
      <c r="Y149" s="489" t="s">
        <v>289</v>
      </c>
      <c r="Z149" s="965" t="s">
        <v>521</v>
      </c>
      <c r="AA149" s="965" t="s">
        <v>522</v>
      </c>
      <c r="AB149" s="965" t="s">
        <v>289</v>
      </c>
      <c r="AC149" s="1976" t="s">
        <v>523</v>
      </c>
      <c r="AD149" s="1976"/>
      <c r="AE149" s="404"/>
      <c r="AF149" s="961" t="s">
        <v>521</v>
      </c>
      <c r="AG149" s="961" t="s">
        <v>522</v>
      </c>
      <c r="AH149" s="961" t="s">
        <v>289</v>
      </c>
      <c r="AI149" s="1976" t="s">
        <v>524</v>
      </c>
      <c r="AJ149" s="1976"/>
      <c r="AK149" s="472" t="s">
        <v>521</v>
      </c>
      <c r="AL149" s="472" t="s">
        <v>525</v>
      </c>
      <c r="AM149" s="472" t="s">
        <v>522</v>
      </c>
      <c r="AN149" s="472" t="s">
        <v>289</v>
      </c>
      <c r="AO149" s="1976" t="s">
        <v>526</v>
      </c>
      <c r="AP149" s="1976"/>
      <c r="AZ149" s="467" t="s">
        <v>527</v>
      </c>
      <c r="BA149" s="1087">
        <v>13</v>
      </c>
      <c r="BB149" s="1087">
        <v>3.5</v>
      </c>
      <c r="BC149" s="1087">
        <v>11</v>
      </c>
      <c r="BD149" s="1087">
        <v>10</v>
      </c>
      <c r="BI149" s="468" t="s">
        <v>527</v>
      </c>
      <c r="BJ149" s="469">
        <v>12</v>
      </c>
      <c r="BK149" s="469">
        <v>4</v>
      </c>
      <c r="BL149" s="469">
        <v>11</v>
      </c>
      <c r="BM149" s="469">
        <v>14</v>
      </c>
      <c r="BN149" s="469">
        <v>10</v>
      </c>
      <c r="BO149" s="469">
        <v>12</v>
      </c>
      <c r="BT149" s="468" t="s">
        <v>527</v>
      </c>
      <c r="BU149" s="469">
        <v>12</v>
      </c>
      <c r="BV149" s="469">
        <v>4</v>
      </c>
      <c r="BW149" s="469">
        <v>11</v>
      </c>
      <c r="BX149" s="469">
        <v>14</v>
      </c>
      <c r="BY149" s="469">
        <v>9</v>
      </c>
      <c r="BZ149" s="469">
        <v>12</v>
      </c>
      <c r="CC149" s="397"/>
    </row>
    <row r="150" spans="11:81" ht="13.8" thickBot="1">
      <c r="K150" s="2036" t="s">
        <v>528</v>
      </c>
      <c r="L150" s="2038"/>
      <c r="M150" s="464" t="s">
        <v>377</v>
      </c>
      <c r="N150" s="464" t="s">
        <v>506</v>
      </c>
      <c r="O150" s="464" t="s">
        <v>507</v>
      </c>
      <c r="P150" s="464" t="s">
        <v>508</v>
      </c>
      <c r="Q150" s="464" t="s">
        <v>509</v>
      </c>
      <c r="R150" s="470" t="s">
        <v>510</v>
      </c>
      <c r="S150" s="471" t="s">
        <v>529</v>
      </c>
      <c r="T150" s="961" t="s">
        <v>530</v>
      </c>
      <c r="V150" s="466" t="s">
        <v>13</v>
      </c>
      <c r="W150" s="466" t="s">
        <v>13</v>
      </c>
      <c r="X150" s="489" t="s">
        <v>13</v>
      </c>
      <c r="Y150" s="489" t="s">
        <v>13</v>
      </c>
      <c r="Z150" s="965" t="s">
        <v>531</v>
      </c>
      <c r="AA150" s="965" t="s">
        <v>532</v>
      </c>
      <c r="AB150" s="965" t="s">
        <v>13</v>
      </c>
      <c r="AC150" s="965" t="s">
        <v>533</v>
      </c>
      <c r="AD150" s="963" t="s">
        <v>534</v>
      </c>
      <c r="AE150" s="404"/>
      <c r="AF150" s="961" t="s">
        <v>535</v>
      </c>
      <c r="AG150" s="961" t="s">
        <v>532</v>
      </c>
      <c r="AH150" s="961" t="s">
        <v>13</v>
      </c>
      <c r="AI150" s="489" t="s">
        <v>533</v>
      </c>
      <c r="AJ150" s="963" t="s">
        <v>534</v>
      </c>
      <c r="AK150" s="472" t="s">
        <v>535</v>
      </c>
      <c r="AL150" s="472" t="s">
        <v>13</v>
      </c>
      <c r="AM150" s="472" t="s">
        <v>532</v>
      </c>
      <c r="AN150" s="472" t="s">
        <v>13</v>
      </c>
      <c r="AO150" s="472" t="s">
        <v>533</v>
      </c>
      <c r="AP150" s="963" t="s">
        <v>534</v>
      </c>
      <c r="AZ150" s="467" t="s">
        <v>536</v>
      </c>
      <c r="BA150" s="469">
        <v>13</v>
      </c>
      <c r="BB150" s="469">
        <v>4</v>
      </c>
      <c r="BC150" s="469">
        <v>11</v>
      </c>
      <c r="BD150" s="469">
        <v>14</v>
      </c>
      <c r="BI150" s="468" t="s">
        <v>536</v>
      </c>
      <c r="BJ150" s="469">
        <v>12</v>
      </c>
      <c r="BK150" s="469">
        <v>4.5</v>
      </c>
      <c r="BL150" s="469">
        <v>11</v>
      </c>
      <c r="BM150" s="469">
        <v>16</v>
      </c>
      <c r="BN150" s="469">
        <v>10</v>
      </c>
      <c r="BO150" s="469">
        <v>12</v>
      </c>
      <c r="BT150" s="468" t="s">
        <v>536</v>
      </c>
      <c r="BU150" s="469">
        <v>12</v>
      </c>
      <c r="BV150" s="469">
        <v>4.5</v>
      </c>
      <c r="BW150" s="469">
        <v>11</v>
      </c>
      <c r="BX150" s="469">
        <v>16</v>
      </c>
      <c r="BY150" s="469">
        <v>9</v>
      </c>
      <c r="BZ150" s="469">
        <v>12</v>
      </c>
      <c r="CC150" s="397"/>
    </row>
    <row r="151" spans="11:81" ht="15.6" thickBot="1">
      <c r="K151" s="2124" t="s">
        <v>537</v>
      </c>
      <c r="L151" s="2125"/>
      <c r="M151" s="473">
        <v>12</v>
      </c>
      <c r="N151" s="473">
        <v>4</v>
      </c>
      <c r="O151" s="473">
        <v>11</v>
      </c>
      <c r="P151" s="473">
        <v>14</v>
      </c>
      <c r="Q151" s="473">
        <v>9</v>
      </c>
      <c r="R151" s="473">
        <v>12</v>
      </c>
      <c r="S151" s="474">
        <f>AD151+AJ151+AP151</f>
        <v>0.10845338182218234</v>
      </c>
      <c r="T151" s="419">
        <f>S151/W151</f>
        <v>9.0377818185151948E-3</v>
      </c>
      <c r="V151" s="475">
        <f>N151</f>
        <v>4</v>
      </c>
      <c r="W151" s="476">
        <f>M151</f>
        <v>12</v>
      </c>
      <c r="X151" s="477">
        <f>V151-1</f>
        <v>3</v>
      </c>
      <c r="Y151" s="477">
        <f>W151-1</f>
        <v>11</v>
      </c>
      <c r="Z151" s="478">
        <f>P151</f>
        <v>14</v>
      </c>
      <c r="AA151" s="479">
        <f>(PI()*11/8*11/8)/(4*144)</f>
        <v>1.0311759740786809E-2</v>
      </c>
      <c r="AB151" s="480">
        <f>Y151</f>
        <v>11</v>
      </c>
      <c r="AC151" s="479">
        <f>Z151*AA151*AB151</f>
        <v>1.5880110000811685</v>
      </c>
      <c r="AD151" s="481">
        <f>AC151/27</f>
        <v>5.8815222225228461E-2</v>
      </c>
      <c r="AE151" s="404"/>
      <c r="AF151" s="482">
        <f>7+Q151+ROUNDUP((Y151-2-(Q151*R151)/12),0)</f>
        <v>16</v>
      </c>
      <c r="AG151" s="483">
        <f>(PI()*5/8*5/8)/(4*144)</f>
        <v>2.1305288720633907E-3</v>
      </c>
      <c r="AH151" s="484">
        <f>PI()*X151+26/12</f>
        <v>11.591444627436045</v>
      </c>
      <c r="AI151" s="485">
        <f>AF151*AG151*AH151</f>
        <v>0.3951345191628251</v>
      </c>
      <c r="AJ151" s="481">
        <f>AI151/27</f>
        <v>1.4634611820845375E-2</v>
      </c>
      <c r="AK151" s="486">
        <f>IF(V151&lt;4,4,ROUNDUP(V151,0))</f>
        <v>4</v>
      </c>
      <c r="AL151" s="487">
        <f>1.9/12</f>
        <v>0.15833333333333333</v>
      </c>
      <c r="AM151" s="487">
        <f>PI()*AL151*AL151/4</f>
        <v>1.968949562406103E-2</v>
      </c>
      <c r="AN151" s="487">
        <f>W151</f>
        <v>12</v>
      </c>
      <c r="AO151" s="488">
        <f>AK151*AM151*AN151</f>
        <v>0.94509578995492949</v>
      </c>
      <c r="AP151" s="481">
        <f>AO151/27</f>
        <v>3.50035477761085E-2</v>
      </c>
      <c r="AZ151" s="467" t="s">
        <v>538</v>
      </c>
      <c r="BA151" s="469">
        <v>15</v>
      </c>
      <c r="BB151" s="469">
        <v>4</v>
      </c>
      <c r="BC151" s="469">
        <v>11</v>
      </c>
      <c r="BD151" s="469">
        <v>14</v>
      </c>
      <c r="BI151" s="468" t="s">
        <v>538</v>
      </c>
      <c r="BJ151" s="469">
        <v>15</v>
      </c>
      <c r="BK151" s="469">
        <v>4.5</v>
      </c>
      <c r="BL151" s="469">
        <v>11</v>
      </c>
      <c r="BM151" s="469">
        <v>16</v>
      </c>
      <c r="BN151" s="469">
        <v>10</v>
      </c>
      <c r="BO151" s="469">
        <v>8</v>
      </c>
      <c r="BT151" s="468" t="s">
        <v>538</v>
      </c>
      <c r="BU151" s="469">
        <v>15</v>
      </c>
      <c r="BV151" s="469">
        <v>4.5</v>
      </c>
      <c r="BW151" s="469">
        <v>11</v>
      </c>
      <c r="BX151" s="469">
        <v>16</v>
      </c>
      <c r="BY151" s="469">
        <v>10</v>
      </c>
      <c r="BZ151" s="469">
        <v>8</v>
      </c>
      <c r="CC151" s="397"/>
    </row>
    <row r="152" spans="11:81">
      <c r="AE152" s="404"/>
      <c r="AF152" s="404"/>
      <c r="AZ152" s="467"/>
      <c r="BA152" s="469">
        <v>17</v>
      </c>
      <c r="BB152" s="469">
        <v>4.5</v>
      </c>
      <c r="BC152" s="469">
        <v>11</v>
      </c>
      <c r="BD152" s="469">
        <v>16</v>
      </c>
      <c r="BI152" s="468"/>
      <c r="BJ152" s="469">
        <v>17</v>
      </c>
      <c r="BK152" s="469">
        <v>5</v>
      </c>
      <c r="BL152" s="469">
        <v>11</v>
      </c>
      <c r="BM152" s="469">
        <v>18</v>
      </c>
      <c r="BN152" s="469">
        <v>10</v>
      </c>
      <c r="BO152" s="469">
        <v>8</v>
      </c>
      <c r="BT152" s="468"/>
      <c r="BU152" s="469">
        <v>17</v>
      </c>
      <c r="BV152" s="469">
        <v>5</v>
      </c>
      <c r="BW152" s="469">
        <v>11</v>
      </c>
      <c r="BX152" s="469">
        <v>18</v>
      </c>
      <c r="BY152" s="469">
        <v>10</v>
      </c>
      <c r="BZ152" s="469">
        <v>8</v>
      </c>
      <c r="CC152" s="397"/>
    </row>
    <row r="153" spans="11:81">
      <c r="Q153" s="1065" t="s">
        <v>69</v>
      </c>
      <c r="R153" s="1981" t="s">
        <v>539</v>
      </c>
      <c r="S153" s="1981"/>
      <c r="T153" s="1981"/>
      <c r="AA153" s="404"/>
      <c r="AB153" s="404"/>
      <c r="AC153" s="404"/>
      <c r="AD153" s="404"/>
      <c r="AE153" s="404"/>
      <c r="AZ153" s="467"/>
      <c r="BA153" s="469">
        <v>19</v>
      </c>
      <c r="BB153" s="469">
        <v>4.5</v>
      </c>
      <c r="BC153" s="469">
        <v>11</v>
      </c>
      <c r="BD153" s="469">
        <v>16</v>
      </c>
      <c r="BI153" s="468"/>
      <c r="BJ153" s="469">
        <v>18</v>
      </c>
      <c r="BK153" s="469">
        <v>5</v>
      </c>
      <c r="BL153" s="469">
        <v>11</v>
      </c>
      <c r="BM153" s="469">
        <v>18</v>
      </c>
      <c r="BN153" s="469">
        <v>10</v>
      </c>
      <c r="BO153" s="469">
        <v>8</v>
      </c>
      <c r="BT153" s="468"/>
      <c r="BU153" s="469">
        <v>18</v>
      </c>
      <c r="BV153" s="469">
        <v>5</v>
      </c>
      <c r="BW153" s="469">
        <v>11</v>
      </c>
      <c r="BX153" s="469">
        <v>18</v>
      </c>
      <c r="BY153" s="469">
        <v>10</v>
      </c>
      <c r="BZ153" s="469">
        <v>8</v>
      </c>
      <c r="CC153" s="397"/>
    </row>
    <row r="154" spans="11:81">
      <c r="Q154" s="427" t="s">
        <v>540</v>
      </c>
      <c r="R154" s="2109" t="s">
        <v>541</v>
      </c>
      <c r="S154" s="2109"/>
      <c r="T154" s="2109"/>
      <c r="AZ154" s="467"/>
      <c r="BA154" s="469">
        <v>15</v>
      </c>
      <c r="BB154" s="469">
        <v>4.5</v>
      </c>
      <c r="BC154" s="469">
        <v>11</v>
      </c>
      <c r="BD154" s="469">
        <v>16</v>
      </c>
      <c r="BI154" s="468"/>
      <c r="BJ154" s="469">
        <v>15</v>
      </c>
      <c r="BK154" s="469">
        <v>5</v>
      </c>
      <c r="BL154" s="469">
        <v>11</v>
      </c>
      <c r="BM154" s="469">
        <v>18</v>
      </c>
      <c r="BN154" s="469">
        <v>10</v>
      </c>
      <c r="BO154" s="469">
        <v>8</v>
      </c>
      <c r="BT154" s="468"/>
      <c r="BU154" s="469">
        <v>15</v>
      </c>
      <c r="BV154" s="469">
        <v>5</v>
      </c>
      <c r="BW154" s="469">
        <v>11</v>
      </c>
      <c r="BX154" s="469">
        <v>18</v>
      </c>
      <c r="BY154" s="469">
        <v>10</v>
      </c>
      <c r="BZ154" s="469">
        <v>8</v>
      </c>
      <c r="CC154" s="397"/>
    </row>
    <row r="155" spans="11:81">
      <c r="Q155" s="966">
        <f>PI()*N151*N151*M151/108</f>
        <v>5.5850536063818543</v>
      </c>
      <c r="R155" s="2126">
        <f>S151/Q155</f>
        <v>1.9418503288537156E-2</v>
      </c>
      <c r="S155" s="2126"/>
      <c r="T155" s="2126"/>
      <c r="AZ155" s="467"/>
      <c r="BA155" s="961">
        <v>13</v>
      </c>
      <c r="BB155" s="961">
        <v>3.5</v>
      </c>
      <c r="BC155" s="961">
        <v>11</v>
      </c>
      <c r="BD155" s="961">
        <v>10</v>
      </c>
      <c r="BI155" s="468"/>
      <c r="BJ155" s="961">
        <v>12</v>
      </c>
      <c r="BK155" s="961">
        <v>4</v>
      </c>
      <c r="BL155" s="961">
        <v>11</v>
      </c>
      <c r="BM155" s="961">
        <v>14</v>
      </c>
      <c r="BN155" s="961">
        <v>10</v>
      </c>
      <c r="BO155" s="961">
        <v>12</v>
      </c>
      <c r="BT155" s="468"/>
      <c r="BU155" s="961">
        <v>12</v>
      </c>
      <c r="BV155" s="961">
        <v>4</v>
      </c>
      <c r="BW155" s="961">
        <v>11</v>
      </c>
      <c r="BX155" s="961">
        <v>14</v>
      </c>
      <c r="BY155" s="961">
        <v>9</v>
      </c>
      <c r="BZ155" s="961">
        <v>12</v>
      </c>
      <c r="CC155" s="397"/>
    </row>
    <row r="156" spans="11:81">
      <c r="AZ156" s="467"/>
      <c r="BA156" s="961">
        <v>13</v>
      </c>
      <c r="BB156" s="961">
        <v>4</v>
      </c>
      <c r="BC156" s="961">
        <v>11</v>
      </c>
      <c r="BD156" s="961">
        <v>14</v>
      </c>
      <c r="BI156" s="468"/>
      <c r="BJ156" s="961">
        <v>12</v>
      </c>
      <c r="BK156" s="961">
        <v>4.5</v>
      </c>
      <c r="BL156" s="961">
        <v>11</v>
      </c>
      <c r="BM156" s="961">
        <v>16</v>
      </c>
      <c r="BN156" s="961">
        <v>10</v>
      </c>
      <c r="BO156" s="961">
        <v>12</v>
      </c>
      <c r="BT156" s="468"/>
      <c r="BU156" s="961">
        <v>12</v>
      </c>
      <c r="BV156" s="961">
        <v>4.5</v>
      </c>
      <c r="BW156" s="961">
        <v>11</v>
      </c>
      <c r="BX156" s="961">
        <v>16</v>
      </c>
      <c r="BY156" s="961">
        <v>9</v>
      </c>
      <c r="BZ156" s="961">
        <v>12</v>
      </c>
      <c r="CC156" s="397"/>
    </row>
    <row r="157" spans="11:81">
      <c r="AZ157" s="467"/>
      <c r="BA157" s="469">
        <v>14</v>
      </c>
      <c r="BB157" s="469">
        <v>4</v>
      </c>
      <c r="BC157" s="469">
        <v>11</v>
      </c>
      <c r="BD157" s="469">
        <v>14</v>
      </c>
      <c r="BI157" s="468"/>
      <c r="BJ157" s="469">
        <v>14</v>
      </c>
      <c r="BK157" s="469">
        <v>4.5</v>
      </c>
      <c r="BL157" s="469">
        <v>11</v>
      </c>
      <c r="BM157" s="469">
        <v>16</v>
      </c>
      <c r="BN157" s="469">
        <v>10</v>
      </c>
      <c r="BO157" s="469">
        <v>8</v>
      </c>
      <c r="BT157" s="468"/>
      <c r="BU157" s="469">
        <v>14</v>
      </c>
      <c r="BV157" s="469">
        <v>4.5</v>
      </c>
      <c r="BW157" s="469">
        <v>11</v>
      </c>
      <c r="BX157" s="469">
        <v>16</v>
      </c>
      <c r="BY157" s="469">
        <v>10</v>
      </c>
      <c r="BZ157" s="469">
        <v>8</v>
      </c>
      <c r="CC157" s="397"/>
    </row>
    <row r="158" spans="11:81">
      <c r="K158" s="2107">
        <v>2010</v>
      </c>
      <c r="L158" s="2108"/>
      <c r="M158" s="1981" t="s">
        <v>498</v>
      </c>
      <c r="N158" s="1981"/>
      <c r="O158" s="1981" t="s">
        <v>499</v>
      </c>
      <c r="P158" s="1981"/>
      <c r="Q158" s="2127"/>
      <c r="R158" s="2128"/>
      <c r="S158" s="2111" t="s">
        <v>501</v>
      </c>
      <c r="T158" s="1977"/>
      <c r="V158" s="1978" t="s">
        <v>69</v>
      </c>
      <c r="W158" s="1978"/>
      <c r="X158" s="1979" t="s">
        <v>502</v>
      </c>
      <c r="Y158" s="1979"/>
      <c r="Z158" s="1980" t="s">
        <v>503</v>
      </c>
      <c r="AA158" s="1980"/>
      <c r="AB158" s="1980"/>
      <c r="AC158" s="1980"/>
      <c r="AD158" s="1980"/>
      <c r="AF158" s="1981" t="s">
        <v>504</v>
      </c>
      <c r="AG158" s="1981"/>
      <c r="AH158" s="1981"/>
      <c r="AI158" s="1981"/>
      <c r="AJ158" s="1981"/>
      <c r="AK158" s="1982" t="s">
        <v>505</v>
      </c>
      <c r="AL158" s="1982"/>
      <c r="AM158" s="1982"/>
      <c r="AN158" s="1982"/>
      <c r="AO158" s="1982"/>
      <c r="AP158" s="1982"/>
      <c r="AZ158" s="467"/>
      <c r="BA158" s="961">
        <v>15</v>
      </c>
      <c r="BB158" s="961">
        <v>4.5</v>
      </c>
      <c r="BC158" s="961">
        <v>11</v>
      </c>
      <c r="BD158" s="961">
        <v>16</v>
      </c>
      <c r="BI158" s="468"/>
      <c r="BJ158" s="961">
        <v>15</v>
      </c>
      <c r="BK158" s="961">
        <v>5</v>
      </c>
      <c r="BL158" s="961">
        <v>11</v>
      </c>
      <c r="BM158" s="961">
        <v>18</v>
      </c>
      <c r="BN158" s="961">
        <v>10</v>
      </c>
      <c r="BO158" s="961">
        <v>8</v>
      </c>
      <c r="BT158" s="468"/>
      <c r="BU158" s="961">
        <v>15</v>
      </c>
      <c r="BV158" s="961">
        <v>5</v>
      </c>
      <c r="BW158" s="961">
        <v>11</v>
      </c>
      <c r="BX158" s="961">
        <v>18</v>
      </c>
      <c r="BY158" s="961">
        <v>10</v>
      </c>
      <c r="BZ158" s="961">
        <v>8</v>
      </c>
      <c r="CC158" s="397"/>
    </row>
    <row r="159" spans="11:81">
      <c r="K159" s="2104" t="s">
        <v>542</v>
      </c>
      <c r="L159" s="2105"/>
      <c r="M159" s="962" t="s">
        <v>512</v>
      </c>
      <c r="N159" s="962" t="s">
        <v>513</v>
      </c>
      <c r="O159" s="962" t="s">
        <v>514</v>
      </c>
      <c r="P159" s="962" t="s">
        <v>515</v>
      </c>
      <c r="Q159" s="2127"/>
      <c r="R159" s="2128"/>
      <c r="S159" s="2106" t="s">
        <v>518</v>
      </c>
      <c r="T159" s="1975"/>
      <c r="V159" s="466" t="s">
        <v>519</v>
      </c>
      <c r="W159" s="466" t="s">
        <v>520</v>
      </c>
      <c r="X159" s="489" t="s">
        <v>513</v>
      </c>
      <c r="Y159" s="489" t="s">
        <v>289</v>
      </c>
      <c r="Z159" s="965" t="s">
        <v>521</v>
      </c>
      <c r="AA159" s="965" t="s">
        <v>522</v>
      </c>
      <c r="AB159" s="965" t="s">
        <v>289</v>
      </c>
      <c r="AC159" s="1976" t="s">
        <v>523</v>
      </c>
      <c r="AD159" s="1976"/>
      <c r="AF159" s="961" t="s">
        <v>521</v>
      </c>
      <c r="AG159" s="961" t="s">
        <v>522</v>
      </c>
      <c r="AH159" s="961" t="s">
        <v>289</v>
      </c>
      <c r="AI159" s="1976" t="s">
        <v>524</v>
      </c>
      <c r="AJ159" s="1976"/>
      <c r="AK159" s="472" t="s">
        <v>521</v>
      </c>
      <c r="AL159" s="472" t="s">
        <v>525</v>
      </c>
      <c r="AM159" s="472" t="s">
        <v>522</v>
      </c>
      <c r="AN159" s="472" t="s">
        <v>289</v>
      </c>
      <c r="AO159" s="1976" t="s">
        <v>526</v>
      </c>
      <c r="AP159" s="1976"/>
      <c r="AZ159" s="467"/>
      <c r="BA159" s="446" t="s">
        <v>377</v>
      </c>
      <c r="BB159" s="446" t="s">
        <v>506</v>
      </c>
      <c r="BC159" s="446" t="s">
        <v>507</v>
      </c>
      <c r="BD159" s="446" t="s">
        <v>508</v>
      </c>
      <c r="BI159" s="468"/>
      <c r="BJ159" s="446" t="s">
        <v>377</v>
      </c>
      <c r="BK159" s="446" t="s">
        <v>506</v>
      </c>
      <c r="BL159" s="446" t="s">
        <v>507</v>
      </c>
      <c r="BM159" s="446" t="s">
        <v>508</v>
      </c>
      <c r="BN159" s="446" t="s">
        <v>509</v>
      </c>
      <c r="BO159" s="446" t="s">
        <v>510</v>
      </c>
      <c r="BT159" s="468"/>
      <c r="BU159" s="446" t="s">
        <v>377</v>
      </c>
      <c r="BV159" s="446" t="s">
        <v>506</v>
      </c>
      <c r="BW159" s="446" t="s">
        <v>507</v>
      </c>
      <c r="BX159" s="446" t="s">
        <v>508</v>
      </c>
      <c r="BY159" s="446" t="s">
        <v>509</v>
      </c>
      <c r="BZ159" s="446" t="s">
        <v>510</v>
      </c>
      <c r="CC159" s="397"/>
    </row>
    <row r="160" spans="11:81" ht="13.8" thickBot="1">
      <c r="K160" s="2036" t="s">
        <v>528</v>
      </c>
      <c r="L160" s="2038"/>
      <c r="M160" s="464" t="s">
        <v>377</v>
      </c>
      <c r="N160" s="464" t="s">
        <v>506</v>
      </c>
      <c r="O160" s="464" t="s">
        <v>507</v>
      </c>
      <c r="P160" s="464" t="s">
        <v>508</v>
      </c>
      <c r="Q160" s="2127"/>
      <c r="R160" s="2128"/>
      <c r="S160" s="471" t="s">
        <v>529</v>
      </c>
      <c r="T160" s="961" t="s">
        <v>530</v>
      </c>
      <c r="V160" s="466" t="s">
        <v>13</v>
      </c>
      <c r="W160" s="466" t="s">
        <v>13</v>
      </c>
      <c r="X160" s="489" t="s">
        <v>13</v>
      </c>
      <c r="Y160" s="489" t="s">
        <v>13</v>
      </c>
      <c r="Z160" s="965" t="s">
        <v>531</v>
      </c>
      <c r="AA160" s="965" t="s">
        <v>532</v>
      </c>
      <c r="AB160" s="965" t="s">
        <v>13</v>
      </c>
      <c r="AC160" s="965" t="s">
        <v>533</v>
      </c>
      <c r="AD160" s="963" t="s">
        <v>534</v>
      </c>
      <c r="AF160" s="961" t="s">
        <v>535</v>
      </c>
      <c r="AG160" s="961" t="s">
        <v>532</v>
      </c>
      <c r="AH160" s="961" t="s">
        <v>13</v>
      </c>
      <c r="AI160" s="489" t="s">
        <v>533</v>
      </c>
      <c r="AJ160" s="963" t="s">
        <v>534</v>
      </c>
      <c r="AK160" s="472" t="s">
        <v>535</v>
      </c>
      <c r="AL160" s="472" t="s">
        <v>13</v>
      </c>
      <c r="AM160" s="472" t="s">
        <v>532</v>
      </c>
      <c r="AN160" s="472" t="s">
        <v>13</v>
      </c>
      <c r="AO160" s="472" t="s">
        <v>533</v>
      </c>
      <c r="AP160" s="963" t="s">
        <v>534</v>
      </c>
      <c r="AZ160" s="467" t="s">
        <v>543</v>
      </c>
      <c r="BA160" s="469">
        <v>12</v>
      </c>
      <c r="BB160" s="469">
        <v>3.5</v>
      </c>
      <c r="BC160" s="469">
        <v>11</v>
      </c>
      <c r="BD160" s="469">
        <v>10</v>
      </c>
      <c r="BI160" s="468" t="s">
        <v>543</v>
      </c>
      <c r="BJ160" s="469">
        <v>11</v>
      </c>
      <c r="BK160" s="469">
        <v>4</v>
      </c>
      <c r="BL160" s="469">
        <v>11</v>
      </c>
      <c r="BM160" s="469">
        <v>14</v>
      </c>
      <c r="BN160" s="469">
        <v>10</v>
      </c>
      <c r="BO160" s="469">
        <v>12</v>
      </c>
      <c r="BT160" s="468" t="s">
        <v>543</v>
      </c>
      <c r="BU160" s="469">
        <v>11</v>
      </c>
      <c r="BV160" s="469">
        <v>4</v>
      </c>
      <c r="BW160" s="469">
        <v>11</v>
      </c>
      <c r="BX160" s="469">
        <v>14</v>
      </c>
      <c r="BY160" s="469">
        <v>8</v>
      </c>
      <c r="BZ160" s="469">
        <v>12</v>
      </c>
      <c r="CC160" s="397"/>
    </row>
    <row r="161" spans="11:81" ht="15.6" thickBot="1">
      <c r="K161" s="2124" t="s">
        <v>537</v>
      </c>
      <c r="L161" s="2125"/>
      <c r="M161" s="473">
        <v>10</v>
      </c>
      <c r="N161" s="473">
        <v>3.5</v>
      </c>
      <c r="O161" s="473">
        <v>11</v>
      </c>
      <c r="P161" s="473">
        <v>10</v>
      </c>
      <c r="Q161" s="2127"/>
      <c r="R161" s="2128"/>
      <c r="S161" s="474">
        <f>AD161+AJ161+AP161</f>
        <v>7.303072473662818E-2</v>
      </c>
      <c r="T161" s="419">
        <f>S161/W161</f>
        <v>7.303072473662818E-3</v>
      </c>
      <c r="V161" s="475">
        <f>N161</f>
        <v>3.5</v>
      </c>
      <c r="W161" s="476">
        <f>M161</f>
        <v>10</v>
      </c>
      <c r="X161" s="477">
        <f>V161-1</f>
        <v>2.5</v>
      </c>
      <c r="Y161" s="477">
        <f>W161-1</f>
        <v>9</v>
      </c>
      <c r="Z161" s="478">
        <f>P161</f>
        <v>10</v>
      </c>
      <c r="AA161" s="479">
        <f>(PI()*11/8*11/8)/(4*144)</f>
        <v>1.0311759740786809E-2</v>
      </c>
      <c r="AB161" s="480">
        <f>Y161</f>
        <v>9</v>
      </c>
      <c r="AC161" s="479">
        <f>Z161*AA161*AB161</f>
        <v>0.92805837667081281</v>
      </c>
      <c r="AD161" s="481">
        <f>AC161/27</f>
        <v>3.4372532469289362E-2</v>
      </c>
      <c r="AF161" s="482">
        <f>IF(O161=0,0,7+ROUNDUP((Y161-2)/1.5,0))</f>
        <v>12</v>
      </c>
      <c r="AG161" s="483">
        <f>(PI()*5/8*5/8)/(4*144)</f>
        <v>2.1305288720633907E-3</v>
      </c>
      <c r="AH161" s="484">
        <f>PI()*X161+26/12</f>
        <v>10.020648300641149</v>
      </c>
      <c r="AI161" s="485">
        <f>AF161*AG161*AH161</f>
        <v>0.25619136625570704</v>
      </c>
      <c r="AJ161" s="481">
        <f>AI161/27</f>
        <v>9.488569120581743E-3</v>
      </c>
      <c r="AK161" s="486">
        <f>IF(V161&lt;4,4,ROUNDUP(V161,0))</f>
        <v>4</v>
      </c>
      <c r="AL161" s="487">
        <f>1.9/12</f>
        <v>0.15833333333333333</v>
      </c>
      <c r="AM161" s="487">
        <f>PI()*AL161*AL161/4</f>
        <v>1.968949562406103E-2</v>
      </c>
      <c r="AN161" s="487">
        <f>W161</f>
        <v>10</v>
      </c>
      <c r="AO161" s="488">
        <f>AK161*AM161*AN161</f>
        <v>0.78757982496244117</v>
      </c>
      <c r="AP161" s="481">
        <f>AO161/27</f>
        <v>2.9169623146757081E-2</v>
      </c>
      <c r="AZ161" s="467" t="s">
        <v>536</v>
      </c>
      <c r="BA161" s="469">
        <v>14</v>
      </c>
      <c r="BB161" s="469">
        <v>3.5</v>
      </c>
      <c r="BC161" s="469">
        <v>11</v>
      </c>
      <c r="BD161" s="469">
        <v>10</v>
      </c>
      <c r="BI161" s="468" t="s">
        <v>536</v>
      </c>
      <c r="BJ161" s="961">
        <v>12</v>
      </c>
      <c r="BK161" s="961">
        <v>4</v>
      </c>
      <c r="BL161" s="961">
        <v>11</v>
      </c>
      <c r="BM161" s="961">
        <v>14</v>
      </c>
      <c r="BN161" s="961">
        <v>10</v>
      </c>
      <c r="BO161" s="961">
        <v>12</v>
      </c>
      <c r="BT161" s="468" t="s">
        <v>536</v>
      </c>
      <c r="BU161" s="961">
        <v>12</v>
      </c>
      <c r="BV161" s="961">
        <v>4</v>
      </c>
      <c r="BW161" s="961">
        <v>11</v>
      </c>
      <c r="BX161" s="961">
        <v>14</v>
      </c>
      <c r="BY161" s="961">
        <v>9</v>
      </c>
      <c r="BZ161" s="961">
        <v>12</v>
      </c>
      <c r="CC161" s="397"/>
    </row>
    <row r="162" spans="11:81">
      <c r="AF162" s="2129" t="s">
        <v>544</v>
      </c>
      <c r="AG162" s="2129"/>
      <c r="AH162" s="2129"/>
      <c r="AI162" s="2129"/>
      <c r="AJ162" s="2129"/>
      <c r="AK162" s="2129"/>
      <c r="AL162" s="2129"/>
      <c r="AM162" s="2129"/>
      <c r="AN162" s="2129"/>
      <c r="AO162" s="2129"/>
      <c r="AP162" s="2129"/>
      <c r="AZ162" s="467" t="s">
        <v>538</v>
      </c>
      <c r="BA162" s="961">
        <v>15</v>
      </c>
      <c r="BB162" s="961">
        <v>4</v>
      </c>
      <c r="BC162" s="961">
        <v>11</v>
      </c>
      <c r="BD162" s="961">
        <v>14</v>
      </c>
      <c r="BI162" s="468" t="s">
        <v>538</v>
      </c>
      <c r="BJ162" s="961">
        <v>12</v>
      </c>
      <c r="BK162" s="961">
        <v>4.5</v>
      </c>
      <c r="BL162" s="961">
        <v>11</v>
      </c>
      <c r="BM162" s="961">
        <v>16</v>
      </c>
      <c r="BN162" s="961">
        <v>10</v>
      </c>
      <c r="BO162" s="961">
        <v>12</v>
      </c>
      <c r="BT162" s="468" t="s">
        <v>538</v>
      </c>
      <c r="BU162" s="961">
        <v>12</v>
      </c>
      <c r="BV162" s="961">
        <v>4.5</v>
      </c>
      <c r="BW162" s="961">
        <v>11</v>
      </c>
      <c r="BX162" s="961">
        <v>16</v>
      </c>
      <c r="BY162" s="961">
        <v>9</v>
      </c>
      <c r="BZ162" s="961">
        <v>12</v>
      </c>
      <c r="CC162" s="397"/>
    </row>
    <row r="163" spans="11:81" ht="12.75" customHeight="1">
      <c r="Q163" s="1065" t="s">
        <v>69</v>
      </c>
      <c r="R163" s="1981" t="s">
        <v>539</v>
      </c>
      <c r="S163" s="1981"/>
      <c r="T163" s="1981"/>
      <c r="AZ163" s="467"/>
      <c r="BA163" s="469">
        <v>19</v>
      </c>
      <c r="BB163" s="469">
        <v>4</v>
      </c>
      <c r="BC163" s="469">
        <v>11</v>
      </c>
      <c r="BD163" s="469">
        <v>14</v>
      </c>
      <c r="BI163" s="468"/>
      <c r="BJ163" s="961">
        <v>15</v>
      </c>
      <c r="BK163" s="961">
        <v>4.5</v>
      </c>
      <c r="BL163" s="961">
        <v>11</v>
      </c>
      <c r="BM163" s="961">
        <v>16</v>
      </c>
      <c r="BN163" s="961">
        <v>10</v>
      </c>
      <c r="BO163" s="961">
        <v>8</v>
      </c>
      <c r="BT163" s="468"/>
      <c r="BU163" s="961">
        <v>15</v>
      </c>
      <c r="BV163" s="961">
        <v>4.5</v>
      </c>
      <c r="BW163" s="961">
        <v>11</v>
      </c>
      <c r="BX163" s="961">
        <v>16</v>
      </c>
      <c r="BY163" s="961">
        <v>10</v>
      </c>
      <c r="BZ163" s="961">
        <v>8</v>
      </c>
      <c r="CC163" s="397"/>
    </row>
    <row r="164" spans="11:81" ht="12.75" customHeight="1">
      <c r="Q164" s="427" t="s">
        <v>540</v>
      </c>
      <c r="R164" s="2109" t="s">
        <v>541</v>
      </c>
      <c r="S164" s="2109"/>
      <c r="T164" s="2109"/>
      <c r="AZ164" s="467"/>
      <c r="BA164" s="469">
        <v>21</v>
      </c>
      <c r="BB164" s="469">
        <v>4</v>
      </c>
      <c r="BC164" s="469">
        <v>11</v>
      </c>
      <c r="BD164" s="469">
        <v>14</v>
      </c>
      <c r="BI164" s="468"/>
      <c r="BJ164" s="469">
        <v>16</v>
      </c>
      <c r="BK164" s="469">
        <v>4.5</v>
      </c>
      <c r="BL164" s="469">
        <v>11</v>
      </c>
      <c r="BM164" s="469">
        <v>16</v>
      </c>
      <c r="BN164" s="469">
        <v>10</v>
      </c>
      <c r="BO164" s="469">
        <v>8</v>
      </c>
      <c r="BT164" s="468"/>
      <c r="BU164" s="469">
        <v>16</v>
      </c>
      <c r="BV164" s="469">
        <v>4.5</v>
      </c>
      <c r="BW164" s="469">
        <v>11</v>
      </c>
      <c r="BX164" s="469">
        <v>16</v>
      </c>
      <c r="BY164" s="469">
        <v>10</v>
      </c>
      <c r="BZ164" s="469">
        <v>8</v>
      </c>
      <c r="CC164" s="397"/>
    </row>
    <row r="165" spans="11:81" ht="15" customHeight="1">
      <c r="Q165" s="966">
        <f>PI()*N161*N161*M161/108</f>
        <v>3.5633805561550895</v>
      </c>
      <c r="R165" s="2126">
        <f>S161/Q165</f>
        <v>2.0494786786238964E-2</v>
      </c>
      <c r="S165" s="2126"/>
      <c r="T165" s="2126"/>
      <c r="AZ165" s="467"/>
      <c r="BA165" s="469">
        <v>18</v>
      </c>
      <c r="BB165" s="469">
        <v>4</v>
      </c>
      <c r="BC165" s="469">
        <v>11</v>
      </c>
      <c r="BD165" s="469">
        <v>14</v>
      </c>
      <c r="BI165" s="468"/>
      <c r="BJ165" s="961">
        <v>14</v>
      </c>
      <c r="BK165" s="961">
        <v>4.5</v>
      </c>
      <c r="BL165" s="961">
        <v>11</v>
      </c>
      <c r="BM165" s="961">
        <v>16</v>
      </c>
      <c r="BN165" s="961">
        <v>10</v>
      </c>
      <c r="BO165" s="961">
        <v>8</v>
      </c>
      <c r="BT165" s="468"/>
      <c r="BU165" s="961">
        <v>14</v>
      </c>
      <c r="BV165" s="961">
        <v>4.5</v>
      </c>
      <c r="BW165" s="961">
        <v>11</v>
      </c>
      <c r="BX165" s="961">
        <v>16</v>
      </c>
      <c r="BY165" s="961">
        <v>10</v>
      </c>
      <c r="BZ165" s="961">
        <v>8</v>
      </c>
      <c r="CC165" s="397"/>
    </row>
    <row r="166" spans="11:81" ht="15.9" customHeight="1">
      <c r="AZ166" s="467"/>
      <c r="BA166" s="961">
        <v>12</v>
      </c>
      <c r="BB166" s="961">
        <v>3.5</v>
      </c>
      <c r="BC166" s="961">
        <v>11</v>
      </c>
      <c r="BD166" s="961">
        <v>10</v>
      </c>
      <c r="BI166" s="468"/>
      <c r="BJ166" s="961">
        <v>11</v>
      </c>
      <c r="BK166" s="961">
        <v>4</v>
      </c>
      <c r="BL166" s="961">
        <v>11</v>
      </c>
      <c r="BM166" s="961">
        <v>14</v>
      </c>
      <c r="BN166" s="961">
        <v>10</v>
      </c>
      <c r="BO166" s="961">
        <v>12</v>
      </c>
      <c r="BT166" s="468"/>
      <c r="BU166" s="961">
        <v>11</v>
      </c>
      <c r="BV166" s="961">
        <v>4</v>
      </c>
      <c r="BW166" s="961">
        <v>11</v>
      </c>
      <c r="BX166" s="961">
        <v>14</v>
      </c>
      <c r="BY166" s="961">
        <v>8</v>
      </c>
      <c r="BZ166" s="961">
        <v>12</v>
      </c>
      <c r="CC166" s="397"/>
    </row>
    <row r="167" spans="11:81" ht="12.75" customHeight="1">
      <c r="AZ167" s="467"/>
      <c r="BA167" s="961">
        <v>13</v>
      </c>
      <c r="BB167" s="961">
        <v>3.5</v>
      </c>
      <c r="BC167" s="961">
        <v>11</v>
      </c>
      <c r="BD167" s="961">
        <v>10</v>
      </c>
      <c r="BI167" s="468"/>
      <c r="BJ167" s="961">
        <v>12</v>
      </c>
      <c r="BK167" s="961">
        <v>4</v>
      </c>
      <c r="BL167" s="961">
        <v>11</v>
      </c>
      <c r="BM167" s="961">
        <v>14</v>
      </c>
      <c r="BN167" s="961">
        <v>10</v>
      </c>
      <c r="BO167" s="961">
        <v>12</v>
      </c>
      <c r="BT167" s="468"/>
      <c r="BU167" s="961">
        <v>12</v>
      </c>
      <c r="BV167" s="961">
        <v>4</v>
      </c>
      <c r="BW167" s="961">
        <v>11</v>
      </c>
      <c r="BX167" s="961">
        <v>14</v>
      </c>
      <c r="BY167" s="961">
        <v>9</v>
      </c>
      <c r="BZ167" s="961">
        <v>12</v>
      </c>
      <c r="CC167" s="397"/>
    </row>
    <row r="168" spans="11:81" ht="12.75" customHeight="1">
      <c r="AZ168" s="467"/>
      <c r="BA168" s="961">
        <v>14</v>
      </c>
      <c r="BB168" s="961">
        <v>4</v>
      </c>
      <c r="BC168" s="961">
        <v>11</v>
      </c>
      <c r="BD168" s="961">
        <v>14</v>
      </c>
      <c r="BI168" s="468"/>
      <c r="BJ168" s="961">
        <v>12</v>
      </c>
      <c r="BK168" s="961">
        <v>4.5</v>
      </c>
      <c r="BL168" s="961">
        <v>11</v>
      </c>
      <c r="BM168" s="961">
        <v>16</v>
      </c>
      <c r="BN168" s="961">
        <v>10</v>
      </c>
      <c r="BO168" s="961">
        <v>12</v>
      </c>
      <c r="BT168" s="468"/>
      <c r="BU168" s="961">
        <v>12</v>
      </c>
      <c r="BV168" s="961">
        <v>4.5</v>
      </c>
      <c r="BW168" s="961">
        <v>11</v>
      </c>
      <c r="BX168" s="961">
        <v>16</v>
      </c>
      <c r="BY168" s="961">
        <v>9</v>
      </c>
      <c r="BZ168" s="961">
        <v>12</v>
      </c>
      <c r="CC168" s="397"/>
    </row>
    <row r="169" spans="11:81" ht="12.75" customHeight="1">
      <c r="AZ169" s="467"/>
      <c r="BA169" s="469">
        <v>17</v>
      </c>
      <c r="BB169" s="469">
        <v>4</v>
      </c>
      <c r="BC169" s="469">
        <v>11</v>
      </c>
      <c r="BD169" s="469">
        <v>14</v>
      </c>
      <c r="BI169" s="468"/>
      <c r="BJ169" s="469">
        <v>14</v>
      </c>
      <c r="BK169" s="469">
        <v>4.5</v>
      </c>
      <c r="BL169" s="469">
        <v>11</v>
      </c>
      <c r="BM169" s="469">
        <v>16</v>
      </c>
      <c r="BN169" s="469">
        <v>10</v>
      </c>
      <c r="BO169" s="469">
        <v>12</v>
      </c>
      <c r="BT169" s="468"/>
      <c r="BU169" s="469">
        <v>14</v>
      </c>
      <c r="BV169" s="469">
        <v>4.5</v>
      </c>
      <c r="BW169" s="469">
        <v>11</v>
      </c>
      <c r="BX169" s="469">
        <v>16</v>
      </c>
      <c r="BY169" s="469">
        <v>10</v>
      </c>
      <c r="BZ169" s="469">
        <v>12</v>
      </c>
      <c r="CC169" s="397"/>
    </row>
    <row r="170" spans="11:81" ht="12.75" customHeight="1">
      <c r="AZ170" s="467"/>
      <c r="BA170" s="446" t="s">
        <v>377</v>
      </c>
      <c r="BB170" s="446" t="s">
        <v>506</v>
      </c>
      <c r="BC170" s="446" t="s">
        <v>507</v>
      </c>
      <c r="BD170" s="446" t="s">
        <v>508</v>
      </c>
      <c r="BI170" s="468"/>
      <c r="BJ170" s="446" t="s">
        <v>377</v>
      </c>
      <c r="BK170" s="446" t="s">
        <v>506</v>
      </c>
      <c r="BL170" s="446" t="s">
        <v>507</v>
      </c>
      <c r="BM170" s="446" t="s">
        <v>508</v>
      </c>
      <c r="BN170" s="446" t="s">
        <v>509</v>
      </c>
      <c r="BO170" s="446" t="s">
        <v>510</v>
      </c>
      <c r="BP170" s="446"/>
      <c r="BQ170" s="446"/>
      <c r="BR170" s="446"/>
      <c r="BS170" s="446"/>
      <c r="CC170" s="397"/>
    </row>
    <row r="171" spans="11:81">
      <c r="AZ171" s="467" t="s">
        <v>545</v>
      </c>
      <c r="BA171" s="961">
        <v>12</v>
      </c>
      <c r="BB171" s="961">
        <v>3.5</v>
      </c>
      <c r="BC171" s="961">
        <v>11</v>
      </c>
      <c r="BD171" s="961">
        <v>10</v>
      </c>
      <c r="BI171" s="468" t="s">
        <v>545</v>
      </c>
      <c r="BJ171" s="469">
        <v>10</v>
      </c>
      <c r="BK171" s="469">
        <v>4</v>
      </c>
      <c r="BL171" s="469">
        <v>11</v>
      </c>
      <c r="BM171" s="469">
        <v>14</v>
      </c>
      <c r="BN171" s="469">
        <v>10</v>
      </c>
      <c r="BO171" s="469">
        <v>12</v>
      </c>
      <c r="CC171" s="397"/>
    </row>
    <row r="172" spans="11:81">
      <c r="AZ172" s="467" t="s">
        <v>536</v>
      </c>
      <c r="BA172" s="961">
        <v>14</v>
      </c>
      <c r="BB172" s="961">
        <v>3.5</v>
      </c>
      <c r="BC172" s="961">
        <v>11</v>
      </c>
      <c r="BD172" s="961">
        <v>10</v>
      </c>
      <c r="BI172" s="468" t="s">
        <v>536</v>
      </c>
      <c r="BJ172" s="961">
        <v>11</v>
      </c>
      <c r="BK172" s="961">
        <v>4</v>
      </c>
      <c r="BL172" s="961">
        <v>11</v>
      </c>
      <c r="BM172" s="961">
        <v>14</v>
      </c>
      <c r="BN172" s="961">
        <v>10</v>
      </c>
      <c r="BO172" s="961">
        <v>12</v>
      </c>
      <c r="CC172" s="397"/>
    </row>
    <row r="173" spans="11:81">
      <c r="AZ173" s="467" t="s">
        <v>538</v>
      </c>
      <c r="BA173" s="961">
        <v>15</v>
      </c>
      <c r="BB173" s="961">
        <v>4</v>
      </c>
      <c r="BC173" s="961">
        <v>11</v>
      </c>
      <c r="BD173" s="961">
        <v>14</v>
      </c>
      <c r="BI173" s="468" t="s">
        <v>538</v>
      </c>
      <c r="BJ173" s="469">
        <v>11</v>
      </c>
      <c r="BK173" s="469">
        <v>4.5</v>
      </c>
      <c r="BL173" s="469">
        <v>11</v>
      </c>
      <c r="BM173" s="469">
        <v>16</v>
      </c>
      <c r="BN173" s="469">
        <v>10</v>
      </c>
      <c r="BO173" s="469">
        <v>12</v>
      </c>
      <c r="CC173" s="397"/>
    </row>
    <row r="174" spans="11:81">
      <c r="R174" s="450"/>
      <c r="S174" s="2130" t="s">
        <v>546</v>
      </c>
      <c r="T174" s="2130"/>
      <c r="U174" s="2130"/>
      <c r="V174" s="2130"/>
      <c r="W174" s="2130"/>
      <c r="X174" s="2130"/>
      <c r="Y174" s="2130"/>
      <c r="Z174" s="2130"/>
      <c r="AZ174" s="467"/>
      <c r="BA174" s="961">
        <v>19</v>
      </c>
      <c r="BB174" s="961">
        <v>4</v>
      </c>
      <c r="BC174" s="961">
        <v>11</v>
      </c>
      <c r="BD174" s="961">
        <v>14</v>
      </c>
      <c r="BI174" s="468"/>
      <c r="BJ174" s="469">
        <v>13</v>
      </c>
      <c r="BK174" s="469">
        <v>4.5</v>
      </c>
      <c r="BL174" s="469">
        <v>11</v>
      </c>
      <c r="BM174" s="469">
        <v>16</v>
      </c>
      <c r="BN174" s="469">
        <v>10</v>
      </c>
      <c r="BO174" s="469">
        <v>12</v>
      </c>
      <c r="CC174" s="397"/>
    </row>
    <row r="175" spans="11:81">
      <c r="K175" s="2112" t="s">
        <v>547</v>
      </c>
      <c r="L175" s="2113"/>
      <c r="M175" s="2114"/>
      <c r="R175" s="452"/>
      <c r="S175" s="2130"/>
      <c r="T175" s="2130"/>
      <c r="U175" s="2130"/>
      <c r="V175" s="2130"/>
      <c r="W175" s="2130"/>
      <c r="X175" s="2130"/>
      <c r="Y175" s="2130"/>
      <c r="Z175" s="2130"/>
      <c r="AZ175" s="467"/>
      <c r="BA175" s="961">
        <v>21</v>
      </c>
      <c r="BB175" s="961">
        <v>4</v>
      </c>
      <c r="BC175" s="961">
        <v>11</v>
      </c>
      <c r="BD175" s="961">
        <v>14</v>
      </c>
      <c r="BI175" s="468"/>
      <c r="BJ175" s="961">
        <v>14</v>
      </c>
      <c r="BK175" s="961">
        <v>4.5</v>
      </c>
      <c r="BL175" s="961">
        <v>11</v>
      </c>
      <c r="BM175" s="961">
        <v>16</v>
      </c>
      <c r="BN175" s="961">
        <v>10</v>
      </c>
      <c r="BO175" s="961">
        <v>12</v>
      </c>
      <c r="CC175" s="397"/>
    </row>
    <row r="176" spans="11:81">
      <c r="K176" s="2115"/>
      <c r="L176" s="2116"/>
      <c r="M176" s="2117"/>
      <c r="AZ176" s="467"/>
      <c r="BA176" s="961">
        <v>18</v>
      </c>
      <c r="BB176" s="961">
        <v>4</v>
      </c>
      <c r="BC176" s="961">
        <v>11</v>
      </c>
      <c r="BD176" s="961">
        <v>14</v>
      </c>
      <c r="BI176" s="468"/>
      <c r="BJ176" s="961">
        <v>12</v>
      </c>
      <c r="BK176" s="961">
        <v>4.5</v>
      </c>
      <c r="BL176" s="961">
        <v>11</v>
      </c>
      <c r="BM176" s="961">
        <v>16</v>
      </c>
      <c r="BN176" s="961">
        <v>10</v>
      </c>
      <c r="BO176" s="961">
        <v>12</v>
      </c>
      <c r="CC176" s="397"/>
    </row>
    <row r="177" spans="11:81">
      <c r="AZ177" s="467"/>
      <c r="BA177" s="469">
        <v>10</v>
      </c>
      <c r="BB177" s="469">
        <v>3.5</v>
      </c>
      <c r="BC177" s="469">
        <v>11</v>
      </c>
      <c r="BD177" s="469">
        <v>10</v>
      </c>
      <c r="BI177" s="468"/>
      <c r="BJ177" s="961">
        <v>10</v>
      </c>
      <c r="BK177" s="961">
        <v>4</v>
      </c>
      <c r="BL177" s="961">
        <v>11</v>
      </c>
      <c r="BM177" s="961">
        <v>14</v>
      </c>
      <c r="BN177" s="961">
        <v>10</v>
      </c>
      <c r="BO177" s="961">
        <v>12</v>
      </c>
      <c r="CC177" s="397"/>
    </row>
    <row r="178" spans="11:81" ht="12.75" customHeight="1">
      <c r="K178" s="2100" t="s">
        <v>548</v>
      </c>
      <c r="L178" s="2101"/>
      <c r="M178" s="1981" t="s">
        <v>498</v>
      </c>
      <c r="N178" s="1981"/>
      <c r="O178" s="1981" t="s">
        <v>549</v>
      </c>
      <c r="P178" s="1981"/>
      <c r="Q178" s="2001" t="s">
        <v>550</v>
      </c>
      <c r="R178" s="2131"/>
      <c r="S178" s="2111" t="s">
        <v>551</v>
      </c>
      <c r="T178" s="1977"/>
      <c r="V178" s="1978" t="s">
        <v>69</v>
      </c>
      <c r="W178" s="1978"/>
      <c r="X178" s="1979" t="s">
        <v>502</v>
      </c>
      <c r="Y178" s="1979"/>
      <c r="Z178" s="1980" t="s">
        <v>503</v>
      </c>
      <c r="AA178" s="1980"/>
      <c r="AB178" s="1980"/>
      <c r="AC178" s="1980"/>
      <c r="AD178" s="1980"/>
      <c r="AF178" s="1981" t="s">
        <v>504</v>
      </c>
      <c r="AG178" s="1981"/>
      <c r="AH178" s="1981"/>
      <c r="AI178" s="1981"/>
      <c r="AJ178" s="1981"/>
      <c r="AK178" s="1982" t="s">
        <v>505</v>
      </c>
      <c r="AL178" s="1982"/>
      <c r="AM178" s="1982"/>
      <c r="AN178" s="1982"/>
      <c r="AO178" s="1982"/>
      <c r="AP178" s="1982"/>
      <c r="AZ178" s="467"/>
      <c r="BA178" s="961">
        <v>13</v>
      </c>
      <c r="BB178" s="961">
        <v>3.5</v>
      </c>
      <c r="BC178" s="961">
        <v>11</v>
      </c>
      <c r="BD178" s="961">
        <v>10</v>
      </c>
      <c r="BI178" s="468"/>
      <c r="BJ178" s="961">
        <v>11</v>
      </c>
      <c r="BK178" s="961">
        <v>4</v>
      </c>
      <c r="BL178" s="961">
        <v>11</v>
      </c>
      <c r="BM178" s="961">
        <v>14</v>
      </c>
      <c r="BN178" s="961">
        <v>10</v>
      </c>
      <c r="BO178" s="961">
        <v>12</v>
      </c>
      <c r="CC178" s="397"/>
    </row>
    <row r="179" spans="11:81">
      <c r="K179" s="2102" t="s">
        <v>511</v>
      </c>
      <c r="L179" s="2103"/>
      <c r="M179" s="964" t="s">
        <v>289</v>
      </c>
      <c r="N179" s="964" t="s">
        <v>513</v>
      </c>
      <c r="O179" s="490" t="s">
        <v>552</v>
      </c>
      <c r="P179" s="962" t="s">
        <v>515</v>
      </c>
      <c r="Q179" s="964" t="s">
        <v>553</v>
      </c>
      <c r="R179" s="491" t="s">
        <v>552</v>
      </c>
      <c r="S179" s="2135" t="s">
        <v>518</v>
      </c>
      <c r="T179" s="2109"/>
      <c r="V179" s="466" t="s">
        <v>519</v>
      </c>
      <c r="W179" s="466" t="s">
        <v>520</v>
      </c>
      <c r="X179" s="489" t="s">
        <v>513</v>
      </c>
      <c r="Y179" s="489" t="s">
        <v>289</v>
      </c>
      <c r="Z179" s="965" t="s">
        <v>521</v>
      </c>
      <c r="AA179" s="965" t="s">
        <v>522</v>
      </c>
      <c r="AB179" s="965" t="s">
        <v>289</v>
      </c>
      <c r="AC179" s="1976" t="s">
        <v>523</v>
      </c>
      <c r="AD179" s="1976"/>
      <c r="AF179" s="961" t="s">
        <v>521</v>
      </c>
      <c r="AG179" s="961" t="s">
        <v>522</v>
      </c>
      <c r="AH179" s="961" t="s">
        <v>289</v>
      </c>
      <c r="AI179" s="1976" t="s">
        <v>524</v>
      </c>
      <c r="AJ179" s="1976"/>
      <c r="AK179" s="472" t="s">
        <v>521</v>
      </c>
      <c r="AL179" s="472" t="s">
        <v>525</v>
      </c>
      <c r="AM179" s="472" t="s">
        <v>522</v>
      </c>
      <c r="AN179" s="472" t="s">
        <v>289</v>
      </c>
      <c r="AO179" s="1976" t="s">
        <v>526</v>
      </c>
      <c r="AP179" s="1976"/>
      <c r="AZ179" s="467"/>
      <c r="BA179" s="961">
        <v>14</v>
      </c>
      <c r="BB179" s="961">
        <v>4</v>
      </c>
      <c r="BC179" s="961">
        <v>11</v>
      </c>
      <c r="BD179" s="961">
        <v>14</v>
      </c>
      <c r="BI179" s="468"/>
      <c r="BJ179" s="961">
        <v>11</v>
      </c>
      <c r="BK179" s="961">
        <v>4.5</v>
      </c>
      <c r="BL179" s="961">
        <v>11</v>
      </c>
      <c r="BM179" s="961">
        <v>16</v>
      </c>
      <c r="BN179" s="961">
        <v>10</v>
      </c>
      <c r="BO179" s="961">
        <v>12</v>
      </c>
      <c r="CC179" s="397"/>
    </row>
    <row r="180" spans="11:81" ht="13.8" thickBot="1">
      <c r="K180" s="2110" t="s">
        <v>554</v>
      </c>
      <c r="L180" s="2132"/>
      <c r="M180" s="464" t="s">
        <v>555</v>
      </c>
      <c r="N180" s="464" t="s">
        <v>556</v>
      </c>
      <c r="O180" s="492" t="s">
        <v>557</v>
      </c>
      <c r="P180" s="464" t="s">
        <v>558</v>
      </c>
      <c r="Q180" s="464" t="s">
        <v>559</v>
      </c>
      <c r="R180" s="493" t="s">
        <v>560</v>
      </c>
      <c r="S180" s="961" t="s">
        <v>529</v>
      </c>
      <c r="T180" s="961" t="s">
        <v>530</v>
      </c>
      <c r="V180" s="466" t="s">
        <v>13</v>
      </c>
      <c r="W180" s="466" t="s">
        <v>13</v>
      </c>
      <c r="X180" s="489" t="s">
        <v>13</v>
      </c>
      <c r="Y180" s="489" t="s">
        <v>13</v>
      </c>
      <c r="Z180" s="965" t="s">
        <v>531</v>
      </c>
      <c r="AA180" s="965" t="s">
        <v>532</v>
      </c>
      <c r="AB180" s="965" t="s">
        <v>13</v>
      </c>
      <c r="AC180" s="965" t="s">
        <v>533</v>
      </c>
      <c r="AD180" s="963" t="s">
        <v>534</v>
      </c>
      <c r="AF180" s="961" t="s">
        <v>535</v>
      </c>
      <c r="AG180" s="961" t="s">
        <v>532</v>
      </c>
      <c r="AH180" s="961" t="s">
        <v>13</v>
      </c>
      <c r="AI180" s="489" t="s">
        <v>533</v>
      </c>
      <c r="AJ180" s="963" t="s">
        <v>534</v>
      </c>
      <c r="AK180" s="472" t="s">
        <v>535</v>
      </c>
      <c r="AL180" s="472" t="s">
        <v>13</v>
      </c>
      <c r="AM180" s="472" t="s">
        <v>532</v>
      </c>
      <c r="AN180" s="472" t="s">
        <v>13</v>
      </c>
      <c r="AO180" s="472" t="s">
        <v>533</v>
      </c>
      <c r="AP180" s="963" t="s">
        <v>534</v>
      </c>
      <c r="AZ180" s="467"/>
      <c r="BA180" s="961">
        <v>17</v>
      </c>
      <c r="BB180" s="961">
        <v>4</v>
      </c>
      <c r="BC180" s="961">
        <v>11</v>
      </c>
      <c r="BD180" s="961">
        <v>14</v>
      </c>
      <c r="BI180" s="468"/>
      <c r="BJ180" s="961">
        <v>12</v>
      </c>
      <c r="BK180" s="961">
        <v>4.5</v>
      </c>
      <c r="BL180" s="961">
        <v>11</v>
      </c>
      <c r="BM180" s="961">
        <v>16</v>
      </c>
      <c r="BN180" s="961">
        <v>10</v>
      </c>
      <c r="BO180" s="961">
        <v>12</v>
      </c>
      <c r="CC180" s="397"/>
    </row>
    <row r="181" spans="11:81" ht="15.9" customHeight="1" thickBot="1">
      <c r="K181" s="2133" t="s">
        <v>561</v>
      </c>
      <c r="L181" s="2134"/>
      <c r="M181" s="473">
        <v>18</v>
      </c>
      <c r="N181" s="494">
        <v>5</v>
      </c>
      <c r="O181" s="473">
        <v>11</v>
      </c>
      <c r="P181" s="473">
        <v>18</v>
      </c>
      <c r="Q181" s="473">
        <v>8</v>
      </c>
      <c r="R181" s="495">
        <v>5</v>
      </c>
      <c r="S181" s="496">
        <f>AD181+AJ181+AP181</f>
        <v>0.2173751083651338</v>
      </c>
      <c r="T181" s="419">
        <f>S181/W181</f>
        <v>1.20763949091741E-2</v>
      </c>
      <c r="V181" s="475">
        <f>N181</f>
        <v>5</v>
      </c>
      <c r="W181" s="476">
        <f>M181</f>
        <v>18</v>
      </c>
      <c r="X181" s="477">
        <f>V181-1</f>
        <v>4</v>
      </c>
      <c r="Y181" s="477">
        <f>W181-1</f>
        <v>17</v>
      </c>
      <c r="Z181" s="478">
        <f>P181</f>
        <v>18</v>
      </c>
      <c r="AA181" s="479">
        <f>(PI()*O181/8*O181/8)/(4*144)</f>
        <v>1.0311759740786809E-2</v>
      </c>
      <c r="AB181" s="480">
        <f>Y181</f>
        <v>17</v>
      </c>
      <c r="AC181" s="479">
        <f>Z181*AA181*AB181</f>
        <v>3.1553984806807636</v>
      </c>
      <c r="AD181" s="481">
        <f>AC181/27</f>
        <v>0.11686661039558384</v>
      </c>
      <c r="AF181" s="482">
        <f>7+ROUNDUP((Y181-2)/(Q181/12),0)</f>
        <v>30</v>
      </c>
      <c r="AG181" s="483">
        <f>(PI()*R181/8*R181/8)/(4*144)</f>
        <v>2.1305288720633907E-3</v>
      </c>
      <c r="AH181" s="484">
        <f>PI()*X181+26/12</f>
        <v>14.733037281025839</v>
      </c>
      <c r="AI181" s="485">
        <f>AF181*AG181*AH181</f>
        <v>0.94167483901235582</v>
      </c>
      <c r="AJ181" s="481">
        <f>AI181/27</f>
        <v>3.487684588934651E-2</v>
      </c>
      <c r="AK181" s="486">
        <f>IF(V181&lt;4,4,ROUNDUP(V181,0))</f>
        <v>5</v>
      </c>
      <c r="AL181" s="487">
        <f>1.9/12</f>
        <v>0.15833333333333333</v>
      </c>
      <c r="AM181" s="487">
        <f>PI()*AL181*AL181/4</f>
        <v>1.968949562406103E-2</v>
      </c>
      <c r="AN181" s="487">
        <f>W181</f>
        <v>18</v>
      </c>
      <c r="AO181" s="488">
        <f>AK181*AM181*AN181</f>
        <v>1.7720546061654927</v>
      </c>
      <c r="AP181" s="481">
        <f>AO181/27</f>
        <v>6.563165208020344E-2</v>
      </c>
      <c r="AZ181" s="396"/>
      <c r="CC181" s="397"/>
    </row>
    <row r="182" spans="11:81" ht="12.75" customHeight="1">
      <c r="V182" s="440"/>
      <c r="W182" s="497"/>
      <c r="AZ182" s="396"/>
      <c r="BA182" s="498" t="s">
        <v>562</v>
      </c>
      <c r="BE182" s="395" t="s">
        <v>563</v>
      </c>
      <c r="BF182" s="2008" t="s">
        <v>564</v>
      </c>
      <c r="BG182" s="2008" t="s">
        <v>565</v>
      </c>
      <c r="BJ182" s="499" t="s">
        <v>566</v>
      </c>
      <c r="BP182" s="395" t="s">
        <v>563</v>
      </c>
      <c r="BQ182" s="2008" t="s">
        <v>564</v>
      </c>
      <c r="BR182" s="2008" t="s">
        <v>565</v>
      </c>
      <c r="BU182" s="499" t="s">
        <v>567</v>
      </c>
      <c r="CA182" s="395" t="s">
        <v>563</v>
      </c>
      <c r="CB182" s="2008" t="s">
        <v>564</v>
      </c>
      <c r="CC182" s="2136" t="s">
        <v>565</v>
      </c>
    </row>
    <row r="183" spans="11:81">
      <c r="Q183" s="1065" t="s">
        <v>69</v>
      </c>
      <c r="R183" s="1981" t="s">
        <v>539</v>
      </c>
      <c r="S183" s="1981"/>
      <c r="T183" s="1981"/>
      <c r="V183" s="440"/>
      <c r="W183" s="497"/>
      <c r="AZ183" s="396"/>
      <c r="BA183" s="446" t="s">
        <v>377</v>
      </c>
      <c r="BB183" s="446" t="s">
        <v>506</v>
      </c>
      <c r="BC183" s="446" t="s">
        <v>507</v>
      </c>
      <c r="BD183" s="446" t="s">
        <v>508</v>
      </c>
      <c r="BE183" s="395" t="s">
        <v>540</v>
      </c>
      <c r="BF183" s="2075"/>
      <c r="BG183" s="2075"/>
      <c r="BJ183" s="446" t="s">
        <v>377</v>
      </c>
      <c r="BK183" s="446" t="s">
        <v>506</v>
      </c>
      <c r="BL183" s="446" t="s">
        <v>507</v>
      </c>
      <c r="BM183" s="446" t="s">
        <v>508</v>
      </c>
      <c r="BN183" s="446" t="s">
        <v>509</v>
      </c>
      <c r="BO183" s="446" t="s">
        <v>510</v>
      </c>
      <c r="BP183" s="395" t="s">
        <v>540</v>
      </c>
      <c r="BQ183" s="2075"/>
      <c r="BR183" s="2075"/>
      <c r="BU183" s="446" t="s">
        <v>377</v>
      </c>
      <c r="BV183" s="446" t="s">
        <v>506</v>
      </c>
      <c r="BW183" s="446" t="s">
        <v>507</v>
      </c>
      <c r="BX183" s="446" t="s">
        <v>508</v>
      </c>
      <c r="BY183" s="446" t="s">
        <v>509</v>
      </c>
      <c r="BZ183" s="446" t="s">
        <v>510</v>
      </c>
      <c r="CA183" s="395" t="s">
        <v>540</v>
      </c>
      <c r="CB183" s="2075"/>
      <c r="CC183" s="2076"/>
    </row>
    <row r="184" spans="11:81">
      <c r="Q184" s="427" t="s">
        <v>540</v>
      </c>
      <c r="R184" s="2109" t="s">
        <v>541</v>
      </c>
      <c r="S184" s="2109"/>
      <c r="T184" s="2109"/>
      <c r="AZ184" s="467"/>
      <c r="BA184" s="469">
        <v>10</v>
      </c>
      <c r="BB184" s="469">
        <v>3.5</v>
      </c>
      <c r="BC184" s="469">
        <v>11</v>
      </c>
      <c r="BD184" s="469">
        <v>10</v>
      </c>
      <c r="BE184" s="500">
        <v>7.303072473662818E-2</v>
      </c>
      <c r="BF184" s="966">
        <f>BE184/(PI()*BB184*BB184*BA184/108)</f>
        <v>2.0494786786238964E-2</v>
      </c>
      <c r="BG184" s="2137">
        <f>SUM(BF184:BF187)/4</f>
        <v>2.0473511210934478E-2</v>
      </c>
      <c r="BI184" s="468"/>
      <c r="BJ184" s="469">
        <v>10</v>
      </c>
      <c r="BK184" s="469">
        <v>4</v>
      </c>
      <c r="BL184" s="469">
        <v>11</v>
      </c>
      <c r="BM184" s="469">
        <v>14</v>
      </c>
      <c r="BN184" s="469">
        <v>10</v>
      </c>
      <c r="BO184" s="469">
        <v>12</v>
      </c>
      <c r="BP184" s="500">
        <v>9.0096453947001887E-2</v>
      </c>
      <c r="BQ184" s="966">
        <f t="shared" ref="BQ184:BQ196" si="4">BP184/(PI()*BK184*BK184*BJ184/108)</f>
        <v>1.9358049600967486E-2</v>
      </c>
      <c r="BR184" s="2137">
        <f>SUM(BQ184:BQ186)/3</f>
        <v>1.9389192409715497E-2</v>
      </c>
      <c r="BT184" s="468" t="s">
        <v>568</v>
      </c>
      <c r="BU184" s="469">
        <v>11</v>
      </c>
      <c r="BV184" s="469">
        <v>4</v>
      </c>
      <c r="BW184" s="469">
        <v>11</v>
      </c>
      <c r="BX184" s="469">
        <v>14</v>
      </c>
      <c r="BY184" s="469">
        <v>8</v>
      </c>
      <c r="BZ184" s="469">
        <v>12</v>
      </c>
      <c r="CA184" s="500">
        <v>9.9274917884592112E-2</v>
      </c>
      <c r="CB184" s="966">
        <f t="shared" ref="CB184:CB193" si="5">CA184/(PI()*BV184*BV184*BU184/108)</f>
        <v>1.9391024339641849E-2</v>
      </c>
      <c r="CC184" s="2137">
        <f>SUM(CB184:CB185)/2</f>
        <v>1.9404763814089503E-2</v>
      </c>
    </row>
    <row r="185" spans="11:81" ht="13.8" thickBot="1">
      <c r="Q185" s="966">
        <f>PI()*N181*N181*M181/108</f>
        <v>13.089969389957471</v>
      </c>
      <c r="R185" s="2126">
        <f>S181/Q185</f>
        <v>1.6606235040694778E-2</v>
      </c>
      <c r="S185" s="2126"/>
      <c r="T185" s="2126"/>
      <c r="AZ185" s="467" t="s">
        <v>569</v>
      </c>
      <c r="BA185" s="469">
        <v>12</v>
      </c>
      <c r="BB185" s="469">
        <v>3.5</v>
      </c>
      <c r="BC185" s="469">
        <v>11</v>
      </c>
      <c r="BD185" s="469">
        <v>10</v>
      </c>
      <c r="BE185" s="500">
        <v>8.7293704008092388E-2</v>
      </c>
      <c r="BF185" s="966">
        <f t="shared" ref="BF185:BF197" si="6">BE185/(PI()*BB185*BB185*BA185/108)</f>
        <v>2.0414533949909927E-2</v>
      </c>
      <c r="BG185" s="2138"/>
      <c r="BI185" s="468" t="s">
        <v>569</v>
      </c>
      <c r="BJ185" s="469">
        <v>11</v>
      </c>
      <c r="BK185" s="469">
        <v>4</v>
      </c>
      <c r="BL185" s="469">
        <v>11</v>
      </c>
      <c r="BM185" s="469">
        <v>14</v>
      </c>
      <c r="BN185" s="469">
        <v>10</v>
      </c>
      <c r="BO185" s="469">
        <v>12</v>
      </c>
      <c r="BP185" s="500">
        <v>9.9274917884592112E-2</v>
      </c>
      <c r="BQ185" s="966">
        <f t="shared" si="4"/>
        <v>1.9391024339641849E-2</v>
      </c>
      <c r="BR185" s="2138"/>
      <c r="BT185" s="468" t="s">
        <v>570</v>
      </c>
      <c r="BU185" s="501">
        <v>12</v>
      </c>
      <c r="BV185" s="501">
        <v>4</v>
      </c>
      <c r="BW185" s="501">
        <v>11</v>
      </c>
      <c r="BX185" s="501">
        <v>14</v>
      </c>
      <c r="BY185" s="501">
        <v>9</v>
      </c>
      <c r="BZ185" s="501">
        <v>12</v>
      </c>
      <c r="CA185" s="502">
        <v>0.10845338182218234</v>
      </c>
      <c r="CB185" s="503">
        <f t="shared" si="5"/>
        <v>1.9418503288537156E-2</v>
      </c>
      <c r="CC185" s="2139"/>
    </row>
    <row r="186" spans="11:81" ht="13.8" thickBot="1">
      <c r="AZ186" s="467" t="s">
        <v>536</v>
      </c>
      <c r="BA186" s="1087">
        <v>13</v>
      </c>
      <c r="BB186" s="1087">
        <v>3.5</v>
      </c>
      <c r="BC186" s="1087">
        <v>11</v>
      </c>
      <c r="BD186" s="1087">
        <v>10</v>
      </c>
      <c r="BE186" s="500">
        <v>9.4820550690515398E-2</v>
      </c>
      <c r="BF186" s="966">
        <f t="shared" si="6"/>
        <v>2.0469013622629133E-2</v>
      </c>
      <c r="BG186" s="2138"/>
      <c r="BI186" s="468" t="s">
        <v>536</v>
      </c>
      <c r="BJ186" s="501">
        <v>12</v>
      </c>
      <c r="BK186" s="501">
        <v>4</v>
      </c>
      <c r="BL186" s="501">
        <v>11</v>
      </c>
      <c r="BM186" s="501">
        <v>14</v>
      </c>
      <c r="BN186" s="501">
        <v>10</v>
      </c>
      <c r="BO186" s="501">
        <v>12</v>
      </c>
      <c r="BP186" s="502">
        <v>0.10845338182218234</v>
      </c>
      <c r="BQ186" s="503">
        <f t="shared" si="4"/>
        <v>1.9418503288537156E-2</v>
      </c>
      <c r="BR186" s="2139"/>
      <c r="BT186" s="468" t="s">
        <v>536</v>
      </c>
      <c r="BU186" s="504">
        <v>12</v>
      </c>
      <c r="BV186" s="504">
        <v>4.5</v>
      </c>
      <c r="BW186" s="504">
        <v>11</v>
      </c>
      <c r="BX186" s="504">
        <v>16</v>
      </c>
      <c r="BY186" s="504">
        <v>9</v>
      </c>
      <c r="BZ186" s="504">
        <v>12</v>
      </c>
      <c r="CA186" s="505">
        <v>0.12758962969654991</v>
      </c>
      <c r="CB186" s="506">
        <f t="shared" si="5"/>
        <v>1.8050240225307022E-2</v>
      </c>
      <c r="CC186" s="2140">
        <f>SUM(CB186:CB190)/5</f>
        <v>1.8373913977221365E-2</v>
      </c>
    </row>
    <row r="187" spans="11:81" ht="12.75" customHeight="1" thickBot="1">
      <c r="AZ187" s="467" t="s">
        <v>538</v>
      </c>
      <c r="BA187" s="501">
        <v>14</v>
      </c>
      <c r="BB187" s="501">
        <v>3.5</v>
      </c>
      <c r="BC187" s="501">
        <v>11</v>
      </c>
      <c r="BD187" s="501">
        <v>10</v>
      </c>
      <c r="BE187" s="502">
        <v>0.1023473973729384</v>
      </c>
      <c r="BF187" s="503">
        <f t="shared" si="6"/>
        <v>2.0515710484959884E-2</v>
      </c>
      <c r="BG187" s="2138"/>
      <c r="BI187" s="468" t="s">
        <v>538</v>
      </c>
      <c r="BJ187" s="504">
        <v>11</v>
      </c>
      <c r="BK187" s="504">
        <v>4.5</v>
      </c>
      <c r="BL187" s="504">
        <v>11</v>
      </c>
      <c r="BM187" s="504">
        <v>16</v>
      </c>
      <c r="BN187" s="504">
        <v>10</v>
      </c>
      <c r="BO187" s="504">
        <v>12</v>
      </c>
      <c r="BP187" s="505">
        <v>0.11679414197999663</v>
      </c>
      <c r="BQ187" s="506">
        <f t="shared" si="4"/>
        <v>1.802508123179938E-2</v>
      </c>
      <c r="BR187" s="2140">
        <f>SUM(BQ187:BQ193)/7</f>
        <v>1.8280882817476442E-2</v>
      </c>
      <c r="BT187" s="468" t="s">
        <v>538</v>
      </c>
      <c r="BU187" s="469">
        <v>14</v>
      </c>
      <c r="BV187" s="469">
        <v>4.5</v>
      </c>
      <c r="BW187" s="469">
        <v>11</v>
      </c>
      <c r="BX187" s="469">
        <v>16</v>
      </c>
      <c r="BY187" s="469">
        <v>10</v>
      </c>
      <c r="BZ187" s="469">
        <v>8</v>
      </c>
      <c r="CA187" s="500">
        <v>0.1533350546665519</v>
      </c>
      <c r="CB187" s="966">
        <f t="shared" si="5"/>
        <v>1.8593548113864936E-2</v>
      </c>
      <c r="CC187" s="2138"/>
    </row>
    <row r="188" spans="11:81" ht="12.75" customHeight="1">
      <c r="AZ188" s="467">
        <v>2010</v>
      </c>
      <c r="BA188" s="504">
        <v>13</v>
      </c>
      <c r="BB188" s="504">
        <v>4</v>
      </c>
      <c r="BC188" s="504">
        <v>11</v>
      </c>
      <c r="BD188" s="504">
        <v>14</v>
      </c>
      <c r="BE188" s="505">
        <v>0.11488785604336405</v>
      </c>
      <c r="BF188" s="506">
        <f t="shared" si="6"/>
        <v>1.8988238274782677E-2</v>
      </c>
      <c r="BG188" s="2137">
        <f>SUM(BF188:BF194)/7</f>
        <v>1.9000185521292932E-2</v>
      </c>
      <c r="BI188" s="468" t="s">
        <v>469</v>
      </c>
      <c r="BJ188" s="469">
        <v>12</v>
      </c>
      <c r="BK188" s="469">
        <v>4.5</v>
      </c>
      <c r="BL188" s="469">
        <v>11</v>
      </c>
      <c r="BM188" s="469">
        <v>16</v>
      </c>
      <c r="BN188" s="469">
        <v>10</v>
      </c>
      <c r="BO188" s="469">
        <v>12</v>
      </c>
      <c r="BP188" s="500">
        <v>0.12758962969654991</v>
      </c>
      <c r="BQ188" s="966">
        <f t="shared" si="4"/>
        <v>1.8050240225307022E-2</v>
      </c>
      <c r="BR188" s="2138"/>
      <c r="BT188" s="468">
        <v>2013</v>
      </c>
      <c r="BU188" s="469">
        <v>14</v>
      </c>
      <c r="BV188" s="469">
        <v>4.5</v>
      </c>
      <c r="BW188" s="469">
        <v>11</v>
      </c>
      <c r="BX188" s="469">
        <v>16</v>
      </c>
      <c r="BY188" s="469">
        <v>10</v>
      </c>
      <c r="BZ188" s="469">
        <v>12</v>
      </c>
      <c r="CA188" s="500">
        <v>0.14918060512965645</v>
      </c>
      <c r="CB188" s="966">
        <f t="shared" si="5"/>
        <v>1.808977578653332E-2</v>
      </c>
      <c r="CC188" s="2138"/>
    </row>
    <row r="189" spans="11:81" ht="12.75" customHeight="1">
      <c r="AZ189" s="396"/>
      <c r="BA189" s="469">
        <v>14</v>
      </c>
      <c r="BB189" s="469">
        <v>4</v>
      </c>
      <c r="BC189" s="469">
        <v>11</v>
      </c>
      <c r="BD189" s="469">
        <v>14</v>
      </c>
      <c r="BE189" s="500">
        <v>0.12406631998095427</v>
      </c>
      <c r="BF189" s="966">
        <f t="shared" si="6"/>
        <v>1.9040562092754312E-2</v>
      </c>
      <c r="BG189" s="2138"/>
      <c r="BI189" s="468"/>
      <c r="BJ189" s="469">
        <v>13</v>
      </c>
      <c r="BK189" s="469">
        <v>4.5</v>
      </c>
      <c r="BL189" s="469">
        <v>11</v>
      </c>
      <c r="BM189" s="469">
        <v>16</v>
      </c>
      <c r="BN189" s="469">
        <v>10</v>
      </c>
      <c r="BO189" s="469">
        <v>12</v>
      </c>
      <c r="BP189" s="500">
        <v>0.13838511741310319</v>
      </c>
      <c r="BQ189" s="966">
        <f t="shared" si="4"/>
        <v>1.8071528604428878E-2</v>
      </c>
      <c r="BR189" s="2138"/>
      <c r="BT189" s="468"/>
      <c r="BU189" s="469">
        <v>15</v>
      </c>
      <c r="BV189" s="469">
        <v>4.5</v>
      </c>
      <c r="BW189" s="469">
        <v>11</v>
      </c>
      <c r="BX189" s="469">
        <v>16</v>
      </c>
      <c r="BY189" s="469">
        <v>10</v>
      </c>
      <c r="BZ189" s="469">
        <v>8</v>
      </c>
      <c r="CA189" s="500">
        <v>0.16413054238310515</v>
      </c>
      <c r="CB189" s="966">
        <f t="shared" si="5"/>
        <v>1.8575777516533346E-2</v>
      </c>
      <c r="CC189" s="2138"/>
    </row>
    <row r="190" spans="11:81" ht="12.75" customHeight="1" thickBot="1">
      <c r="AZ190" s="396"/>
      <c r="BA190" s="469">
        <v>15</v>
      </c>
      <c r="BB190" s="469">
        <v>4</v>
      </c>
      <c r="BC190" s="469">
        <v>11</v>
      </c>
      <c r="BD190" s="469">
        <v>14</v>
      </c>
      <c r="BE190" s="500">
        <v>0.13233012067974165</v>
      </c>
      <c r="BF190" s="966">
        <f t="shared" si="6"/>
        <v>1.8954893543515136E-2</v>
      </c>
      <c r="BG190" s="2138"/>
      <c r="BJ190" s="469">
        <v>14</v>
      </c>
      <c r="BK190" s="469">
        <v>4.5</v>
      </c>
      <c r="BL190" s="469">
        <v>11</v>
      </c>
      <c r="BM190" s="469">
        <v>16</v>
      </c>
      <c r="BN190" s="469">
        <v>10</v>
      </c>
      <c r="BO190" s="469">
        <v>8</v>
      </c>
      <c r="BP190" s="500">
        <v>0.1533350546665519</v>
      </c>
      <c r="BQ190" s="966">
        <f t="shared" si="4"/>
        <v>1.8593548113864936E-2</v>
      </c>
      <c r="BR190" s="2138"/>
      <c r="BU190" s="501">
        <v>16</v>
      </c>
      <c r="BV190" s="501">
        <v>4.5</v>
      </c>
      <c r="BW190" s="501">
        <v>11</v>
      </c>
      <c r="BX190" s="501">
        <v>16</v>
      </c>
      <c r="BY190" s="501">
        <v>10</v>
      </c>
      <c r="BZ190" s="501">
        <v>8</v>
      </c>
      <c r="CA190" s="502">
        <v>0.17492603009965843</v>
      </c>
      <c r="CB190" s="503">
        <f t="shared" si="5"/>
        <v>1.8560228243868205E-2</v>
      </c>
      <c r="CC190" s="2139"/>
    </row>
    <row r="191" spans="11:81" ht="12.75" customHeight="1">
      <c r="AZ191" s="396"/>
      <c r="BA191" s="469">
        <v>17</v>
      </c>
      <c r="BB191" s="469">
        <v>4</v>
      </c>
      <c r="BC191" s="469">
        <v>11</v>
      </c>
      <c r="BD191" s="469">
        <v>14</v>
      </c>
      <c r="BE191" s="500">
        <v>0.1506870485549221</v>
      </c>
      <c r="BF191" s="966">
        <f t="shared" si="6"/>
        <v>1.9044996859146943E-2</v>
      </c>
      <c r="BG191" s="2138"/>
      <c r="BJ191" s="469">
        <v>14</v>
      </c>
      <c r="BK191" s="469">
        <v>4.5</v>
      </c>
      <c r="BL191" s="469">
        <v>11</v>
      </c>
      <c r="BM191" s="469">
        <v>16</v>
      </c>
      <c r="BN191" s="469">
        <v>10</v>
      </c>
      <c r="BO191" s="469">
        <v>12</v>
      </c>
      <c r="BP191" s="500">
        <v>0.14918060512965645</v>
      </c>
      <c r="BQ191" s="966">
        <f t="shared" si="4"/>
        <v>1.808977578653332E-2</v>
      </c>
      <c r="BR191" s="2138"/>
      <c r="BU191" s="504">
        <v>15</v>
      </c>
      <c r="BV191" s="504">
        <v>5</v>
      </c>
      <c r="BW191" s="504">
        <v>11</v>
      </c>
      <c r="BX191" s="504">
        <v>18</v>
      </c>
      <c r="BY191" s="504">
        <v>10</v>
      </c>
      <c r="BZ191" s="504">
        <v>8</v>
      </c>
      <c r="CA191" s="505">
        <v>0.17767504949601207</v>
      </c>
      <c r="CB191" s="506">
        <f t="shared" si="5"/>
        <v>1.6288048737439192E-2</v>
      </c>
      <c r="CC191" s="2138">
        <f>SUM(CB191:CB193)/3</f>
        <v>1.6266971803670555E-2</v>
      </c>
    </row>
    <row r="192" spans="11:81" ht="12.75" customHeight="1">
      <c r="AZ192" s="396"/>
      <c r="BA192" s="469">
        <v>18</v>
      </c>
      <c r="BB192" s="469">
        <v>4</v>
      </c>
      <c r="BC192" s="469">
        <v>11</v>
      </c>
      <c r="BD192" s="469">
        <v>14</v>
      </c>
      <c r="BE192" s="500">
        <v>0.1589508492537095</v>
      </c>
      <c r="BF192" s="966">
        <f t="shared" si="6"/>
        <v>1.8973360025536928E-2</v>
      </c>
      <c r="BG192" s="2138"/>
      <c r="BJ192" s="469">
        <v>15</v>
      </c>
      <c r="BK192" s="469">
        <v>4.5</v>
      </c>
      <c r="BL192" s="469">
        <v>11</v>
      </c>
      <c r="BM192" s="469">
        <v>16</v>
      </c>
      <c r="BN192" s="469">
        <v>10</v>
      </c>
      <c r="BO192" s="469">
        <v>8</v>
      </c>
      <c r="BP192" s="500">
        <v>0.16413054238310515</v>
      </c>
      <c r="BQ192" s="966">
        <f t="shared" si="4"/>
        <v>1.8575777516533346E-2</v>
      </c>
      <c r="BR192" s="2138"/>
      <c r="BU192" s="469">
        <v>17</v>
      </c>
      <c r="BV192" s="469">
        <v>5</v>
      </c>
      <c r="BW192" s="469">
        <v>11</v>
      </c>
      <c r="BX192" s="469">
        <v>18</v>
      </c>
      <c r="BY192" s="469">
        <v>10</v>
      </c>
      <c r="BZ192" s="469">
        <v>8</v>
      </c>
      <c r="CA192" s="500">
        <v>0.20104159132970684</v>
      </c>
      <c r="CB192" s="966">
        <f t="shared" si="5"/>
        <v>1.6261884267933294E-2</v>
      </c>
      <c r="CC192" s="2138"/>
    </row>
    <row r="193" spans="10:81" ht="13.8" thickBot="1">
      <c r="V193" s="440"/>
      <c r="W193" s="507"/>
      <c r="AZ193" s="396"/>
      <c r="BA193" s="469">
        <v>19</v>
      </c>
      <c r="BB193" s="469">
        <v>4</v>
      </c>
      <c r="BC193" s="469">
        <v>11</v>
      </c>
      <c r="BD193" s="469">
        <v>14</v>
      </c>
      <c r="BE193" s="500">
        <v>0.1681293131912997</v>
      </c>
      <c r="BF193" s="966">
        <f t="shared" si="6"/>
        <v>1.9012697483476327E-2</v>
      </c>
      <c r="BG193" s="2138"/>
      <c r="BJ193" s="501">
        <v>16</v>
      </c>
      <c r="BK193" s="501">
        <v>4.5</v>
      </c>
      <c r="BL193" s="501">
        <v>11</v>
      </c>
      <c r="BM193" s="501">
        <v>16</v>
      </c>
      <c r="BN193" s="501">
        <v>10</v>
      </c>
      <c r="BO193" s="501">
        <v>8</v>
      </c>
      <c r="BP193" s="502">
        <v>0.17492603009965843</v>
      </c>
      <c r="BQ193" s="503">
        <f t="shared" si="4"/>
        <v>1.8560228243868205E-2</v>
      </c>
      <c r="BR193" s="2139"/>
      <c r="BU193" s="469">
        <v>18</v>
      </c>
      <c r="BV193" s="469">
        <v>5</v>
      </c>
      <c r="BW193" s="469">
        <v>11</v>
      </c>
      <c r="BX193" s="469">
        <v>18</v>
      </c>
      <c r="BY193" s="469">
        <v>10</v>
      </c>
      <c r="BZ193" s="469">
        <v>8</v>
      </c>
      <c r="CA193" s="500">
        <v>0.21272486224655426</v>
      </c>
      <c r="CB193" s="966">
        <f t="shared" si="5"/>
        <v>1.6250982405639179E-2</v>
      </c>
      <c r="CC193" s="2141"/>
    </row>
    <row r="194" spans="10:81" ht="13.8" thickBot="1">
      <c r="J194" s="395" t="s">
        <v>427</v>
      </c>
      <c r="V194" s="440"/>
      <c r="W194" s="497"/>
      <c r="AZ194" s="396"/>
      <c r="BA194" s="501">
        <v>21</v>
      </c>
      <c r="BB194" s="501">
        <v>4</v>
      </c>
      <c r="BC194" s="501">
        <v>11</v>
      </c>
      <c r="BD194" s="501">
        <v>14</v>
      </c>
      <c r="BE194" s="502">
        <v>0.18557157782767733</v>
      </c>
      <c r="BF194" s="503">
        <f t="shared" si="6"/>
        <v>1.8986550369838207E-2</v>
      </c>
      <c r="BG194" s="2139"/>
      <c r="BJ194" s="504">
        <v>15</v>
      </c>
      <c r="BK194" s="504">
        <v>5</v>
      </c>
      <c r="BL194" s="504">
        <v>11</v>
      </c>
      <c r="BM194" s="504">
        <v>18</v>
      </c>
      <c r="BN194" s="504">
        <v>10</v>
      </c>
      <c r="BO194" s="504">
        <v>8</v>
      </c>
      <c r="BP194" s="505">
        <v>0.17767504949601207</v>
      </c>
      <c r="BQ194" s="506">
        <f t="shared" si="4"/>
        <v>1.6288048737439192E-2</v>
      </c>
      <c r="BR194" s="2138">
        <f>SUM(BQ194:BQ196)/3</f>
        <v>1.6266971803670555E-2</v>
      </c>
      <c r="CB194" s="440" t="s">
        <v>571</v>
      </c>
      <c r="CC194" s="508">
        <f>SUM(CB184:CB193)/10</f>
        <v>1.7948001292529749E-2</v>
      </c>
    </row>
    <row r="195" spans="10:81">
      <c r="V195" s="440"/>
      <c r="W195" s="497"/>
      <c r="AZ195" s="396"/>
      <c r="BA195" s="504">
        <v>15</v>
      </c>
      <c r="BB195" s="504">
        <v>4.5</v>
      </c>
      <c r="BC195" s="504">
        <v>11</v>
      </c>
      <c r="BD195" s="504">
        <v>16</v>
      </c>
      <c r="BE195" s="505">
        <v>0.15582164330931428</v>
      </c>
      <c r="BF195" s="506">
        <f t="shared" si="6"/>
        <v>1.763540250551433E-2</v>
      </c>
      <c r="BG195" s="2138">
        <f>SUM(BF195:BF197)/3</f>
        <v>1.7680122558405672E-2</v>
      </c>
      <c r="BJ195" s="469">
        <v>17</v>
      </c>
      <c r="BK195" s="469">
        <v>5</v>
      </c>
      <c r="BL195" s="469">
        <v>11</v>
      </c>
      <c r="BM195" s="469">
        <v>18</v>
      </c>
      <c r="BN195" s="469">
        <v>10</v>
      </c>
      <c r="BO195" s="469">
        <v>8</v>
      </c>
      <c r="BP195" s="500">
        <v>0.20104159132970684</v>
      </c>
      <c r="BQ195" s="966">
        <f t="shared" si="4"/>
        <v>1.6261884267933294E-2</v>
      </c>
      <c r="BR195" s="2138"/>
      <c r="CC195" s="397"/>
    </row>
    <row r="196" spans="10:81">
      <c r="K196" s="2112" t="s">
        <v>572</v>
      </c>
      <c r="L196" s="2113"/>
      <c r="M196" s="2114"/>
      <c r="AZ196" s="396"/>
      <c r="BA196" s="469">
        <v>17</v>
      </c>
      <c r="BB196" s="469">
        <v>4.5</v>
      </c>
      <c r="BC196" s="469">
        <v>11</v>
      </c>
      <c r="BD196" s="469">
        <v>16</v>
      </c>
      <c r="BE196" s="500">
        <v>0.17741261874242081</v>
      </c>
      <c r="BF196" s="966">
        <f t="shared" si="6"/>
        <v>1.7716765640617482E-2</v>
      </c>
      <c r="BG196" s="2138"/>
      <c r="BJ196" s="469">
        <v>18</v>
      </c>
      <c r="BK196" s="469">
        <v>5</v>
      </c>
      <c r="BL196" s="469">
        <v>11</v>
      </c>
      <c r="BM196" s="469">
        <v>18</v>
      </c>
      <c r="BN196" s="469">
        <v>10</v>
      </c>
      <c r="BO196" s="469">
        <v>8</v>
      </c>
      <c r="BP196" s="500">
        <v>0.21272486224655426</v>
      </c>
      <c r="BQ196" s="966">
        <f t="shared" si="4"/>
        <v>1.6250982405639179E-2</v>
      </c>
      <c r="BR196" s="2141"/>
      <c r="CC196" s="397"/>
    </row>
    <row r="197" spans="10:81" ht="12.75" customHeight="1">
      <c r="K197" s="2115"/>
      <c r="L197" s="2116"/>
      <c r="M197" s="2117"/>
      <c r="AZ197" s="396"/>
      <c r="BA197" s="469">
        <v>19</v>
      </c>
      <c r="BB197" s="469">
        <v>4.5</v>
      </c>
      <c r="BC197" s="469">
        <v>11</v>
      </c>
      <c r="BD197" s="469">
        <v>16</v>
      </c>
      <c r="BE197" s="500">
        <v>0.19796498179130351</v>
      </c>
      <c r="BF197" s="966">
        <f t="shared" si="6"/>
        <v>1.7688199529085197E-2</v>
      </c>
      <c r="BG197" s="2141"/>
      <c r="BQ197" s="440" t="s">
        <v>571</v>
      </c>
      <c r="BR197" s="509">
        <f>SUM(BQ184:BQ196)/13</f>
        <v>1.8071897874037943E-2</v>
      </c>
      <c r="CC197" s="397"/>
    </row>
    <row r="198" spans="10:81">
      <c r="AZ198" s="396"/>
      <c r="BF198" s="440" t="s">
        <v>571</v>
      </c>
      <c r="BG198" s="509">
        <f>SUM(BF184:BF197)/14</f>
        <v>1.9138265083428963E-2</v>
      </c>
      <c r="CC198" s="397"/>
    </row>
    <row r="199" spans="10:81" ht="12.75" customHeight="1">
      <c r="K199" s="2142" t="s">
        <v>573</v>
      </c>
      <c r="L199" s="2143"/>
      <c r="AZ199" s="396"/>
      <c r="CC199" s="397"/>
    </row>
    <row r="200" spans="10:81" ht="12.75" customHeight="1">
      <c r="K200" s="2144"/>
      <c r="L200" s="2145"/>
      <c r="AZ200" s="396"/>
      <c r="BA200" s="2146" t="s">
        <v>574</v>
      </c>
      <c r="BB200" s="2147"/>
      <c r="BC200" s="2147"/>
      <c r="BD200" s="2147"/>
      <c r="BE200" s="2147"/>
      <c r="BF200" s="2147"/>
      <c r="BG200" s="2148"/>
      <c r="BJ200" s="2146" t="s">
        <v>575</v>
      </c>
      <c r="BK200" s="2147"/>
      <c r="BL200" s="2147"/>
      <c r="BM200" s="2147"/>
      <c r="BN200" s="2147"/>
      <c r="BO200" s="2147"/>
      <c r="BP200" s="2147"/>
      <c r="BQ200" s="2147"/>
      <c r="BR200" s="2147"/>
      <c r="BS200" s="2147"/>
      <c r="BT200" s="2147"/>
      <c r="BU200" s="2147"/>
      <c r="BV200" s="2147"/>
      <c r="BW200" s="2147"/>
      <c r="BX200" s="2147"/>
      <c r="BY200" s="2147"/>
      <c r="BZ200" s="2147"/>
      <c r="CA200" s="2147"/>
      <c r="CB200" s="2147"/>
      <c r="CC200" s="2148"/>
    </row>
    <row r="201" spans="10:81" ht="12.75" customHeight="1">
      <c r="K201" s="2100" t="s">
        <v>548</v>
      </c>
      <c r="L201" s="2101"/>
      <c r="M201" s="1981" t="s">
        <v>498</v>
      </c>
      <c r="N201" s="1981"/>
      <c r="O201" s="1981" t="s">
        <v>549</v>
      </c>
      <c r="P201" s="1981"/>
      <c r="Q201" s="2001" t="s">
        <v>550</v>
      </c>
      <c r="R201" s="2131"/>
      <c r="S201" s="2154" t="s">
        <v>551</v>
      </c>
      <c r="T201" s="2155"/>
      <c r="V201" s="1978" t="s">
        <v>69</v>
      </c>
      <c r="W201" s="1978"/>
      <c r="X201" s="1979" t="s">
        <v>502</v>
      </c>
      <c r="Y201" s="1979"/>
      <c r="Z201" s="1980" t="s">
        <v>576</v>
      </c>
      <c r="AA201" s="1980"/>
      <c r="AB201" s="1980"/>
      <c r="AC201" s="1980"/>
      <c r="AD201" s="1980"/>
      <c r="AF201" s="1981" t="s">
        <v>577</v>
      </c>
      <c r="AG201" s="1981"/>
      <c r="AH201" s="1981"/>
      <c r="AI201" s="1981"/>
      <c r="AJ201" s="1981"/>
      <c r="AK201" s="1982" t="s">
        <v>505</v>
      </c>
      <c r="AL201" s="1982"/>
      <c r="AM201" s="1982"/>
      <c r="AN201" s="1982"/>
      <c r="AO201" s="1982"/>
      <c r="AP201" s="1982"/>
      <c r="AZ201" s="396"/>
      <c r="BA201" s="2149"/>
      <c r="BB201" s="2130"/>
      <c r="BC201" s="2130"/>
      <c r="BD201" s="2130"/>
      <c r="BE201" s="2130"/>
      <c r="BF201" s="2130"/>
      <c r="BG201" s="2150"/>
      <c r="BJ201" s="2149"/>
      <c r="BK201" s="2130"/>
      <c r="BL201" s="2130"/>
      <c r="BM201" s="2130"/>
      <c r="BN201" s="2130"/>
      <c r="BO201" s="2130"/>
      <c r="BP201" s="2130"/>
      <c r="BQ201" s="2130"/>
      <c r="BR201" s="2130"/>
      <c r="BS201" s="2130"/>
      <c r="BT201" s="2130"/>
      <c r="BU201" s="2130"/>
      <c r="BV201" s="2130"/>
      <c r="BW201" s="2130"/>
      <c r="BX201" s="2130"/>
      <c r="BY201" s="2130"/>
      <c r="BZ201" s="2130"/>
      <c r="CA201" s="2130"/>
      <c r="CB201" s="2130"/>
      <c r="CC201" s="2150"/>
    </row>
    <row r="202" spans="10:81" ht="15.9" customHeight="1">
      <c r="K202" s="2102" t="s">
        <v>511</v>
      </c>
      <c r="L202" s="2103"/>
      <c r="M202" s="964" t="s">
        <v>289</v>
      </c>
      <c r="N202" s="964" t="s">
        <v>513</v>
      </c>
      <c r="O202" s="490" t="s">
        <v>552</v>
      </c>
      <c r="P202" s="962" t="s">
        <v>578</v>
      </c>
      <c r="Q202" s="964" t="s">
        <v>553</v>
      </c>
      <c r="R202" s="491" t="s">
        <v>552</v>
      </c>
      <c r="S202" s="2135" t="s">
        <v>518</v>
      </c>
      <c r="T202" s="2109"/>
      <c r="V202" s="466" t="s">
        <v>519</v>
      </c>
      <c r="W202" s="466" t="s">
        <v>520</v>
      </c>
      <c r="X202" s="489" t="s">
        <v>513</v>
      </c>
      <c r="Y202" s="489" t="s">
        <v>289</v>
      </c>
      <c r="Z202" s="965" t="s">
        <v>521</v>
      </c>
      <c r="AA202" s="965" t="s">
        <v>522</v>
      </c>
      <c r="AB202" s="965" t="s">
        <v>289</v>
      </c>
      <c r="AC202" s="1976" t="s">
        <v>523</v>
      </c>
      <c r="AD202" s="1976"/>
      <c r="AF202" s="961" t="s">
        <v>521</v>
      </c>
      <c r="AG202" s="961" t="s">
        <v>522</v>
      </c>
      <c r="AH202" s="961" t="s">
        <v>289</v>
      </c>
      <c r="AI202" s="1976" t="s">
        <v>524</v>
      </c>
      <c r="AJ202" s="1976"/>
      <c r="AK202" s="472" t="s">
        <v>521</v>
      </c>
      <c r="AL202" s="472" t="s">
        <v>525</v>
      </c>
      <c r="AM202" s="472" t="s">
        <v>522</v>
      </c>
      <c r="AN202" s="472" t="s">
        <v>289</v>
      </c>
      <c r="AO202" s="1976" t="s">
        <v>526</v>
      </c>
      <c r="AP202" s="1976"/>
      <c r="AZ202" s="396"/>
      <c r="BA202" s="2149"/>
      <c r="BB202" s="2130"/>
      <c r="BC202" s="2130"/>
      <c r="BD202" s="2130"/>
      <c r="BE202" s="2130"/>
      <c r="BF202" s="2130"/>
      <c r="BG202" s="2150"/>
      <c r="BJ202" s="2151"/>
      <c r="BK202" s="2152"/>
      <c r="BL202" s="2152"/>
      <c r="BM202" s="2152"/>
      <c r="BN202" s="2152"/>
      <c r="BO202" s="2152"/>
      <c r="BP202" s="2152"/>
      <c r="BQ202" s="2152"/>
      <c r="BR202" s="2152"/>
      <c r="BS202" s="2152"/>
      <c r="BT202" s="2152"/>
      <c r="BU202" s="2152"/>
      <c r="BV202" s="2152"/>
      <c r="BW202" s="2152"/>
      <c r="BX202" s="2152"/>
      <c r="BY202" s="2152"/>
      <c r="BZ202" s="2152"/>
      <c r="CA202" s="2152"/>
      <c r="CB202" s="2152"/>
      <c r="CC202" s="2153"/>
    </row>
    <row r="203" spans="10:81" ht="13.8" thickBot="1">
      <c r="K203" s="2110" t="s">
        <v>579</v>
      </c>
      <c r="L203" s="2132"/>
      <c r="M203" s="464" t="s">
        <v>377</v>
      </c>
      <c r="N203" s="464" t="s">
        <v>506</v>
      </c>
      <c r="O203" s="492" t="s">
        <v>557</v>
      </c>
      <c r="P203" s="464" t="s">
        <v>580</v>
      </c>
      <c r="Q203" s="464" t="s">
        <v>581</v>
      </c>
      <c r="R203" s="493" t="s">
        <v>560</v>
      </c>
      <c r="S203" s="471" t="s">
        <v>529</v>
      </c>
      <c r="T203" s="961" t="s">
        <v>530</v>
      </c>
      <c r="V203" s="466" t="s">
        <v>13</v>
      </c>
      <c r="W203" s="466" t="s">
        <v>13</v>
      </c>
      <c r="X203" s="489" t="s">
        <v>13</v>
      </c>
      <c r="Y203" s="489" t="s">
        <v>13</v>
      </c>
      <c r="Z203" s="965" t="s">
        <v>531</v>
      </c>
      <c r="AA203" s="965" t="s">
        <v>532</v>
      </c>
      <c r="AB203" s="965" t="s">
        <v>13</v>
      </c>
      <c r="AC203" s="965" t="s">
        <v>533</v>
      </c>
      <c r="AD203" s="963" t="s">
        <v>534</v>
      </c>
      <c r="AF203" s="961" t="s">
        <v>535</v>
      </c>
      <c r="AG203" s="961" t="s">
        <v>532</v>
      </c>
      <c r="AH203" s="961" t="s">
        <v>13</v>
      </c>
      <c r="AI203" s="489" t="s">
        <v>533</v>
      </c>
      <c r="AJ203" s="963" t="s">
        <v>534</v>
      </c>
      <c r="AK203" s="472" t="s">
        <v>535</v>
      </c>
      <c r="AL203" s="472" t="s">
        <v>13</v>
      </c>
      <c r="AM203" s="472" t="s">
        <v>532</v>
      </c>
      <c r="AN203" s="472" t="s">
        <v>13</v>
      </c>
      <c r="AO203" s="472" t="s">
        <v>533</v>
      </c>
      <c r="AP203" s="963" t="s">
        <v>534</v>
      </c>
      <c r="AZ203" s="396"/>
      <c r="BA203" s="2149"/>
      <c r="BB203" s="2130"/>
      <c r="BC203" s="2130"/>
      <c r="BD203" s="2130"/>
      <c r="BE203" s="2130"/>
      <c r="BF203" s="2130"/>
      <c r="BG203" s="2150"/>
      <c r="BJ203" s="453"/>
      <c r="BK203" s="453"/>
      <c r="BL203" s="453"/>
      <c r="BM203" s="453"/>
      <c r="BN203" s="453"/>
      <c r="BO203" s="453"/>
      <c r="BP203" s="453"/>
      <c r="BQ203" s="453"/>
      <c r="BR203" s="453"/>
      <c r="CC203" s="397"/>
    </row>
    <row r="204" spans="10:81" ht="15.6" thickBot="1">
      <c r="K204" s="2124" t="s">
        <v>582</v>
      </c>
      <c r="L204" s="2125"/>
      <c r="M204" s="473">
        <v>18</v>
      </c>
      <c r="N204" s="494">
        <v>5</v>
      </c>
      <c r="O204" s="473">
        <v>11</v>
      </c>
      <c r="P204" s="473">
        <v>18</v>
      </c>
      <c r="Q204" s="473">
        <v>8</v>
      </c>
      <c r="R204" s="510">
        <v>5</v>
      </c>
      <c r="S204" s="474">
        <f>AD204+AJ204+AP204</f>
        <v>0.2173751083651338</v>
      </c>
      <c r="T204" s="419">
        <f>S204/W204</f>
        <v>1.20763949091741E-2</v>
      </c>
      <c r="V204" s="475">
        <f>N204</f>
        <v>5</v>
      </c>
      <c r="W204" s="476">
        <f>M204</f>
        <v>18</v>
      </c>
      <c r="X204" s="477">
        <f>V204-1</f>
        <v>4</v>
      </c>
      <c r="Y204" s="477">
        <f>W204-1</f>
        <v>17</v>
      </c>
      <c r="Z204" s="478">
        <f>P204</f>
        <v>18</v>
      </c>
      <c r="AA204" s="479">
        <f>(PI()*O204/8*O204/8)/(4*144)</f>
        <v>1.0311759740786809E-2</v>
      </c>
      <c r="AB204" s="480">
        <f>Y204</f>
        <v>17</v>
      </c>
      <c r="AC204" s="479">
        <f>Z204*AA204*AB204</f>
        <v>3.1553984806807636</v>
      </c>
      <c r="AD204" s="481">
        <f>AC204/27</f>
        <v>0.11686661039558384</v>
      </c>
      <c r="AF204" s="482">
        <f>7+ROUNDUP((Y204-2)/(Q204/12),0)</f>
        <v>30</v>
      </c>
      <c r="AG204" s="483">
        <f>(PI()*R204/8*R204/8)/(4*144)</f>
        <v>2.1305288720633907E-3</v>
      </c>
      <c r="AH204" s="484">
        <f>PI()*X204+26/12</f>
        <v>14.733037281025839</v>
      </c>
      <c r="AI204" s="485">
        <f>AF204*AG204*AH204</f>
        <v>0.94167483901235582</v>
      </c>
      <c r="AJ204" s="481">
        <f>AI204/27</f>
        <v>3.487684588934651E-2</v>
      </c>
      <c r="AK204" s="486">
        <f>IF(V204&lt;4,4,ROUNDUP(V204,0))</f>
        <v>5</v>
      </c>
      <c r="AL204" s="487">
        <f>1.9/12</f>
        <v>0.15833333333333333</v>
      </c>
      <c r="AM204" s="487">
        <f>PI()*AL204*AL204/4</f>
        <v>1.968949562406103E-2</v>
      </c>
      <c r="AN204" s="487">
        <f>W204</f>
        <v>18</v>
      </c>
      <c r="AO204" s="488">
        <f>AK204*AM204*AN204</f>
        <v>1.7720546061654927</v>
      </c>
      <c r="AP204" s="481">
        <f>AO204/27</f>
        <v>6.563165208020344E-2</v>
      </c>
      <c r="AZ204" s="396"/>
      <c r="BA204" s="2151"/>
      <c r="BB204" s="2152"/>
      <c r="BC204" s="2152"/>
      <c r="BD204" s="2152"/>
      <c r="BE204" s="2152"/>
      <c r="BF204" s="2152"/>
      <c r="BG204" s="2153"/>
      <c r="BO204" s="453"/>
      <c r="BP204" s="453"/>
      <c r="BQ204" s="453"/>
      <c r="BR204" s="453"/>
      <c r="BS204" s="453"/>
      <c r="BT204" s="453"/>
      <c r="BU204" s="453"/>
      <c r="BV204" s="453"/>
      <c r="BW204" s="453"/>
      <c r="CC204" s="397"/>
    </row>
    <row r="205" spans="10:81">
      <c r="AZ205" s="396"/>
      <c r="BA205" s="971" t="s">
        <v>377</v>
      </c>
      <c r="BB205" s="971" t="s">
        <v>506</v>
      </c>
      <c r="BC205" s="971" t="s">
        <v>507</v>
      </c>
      <c r="BD205" s="971" t="s">
        <v>508</v>
      </c>
      <c r="BE205" s="404" t="s">
        <v>583</v>
      </c>
      <c r="BO205" s="957" t="s">
        <v>377</v>
      </c>
      <c r="BP205" s="957" t="s">
        <v>506</v>
      </c>
      <c r="BQ205" s="957" t="s">
        <v>507</v>
      </c>
      <c r="BR205" s="957" t="s">
        <v>508</v>
      </c>
      <c r="BS205" s="957" t="s">
        <v>509</v>
      </c>
      <c r="BT205" s="957" t="s">
        <v>510</v>
      </c>
      <c r="BU205" s="404" t="s">
        <v>583</v>
      </c>
      <c r="CC205" s="397"/>
    </row>
    <row r="206" spans="10:81">
      <c r="Q206" s="1065" t="s">
        <v>69</v>
      </c>
      <c r="R206" s="1981" t="s">
        <v>539</v>
      </c>
      <c r="S206" s="1981"/>
      <c r="T206" s="1981"/>
      <c r="AZ206" s="396"/>
      <c r="BA206" s="469"/>
      <c r="BB206" s="469"/>
      <c r="BC206" s="469"/>
      <c r="BD206" s="469"/>
      <c r="BE206" s="500"/>
      <c r="BO206" s="469"/>
      <c r="BP206" s="469"/>
      <c r="BQ206" s="469"/>
      <c r="BR206" s="469"/>
      <c r="BS206" s="469"/>
      <c r="BT206" s="469"/>
      <c r="BU206" s="500"/>
      <c r="CC206" s="397"/>
    </row>
    <row r="207" spans="10:81">
      <c r="Q207" s="427" t="s">
        <v>540</v>
      </c>
      <c r="R207" s="2109" t="s">
        <v>541</v>
      </c>
      <c r="S207" s="2109"/>
      <c r="T207" s="2109"/>
      <c r="AZ207" s="511"/>
      <c r="BA207" s="446"/>
      <c r="BB207" s="446"/>
      <c r="BC207" s="446"/>
      <c r="BD207" s="446"/>
      <c r="BE207" s="404" t="s">
        <v>584</v>
      </c>
      <c r="BI207" s="440"/>
      <c r="BO207" s="446"/>
      <c r="BP207" s="446"/>
      <c r="BQ207" s="446"/>
      <c r="BR207" s="446"/>
      <c r="BS207" s="446"/>
      <c r="BT207" s="446"/>
      <c r="BU207" s="404" t="s">
        <v>585</v>
      </c>
      <c r="CC207" s="397"/>
    </row>
    <row r="208" spans="10:81">
      <c r="Q208" s="966">
        <f>PI()*N204*N204*M204/108</f>
        <v>13.089969389957471</v>
      </c>
      <c r="R208" s="2126">
        <f>S204/Q208</f>
        <v>1.6606235040694778E-2</v>
      </c>
      <c r="S208" s="2126"/>
      <c r="T208" s="2126"/>
      <c r="AZ208" s="396"/>
      <c r="CC208" s="397"/>
    </row>
    <row r="209" spans="11:81">
      <c r="K209" s="2142" t="s">
        <v>586</v>
      </c>
      <c r="L209" s="2143"/>
      <c r="AZ209" s="431"/>
      <c r="BA209" s="432"/>
      <c r="BB209" s="432"/>
      <c r="BC209" s="432"/>
      <c r="BD209" s="432"/>
      <c r="BE209" s="432"/>
      <c r="BF209" s="432"/>
      <c r="BG209" s="432"/>
      <c r="BH209" s="432"/>
      <c r="BI209" s="432"/>
      <c r="BJ209" s="432"/>
      <c r="BK209" s="432"/>
      <c r="BL209" s="432"/>
      <c r="BM209" s="432"/>
      <c r="BN209" s="432"/>
      <c r="BO209" s="432"/>
      <c r="BP209" s="432"/>
      <c r="BQ209" s="432"/>
      <c r="BR209" s="432"/>
      <c r="BS209" s="432"/>
      <c r="BT209" s="432"/>
      <c r="BU209" s="432"/>
      <c r="BV209" s="432"/>
      <c r="BW209" s="432"/>
      <c r="BX209" s="432"/>
      <c r="BY209" s="432"/>
      <c r="BZ209" s="432"/>
      <c r="CA209" s="432"/>
      <c r="CB209" s="432"/>
      <c r="CC209" s="433"/>
    </row>
    <row r="210" spans="11:81">
      <c r="K210" s="2144"/>
      <c r="L210" s="2145"/>
    </row>
    <row r="211" spans="11:81">
      <c r="K211" s="2100" t="s">
        <v>548</v>
      </c>
      <c r="L211" s="2101"/>
      <c r="M211" s="1981" t="s">
        <v>498</v>
      </c>
      <c r="N211" s="1981"/>
      <c r="O211" s="1981" t="s">
        <v>549</v>
      </c>
      <c r="P211" s="1981"/>
      <c r="Q211" s="2001" t="s">
        <v>550</v>
      </c>
      <c r="R211" s="2027"/>
      <c r="S211" s="2154" t="s">
        <v>551</v>
      </c>
      <c r="T211" s="2155"/>
      <c r="V211" s="1978" t="s">
        <v>69</v>
      </c>
      <c r="W211" s="1978"/>
      <c r="X211" s="1979" t="s">
        <v>502</v>
      </c>
      <c r="Y211" s="1979"/>
      <c r="Z211" s="1980" t="s">
        <v>587</v>
      </c>
      <c r="AA211" s="1980"/>
      <c r="AB211" s="1980"/>
      <c r="AC211" s="1980"/>
      <c r="AD211" s="1980"/>
      <c r="AF211" s="1981" t="s">
        <v>577</v>
      </c>
      <c r="AG211" s="1981"/>
      <c r="AH211" s="1981"/>
      <c r="AI211" s="1981"/>
      <c r="AJ211" s="1981"/>
      <c r="AK211" s="1982" t="s">
        <v>505</v>
      </c>
      <c r="AL211" s="1982"/>
      <c r="AM211" s="1982"/>
      <c r="AN211" s="1982"/>
      <c r="AO211" s="1982"/>
      <c r="AP211" s="1982"/>
    </row>
    <row r="212" spans="11:81">
      <c r="K212" s="2102" t="s">
        <v>511</v>
      </c>
      <c r="L212" s="2103"/>
      <c r="M212" s="964" t="s">
        <v>289</v>
      </c>
      <c r="N212" s="964" t="s">
        <v>513</v>
      </c>
      <c r="O212" s="490" t="s">
        <v>552</v>
      </c>
      <c r="P212" s="962" t="s">
        <v>578</v>
      </c>
      <c r="Q212" s="964" t="s">
        <v>553</v>
      </c>
      <c r="R212" s="964" t="s">
        <v>552</v>
      </c>
      <c r="S212" s="2135" t="s">
        <v>518</v>
      </c>
      <c r="T212" s="2109"/>
      <c r="V212" s="466" t="s">
        <v>519</v>
      </c>
      <c r="W212" s="466" t="s">
        <v>520</v>
      </c>
      <c r="X212" s="489" t="s">
        <v>513</v>
      </c>
      <c r="Y212" s="489" t="s">
        <v>289</v>
      </c>
      <c r="Z212" s="965" t="s">
        <v>521</v>
      </c>
      <c r="AA212" s="965" t="s">
        <v>522</v>
      </c>
      <c r="AB212" s="965" t="s">
        <v>289</v>
      </c>
      <c r="AC212" s="1976" t="s">
        <v>523</v>
      </c>
      <c r="AD212" s="1976"/>
      <c r="AF212" s="961" t="s">
        <v>521</v>
      </c>
      <c r="AG212" s="961" t="s">
        <v>522</v>
      </c>
      <c r="AH212" s="961" t="s">
        <v>289</v>
      </c>
      <c r="AI212" s="1976" t="s">
        <v>524</v>
      </c>
      <c r="AJ212" s="1976"/>
      <c r="AK212" s="472" t="s">
        <v>521</v>
      </c>
      <c r="AL212" s="472" t="s">
        <v>525</v>
      </c>
      <c r="AM212" s="472" t="s">
        <v>522</v>
      </c>
      <c r="AN212" s="472" t="s">
        <v>289</v>
      </c>
      <c r="AO212" s="1976" t="s">
        <v>526</v>
      </c>
      <c r="AP212" s="1976"/>
    </row>
    <row r="213" spans="11:81" ht="13.8" thickBot="1">
      <c r="K213" s="2110" t="s">
        <v>579</v>
      </c>
      <c r="L213" s="2132"/>
      <c r="M213" s="464" t="s">
        <v>555</v>
      </c>
      <c r="N213" s="464" t="s">
        <v>556</v>
      </c>
      <c r="O213" s="492" t="s">
        <v>557</v>
      </c>
      <c r="P213" s="464" t="s">
        <v>558</v>
      </c>
      <c r="Q213" s="464" t="s">
        <v>559</v>
      </c>
      <c r="R213" s="493" t="s">
        <v>560</v>
      </c>
      <c r="S213" s="471" t="s">
        <v>529</v>
      </c>
      <c r="T213" s="961" t="s">
        <v>530</v>
      </c>
      <c r="V213" s="466" t="s">
        <v>13</v>
      </c>
      <c r="W213" s="466" t="s">
        <v>13</v>
      </c>
      <c r="X213" s="489" t="s">
        <v>13</v>
      </c>
      <c r="Y213" s="489" t="s">
        <v>13</v>
      </c>
      <c r="Z213" s="965" t="s">
        <v>531</v>
      </c>
      <c r="AA213" s="965" t="s">
        <v>532</v>
      </c>
      <c r="AB213" s="965" t="s">
        <v>13</v>
      </c>
      <c r="AC213" s="965" t="s">
        <v>533</v>
      </c>
      <c r="AD213" s="963" t="s">
        <v>534</v>
      </c>
      <c r="AF213" s="961" t="s">
        <v>535</v>
      </c>
      <c r="AG213" s="961" t="s">
        <v>532</v>
      </c>
      <c r="AH213" s="961" t="s">
        <v>13</v>
      </c>
      <c r="AI213" s="489" t="s">
        <v>533</v>
      </c>
      <c r="AJ213" s="963" t="s">
        <v>534</v>
      </c>
      <c r="AK213" s="472" t="s">
        <v>535</v>
      </c>
      <c r="AL213" s="472" t="s">
        <v>13</v>
      </c>
      <c r="AM213" s="472" t="s">
        <v>532</v>
      </c>
      <c r="AN213" s="472" t="s">
        <v>13</v>
      </c>
      <c r="AO213" s="472" t="s">
        <v>533</v>
      </c>
      <c r="AP213" s="963" t="s">
        <v>534</v>
      </c>
    </row>
    <row r="214" spans="11:81" ht="15.6" thickBot="1">
      <c r="K214" s="2124" t="s">
        <v>588</v>
      </c>
      <c r="L214" s="2125"/>
      <c r="M214" s="473">
        <v>18</v>
      </c>
      <c r="N214" s="494">
        <v>5</v>
      </c>
      <c r="O214" s="473">
        <v>11</v>
      </c>
      <c r="P214" s="473">
        <v>18</v>
      </c>
      <c r="Q214" s="473">
        <v>8</v>
      </c>
      <c r="R214" s="495">
        <v>5</v>
      </c>
      <c r="S214" s="474">
        <f>AD214+AJ214+AP214</f>
        <v>0.2173751083651338</v>
      </c>
      <c r="T214" s="419">
        <f>S214/W214</f>
        <v>1.20763949091741E-2</v>
      </c>
      <c r="V214" s="475">
        <f>N214</f>
        <v>5</v>
      </c>
      <c r="W214" s="476">
        <f>M214</f>
        <v>18</v>
      </c>
      <c r="X214" s="477">
        <f>V214-1</f>
        <v>4</v>
      </c>
      <c r="Y214" s="477">
        <f>W214-1</f>
        <v>17</v>
      </c>
      <c r="Z214" s="478">
        <f>P214</f>
        <v>18</v>
      </c>
      <c r="AA214" s="479">
        <f>(PI()*O214/8*O214/8)/(4*144)</f>
        <v>1.0311759740786809E-2</v>
      </c>
      <c r="AB214" s="480">
        <f>Y214</f>
        <v>17</v>
      </c>
      <c r="AC214" s="479">
        <f>Z214*AA214*AB214</f>
        <v>3.1553984806807636</v>
      </c>
      <c r="AD214" s="481">
        <f>AC214/27</f>
        <v>0.11686661039558384</v>
      </c>
      <c r="AF214" s="482">
        <f>7+ROUNDUP((Y214-2)/(Q214/12),0)</f>
        <v>30</v>
      </c>
      <c r="AG214" s="483">
        <f>(PI()*R214/8*R214/8)/(4*144)</f>
        <v>2.1305288720633907E-3</v>
      </c>
      <c r="AH214" s="484">
        <f>PI()*X214+26/12</f>
        <v>14.733037281025839</v>
      </c>
      <c r="AI214" s="485">
        <f>AF214*AG214*AH214</f>
        <v>0.94167483901235582</v>
      </c>
      <c r="AJ214" s="481">
        <f>AI214/27</f>
        <v>3.487684588934651E-2</v>
      </c>
      <c r="AK214" s="486">
        <f>IF(V214&lt;4,4,ROUNDUP(V214,0))</f>
        <v>5</v>
      </c>
      <c r="AL214" s="487">
        <f>1.9/12</f>
        <v>0.15833333333333333</v>
      </c>
      <c r="AM214" s="487">
        <f>PI()*AL214*AL214/4</f>
        <v>1.968949562406103E-2</v>
      </c>
      <c r="AN214" s="487">
        <f>W214</f>
        <v>18</v>
      </c>
      <c r="AO214" s="488">
        <f>AK214*AM214*AN214</f>
        <v>1.7720546061654927</v>
      </c>
      <c r="AP214" s="481">
        <f>AO214/27</f>
        <v>6.563165208020344E-2</v>
      </c>
    </row>
    <row r="215" spans="11:81" ht="12.75" customHeight="1"/>
    <row r="216" spans="11:81" ht="12.75" customHeight="1">
      <c r="Q216" s="1065" t="s">
        <v>69</v>
      </c>
      <c r="R216" s="1981" t="s">
        <v>539</v>
      </c>
      <c r="S216" s="1981"/>
      <c r="T216" s="1981"/>
    </row>
    <row r="217" spans="11:81" ht="13.5" customHeight="1">
      <c r="Q217" s="427" t="s">
        <v>540</v>
      </c>
      <c r="R217" s="2109" t="s">
        <v>541</v>
      </c>
      <c r="S217" s="2109"/>
      <c r="T217" s="2109"/>
    </row>
    <row r="218" spans="11:81" ht="15.75" customHeight="1">
      <c r="Q218" s="966">
        <f>PI()*N214*N214*M214/108</f>
        <v>13.089969389957471</v>
      </c>
      <c r="R218" s="2126">
        <f>S214/Q218</f>
        <v>1.6606235040694778E-2</v>
      </c>
      <c r="S218" s="2126"/>
      <c r="T218" s="2126"/>
    </row>
    <row r="228" spans="11:53">
      <c r="K228" s="2112" t="s">
        <v>467</v>
      </c>
      <c r="L228" s="2113"/>
      <c r="M228" s="2114"/>
    </row>
    <row r="229" spans="11:53">
      <c r="K229" s="2115"/>
      <c r="L229" s="2116"/>
      <c r="M229" s="2117"/>
    </row>
    <row r="231" spans="11:53">
      <c r="K231" s="2100" t="s">
        <v>470</v>
      </c>
      <c r="L231" s="2101"/>
      <c r="M231" s="1981" t="s">
        <v>498</v>
      </c>
      <c r="N231" s="1981"/>
      <c r="O231" s="1981" t="s">
        <v>549</v>
      </c>
      <c r="P231" s="1981"/>
      <c r="Q231" s="2030" t="s">
        <v>589</v>
      </c>
      <c r="R231" s="2165"/>
      <c r="S231" s="2111" t="s">
        <v>551</v>
      </c>
      <c r="T231" s="1977"/>
      <c r="V231" s="1978" t="s">
        <v>69</v>
      </c>
      <c r="W231" s="1978"/>
      <c r="X231" s="1979" t="s">
        <v>502</v>
      </c>
      <c r="Y231" s="1979"/>
      <c r="Z231" s="1980" t="s">
        <v>590</v>
      </c>
      <c r="AA231" s="1980"/>
      <c r="AB231" s="1980"/>
      <c r="AC231" s="1980"/>
      <c r="AD231" s="1980"/>
      <c r="AF231" s="1981" t="s">
        <v>577</v>
      </c>
      <c r="AG231" s="1981"/>
      <c r="AH231" s="1981"/>
      <c r="AI231" s="1981"/>
      <c r="AJ231" s="1981"/>
      <c r="AK231" s="1982" t="s">
        <v>505</v>
      </c>
      <c r="AL231" s="1982"/>
      <c r="AM231" s="1982"/>
      <c r="AN231" s="1982"/>
      <c r="AO231" s="1982"/>
      <c r="AP231" s="1982"/>
    </row>
    <row r="232" spans="11:53" ht="12.75" customHeight="1">
      <c r="K232" s="2102" t="s">
        <v>511</v>
      </c>
      <c r="L232" s="2103"/>
      <c r="M232" s="962" t="s">
        <v>512</v>
      </c>
      <c r="N232" s="962" t="s">
        <v>513</v>
      </c>
      <c r="O232" s="2159" t="s">
        <v>515</v>
      </c>
      <c r="P232" s="2161" t="s">
        <v>514</v>
      </c>
      <c r="Q232" s="2163" t="s">
        <v>560</v>
      </c>
      <c r="R232" s="960" t="s">
        <v>591</v>
      </c>
      <c r="S232" s="2106" t="s">
        <v>518</v>
      </c>
      <c r="T232" s="1975"/>
      <c r="V232" s="466" t="s">
        <v>519</v>
      </c>
      <c r="W232" s="466" t="s">
        <v>520</v>
      </c>
      <c r="X232" s="489" t="s">
        <v>513</v>
      </c>
      <c r="Y232" s="489" t="s">
        <v>592</v>
      </c>
      <c r="Z232" s="965" t="s">
        <v>521</v>
      </c>
      <c r="AA232" s="965" t="s">
        <v>522</v>
      </c>
      <c r="AB232" s="965" t="s">
        <v>289</v>
      </c>
      <c r="AC232" s="1976" t="s">
        <v>523</v>
      </c>
      <c r="AD232" s="1976"/>
      <c r="AF232" s="961" t="s">
        <v>521</v>
      </c>
      <c r="AG232" s="961" t="s">
        <v>522</v>
      </c>
      <c r="AH232" s="961" t="s">
        <v>289</v>
      </c>
      <c r="AI232" s="1976" t="s">
        <v>524</v>
      </c>
      <c r="AJ232" s="1976"/>
      <c r="AK232" s="472" t="s">
        <v>521</v>
      </c>
      <c r="AL232" s="472" t="s">
        <v>525</v>
      </c>
      <c r="AM232" s="472" t="s">
        <v>522</v>
      </c>
      <c r="AN232" s="472" t="s">
        <v>289</v>
      </c>
      <c r="AO232" s="1976" t="s">
        <v>526</v>
      </c>
      <c r="AP232" s="1976"/>
      <c r="AR232" s="452"/>
      <c r="AS232" s="2156" t="s">
        <v>593</v>
      </c>
      <c r="AT232" s="2157"/>
      <c r="AU232" s="2158"/>
      <c r="AX232" s="452"/>
      <c r="AY232" s="2156" t="s">
        <v>486</v>
      </c>
      <c r="AZ232" s="2157"/>
      <c r="BA232" s="2158"/>
    </row>
    <row r="233" spans="11:53" ht="13.8" thickBot="1">
      <c r="K233" s="2036" t="s">
        <v>594</v>
      </c>
      <c r="L233" s="2027"/>
      <c r="M233" s="412" t="s">
        <v>377</v>
      </c>
      <c r="N233" s="412" t="s">
        <v>506</v>
      </c>
      <c r="O233" s="2160"/>
      <c r="P233" s="2162"/>
      <c r="Q233" s="2164"/>
      <c r="R233" s="960" t="s">
        <v>553</v>
      </c>
      <c r="S233" s="471" t="s">
        <v>529</v>
      </c>
      <c r="T233" s="961" t="s">
        <v>530</v>
      </c>
      <c r="V233" s="466" t="s">
        <v>13</v>
      </c>
      <c r="W233" s="466" t="s">
        <v>13</v>
      </c>
      <c r="X233" s="489" t="s">
        <v>13</v>
      </c>
      <c r="Y233" s="489" t="s">
        <v>13</v>
      </c>
      <c r="Z233" s="512" t="s">
        <v>595</v>
      </c>
      <c r="AA233" s="965" t="s">
        <v>532</v>
      </c>
      <c r="AB233" s="965" t="s">
        <v>13</v>
      </c>
      <c r="AC233" s="965" t="s">
        <v>533</v>
      </c>
      <c r="AD233" s="963" t="s">
        <v>534</v>
      </c>
      <c r="AF233" s="961" t="s">
        <v>535</v>
      </c>
      <c r="AG233" s="961" t="s">
        <v>532</v>
      </c>
      <c r="AH233" s="961" t="s">
        <v>13</v>
      </c>
      <c r="AI233" s="489" t="s">
        <v>533</v>
      </c>
      <c r="AJ233" s="963" t="s">
        <v>534</v>
      </c>
      <c r="AK233" s="472" t="s">
        <v>535</v>
      </c>
      <c r="AL233" s="472" t="s">
        <v>13</v>
      </c>
      <c r="AM233" s="472" t="s">
        <v>532</v>
      </c>
      <c r="AN233" s="472" t="s">
        <v>13</v>
      </c>
      <c r="AO233" s="472" t="s">
        <v>533</v>
      </c>
      <c r="AP233" s="963" t="s">
        <v>534</v>
      </c>
      <c r="AR233" s="452"/>
      <c r="AS233" s="2156" t="s">
        <v>467</v>
      </c>
      <c r="AT233" s="2157"/>
      <c r="AU233" s="2158"/>
      <c r="AX233" s="452"/>
      <c r="AY233" s="2156" t="s">
        <v>467</v>
      </c>
      <c r="AZ233" s="2157"/>
      <c r="BA233" s="2158"/>
    </row>
    <row r="234" spans="11:53" ht="15.6" thickBot="1">
      <c r="K234" s="2124" t="s">
        <v>596</v>
      </c>
      <c r="L234" s="2125"/>
      <c r="M234" s="473">
        <v>18</v>
      </c>
      <c r="N234" s="494">
        <v>5</v>
      </c>
      <c r="O234" s="473">
        <v>18</v>
      </c>
      <c r="P234" s="513">
        <v>11</v>
      </c>
      <c r="Q234" s="514">
        <v>5</v>
      </c>
      <c r="R234" s="515">
        <v>12</v>
      </c>
      <c r="S234" s="474">
        <f>AD234+AJ234+AP234</f>
        <v>0.20807461612797473</v>
      </c>
      <c r="T234" s="419">
        <f>S234/W234</f>
        <v>1.1559700895998596E-2</v>
      </c>
      <c r="V234" s="475">
        <f>N234</f>
        <v>5</v>
      </c>
      <c r="W234" s="476">
        <f>M234</f>
        <v>18</v>
      </c>
      <c r="X234" s="477">
        <f>V234-1</f>
        <v>4</v>
      </c>
      <c r="Y234" s="477">
        <f>W234-1</f>
        <v>17</v>
      </c>
      <c r="Z234" s="478">
        <f>O234</f>
        <v>18</v>
      </c>
      <c r="AA234" s="479">
        <f>(PI()*P234/8*P234/8)/(4*144)</f>
        <v>1.0311759740786809E-2</v>
      </c>
      <c r="AB234" s="480">
        <f>Y234</f>
        <v>17</v>
      </c>
      <c r="AC234" s="479">
        <f>Z234*AA234*AB234</f>
        <v>3.1553984806807636</v>
      </c>
      <c r="AD234" s="481">
        <f>AC234/27</f>
        <v>0.11686661039558384</v>
      </c>
      <c r="AF234" s="482">
        <f>7+ROUNDUP((Y234-2)/(R234/12),0)</f>
        <v>22</v>
      </c>
      <c r="AG234" s="483">
        <f>(PI()*Q234/8*Q234/8)/(4*144)</f>
        <v>2.1305288720633907E-3</v>
      </c>
      <c r="AH234" s="484">
        <f>PI()*X234+26/12</f>
        <v>14.733037281025839</v>
      </c>
      <c r="AI234" s="485">
        <f>AF234*AG234*AH234</f>
        <v>0.69056154860906105</v>
      </c>
      <c r="AJ234" s="481">
        <f>AI234/27</f>
        <v>2.5576353652187446E-2</v>
      </c>
      <c r="AK234" s="486">
        <f>IF(V234&lt;4,4,ROUNDUP(V234,0))</f>
        <v>5</v>
      </c>
      <c r="AL234" s="487">
        <f>1.9/12</f>
        <v>0.15833333333333333</v>
      </c>
      <c r="AM234" s="487">
        <f>PI()*AL234*AL234/4</f>
        <v>1.968949562406103E-2</v>
      </c>
      <c r="AN234" s="487">
        <f>W234</f>
        <v>18</v>
      </c>
      <c r="AO234" s="488">
        <f>AK234*AM234*AN234</f>
        <v>1.7720546061654927</v>
      </c>
      <c r="AP234" s="481">
        <f>AO234/27</f>
        <v>6.563165208020344E-2</v>
      </c>
      <c r="AR234" s="452"/>
      <c r="AS234" s="516">
        <v>4</v>
      </c>
      <c r="AT234" s="516">
        <v>4.5</v>
      </c>
      <c r="AU234" s="516">
        <v>5</v>
      </c>
      <c r="AX234" s="452"/>
      <c r="AY234" s="516">
        <v>3.5</v>
      </c>
      <c r="AZ234" s="516">
        <v>4</v>
      </c>
      <c r="BA234" s="516">
        <v>4.5</v>
      </c>
    </row>
    <row r="235" spans="11:53" ht="15.9" customHeight="1">
      <c r="AR235" s="452">
        <v>4</v>
      </c>
      <c r="AS235" s="958">
        <v>1.9461684493944063E-2</v>
      </c>
      <c r="AT235" s="958"/>
      <c r="AU235" s="958"/>
      <c r="AX235" s="452">
        <v>3.5</v>
      </c>
      <c r="AY235" s="958">
        <v>2.0408247775380545E-2</v>
      </c>
      <c r="AZ235" s="958"/>
      <c r="BA235" s="958"/>
    </row>
    <row r="236" spans="11:53">
      <c r="Q236" s="1065" t="s">
        <v>69</v>
      </c>
      <c r="R236" s="1981" t="s">
        <v>539</v>
      </c>
      <c r="S236" s="1981"/>
      <c r="T236" s="1981"/>
      <c r="AR236" s="452">
        <v>4</v>
      </c>
      <c r="AS236" s="958">
        <v>1.9478956976106829E-2</v>
      </c>
      <c r="AT236" s="958"/>
      <c r="AU236" s="958"/>
      <c r="AX236" s="452">
        <v>3.5</v>
      </c>
      <c r="AY236" s="958">
        <v>2.0405961893733497E-2</v>
      </c>
      <c r="AZ236" s="958"/>
      <c r="BA236" s="958"/>
    </row>
    <row r="237" spans="11:53">
      <c r="Q237" s="427" t="s">
        <v>540</v>
      </c>
      <c r="R237" s="2109" t="s">
        <v>541</v>
      </c>
      <c r="S237" s="2109"/>
      <c r="T237" s="2109"/>
      <c r="AR237" s="452">
        <v>4</v>
      </c>
      <c r="AS237" s="958">
        <v>1.949407039799924E-2</v>
      </c>
      <c r="AT237" s="958"/>
      <c r="AU237" s="958"/>
      <c r="AX237" s="452">
        <v>3.5</v>
      </c>
      <c r="AY237" s="958">
        <v>2.049230917771926E-2</v>
      </c>
      <c r="AZ237" s="958"/>
      <c r="BA237" s="958"/>
    </row>
    <row r="238" spans="11:53">
      <c r="Q238" s="966">
        <f>PI()*N234*N234*M234/108</f>
        <v>13.089969389957471</v>
      </c>
      <c r="R238" s="2126">
        <f>S234/Q238</f>
        <v>1.5895729770583577E-2</v>
      </c>
      <c r="S238" s="2126"/>
      <c r="T238" s="2126"/>
      <c r="AR238" s="452">
        <v>4.5</v>
      </c>
      <c r="AS238" s="958"/>
      <c r="AT238" s="958">
        <v>1.8119427457453041E-2</v>
      </c>
      <c r="AU238" s="958"/>
      <c r="AX238" s="452">
        <v>4</v>
      </c>
      <c r="AY238" s="958"/>
      <c r="AZ238" s="958">
        <v>1.9044996859146943E-2</v>
      </c>
      <c r="BA238" s="958"/>
    </row>
    <row r="239" spans="11:53">
      <c r="W239" s="440"/>
      <c r="X239" s="517"/>
      <c r="AR239" s="452">
        <v>4.5</v>
      </c>
      <c r="AS239" s="958"/>
      <c r="AT239" s="958">
        <v>1.8131636969008224E-2</v>
      </c>
      <c r="AU239" s="958"/>
      <c r="AX239" s="452">
        <v>4</v>
      </c>
      <c r="AY239" s="958"/>
      <c r="AZ239" s="958">
        <v>1.8973360025536928E-2</v>
      </c>
      <c r="BA239" s="958"/>
    </row>
    <row r="240" spans="11:53">
      <c r="AR240" s="452">
        <v>5</v>
      </c>
      <c r="AS240" s="958"/>
      <c r="AT240" s="958"/>
      <c r="AU240" s="958">
        <v>1.5885734419050897E-2</v>
      </c>
      <c r="AX240" s="452">
        <v>4.5</v>
      </c>
      <c r="AY240" s="958"/>
      <c r="AZ240" s="958"/>
      <c r="BA240" s="958">
        <v>1.7683823365406422E-2</v>
      </c>
    </row>
    <row r="241" spans="11:53" ht="13.8" thickBot="1">
      <c r="K241" s="2100">
        <v>2010</v>
      </c>
      <c r="L241" s="2101"/>
      <c r="M241" s="1981" t="s">
        <v>498</v>
      </c>
      <c r="N241" s="1981"/>
      <c r="O241" s="1981" t="s">
        <v>549</v>
      </c>
      <c r="P241" s="1981"/>
      <c r="Q241" s="2030" t="s">
        <v>589</v>
      </c>
      <c r="R241" s="2165"/>
      <c r="S241" s="2111" t="s">
        <v>551</v>
      </c>
      <c r="T241" s="1977"/>
      <c r="V241" s="1978" t="s">
        <v>69</v>
      </c>
      <c r="W241" s="1978"/>
      <c r="X241" s="1979" t="s">
        <v>502</v>
      </c>
      <c r="Y241" s="1979"/>
      <c r="Z241" s="1980" t="s">
        <v>590</v>
      </c>
      <c r="AA241" s="1980"/>
      <c r="AB241" s="1980"/>
      <c r="AC241" s="1980"/>
      <c r="AD241" s="1980"/>
      <c r="AF241" s="1981" t="s">
        <v>577</v>
      </c>
      <c r="AG241" s="1981"/>
      <c r="AH241" s="1981"/>
      <c r="AI241" s="1981"/>
      <c r="AJ241" s="1981"/>
      <c r="AK241" s="1982" t="s">
        <v>505</v>
      </c>
      <c r="AL241" s="1982"/>
      <c r="AM241" s="1982"/>
      <c r="AN241" s="1982"/>
      <c r="AO241" s="1982"/>
      <c r="AP241" s="1982"/>
      <c r="AR241" s="452">
        <v>5</v>
      </c>
      <c r="AS241" s="518"/>
      <c r="AT241" s="518"/>
      <c r="AU241" s="518">
        <v>1.5895729770583577E-2</v>
      </c>
      <c r="AX241" s="452">
        <v>4.5</v>
      </c>
      <c r="AY241" s="518"/>
      <c r="AZ241" s="518"/>
      <c r="BA241" s="518">
        <v>1.7718589083702895E-2</v>
      </c>
    </row>
    <row r="242" spans="11:53" ht="16.2" thickTop="1">
      <c r="K242" s="2102" t="s">
        <v>511</v>
      </c>
      <c r="L242" s="2103"/>
      <c r="M242" s="962" t="s">
        <v>512</v>
      </c>
      <c r="N242" s="962" t="s">
        <v>513</v>
      </c>
      <c r="O242" s="2159" t="s">
        <v>515</v>
      </c>
      <c r="P242" s="2161" t="s">
        <v>514</v>
      </c>
      <c r="Q242" s="2163" t="s">
        <v>560</v>
      </c>
      <c r="R242" s="960" t="s">
        <v>591</v>
      </c>
      <c r="S242" s="2106" t="s">
        <v>518</v>
      </c>
      <c r="T242" s="1975"/>
      <c r="V242" s="466" t="s">
        <v>519</v>
      </c>
      <c r="W242" s="466" t="s">
        <v>520</v>
      </c>
      <c r="X242" s="489" t="s">
        <v>513</v>
      </c>
      <c r="Y242" s="489" t="s">
        <v>592</v>
      </c>
      <c r="Z242" s="965" t="s">
        <v>521</v>
      </c>
      <c r="AA242" s="965" t="s">
        <v>522</v>
      </c>
      <c r="AB242" s="965" t="s">
        <v>289</v>
      </c>
      <c r="AC242" s="1976" t="s">
        <v>523</v>
      </c>
      <c r="AD242" s="1976"/>
      <c r="AF242" s="961" t="s">
        <v>521</v>
      </c>
      <c r="AG242" s="961" t="s">
        <v>522</v>
      </c>
      <c r="AH242" s="961" t="s">
        <v>289</v>
      </c>
      <c r="AI242" s="1976" t="s">
        <v>524</v>
      </c>
      <c r="AJ242" s="1976"/>
      <c r="AK242" s="472" t="s">
        <v>521</v>
      </c>
      <c r="AL242" s="472" t="s">
        <v>525</v>
      </c>
      <c r="AM242" s="472" t="s">
        <v>522</v>
      </c>
      <c r="AN242" s="472" t="s">
        <v>289</v>
      </c>
      <c r="AO242" s="1976" t="s">
        <v>526</v>
      </c>
      <c r="AP242" s="1976"/>
      <c r="AR242" s="519" t="s">
        <v>597</v>
      </c>
      <c r="AS242" s="521">
        <f>SUM(AS235:AS237)/3</f>
        <v>1.9478237289350043E-2</v>
      </c>
      <c r="AT242" s="521">
        <f>SUM(AT238:AT239)/2</f>
        <v>1.8125532213230634E-2</v>
      </c>
      <c r="AU242" s="521">
        <f>SUM(AU240:AU241)/2</f>
        <v>1.5890732094817235E-2</v>
      </c>
      <c r="AX242" s="519" t="s">
        <v>597</v>
      </c>
      <c r="AY242" s="521">
        <f>SUM(AY235:AY237)/3</f>
        <v>2.0435506282277766E-2</v>
      </c>
      <c r="AZ242" s="521">
        <f>SUM(AZ238:AZ239)/2</f>
        <v>1.9009178442341935E-2</v>
      </c>
      <c r="BA242" s="521">
        <f>SUM(BA240:BA241)/2</f>
        <v>1.7701206224554657E-2</v>
      </c>
    </row>
    <row r="243" spans="11:53" ht="13.8" thickBot="1">
      <c r="K243" s="2036" t="s">
        <v>594</v>
      </c>
      <c r="L243" s="2027"/>
      <c r="M243" s="412" t="s">
        <v>377</v>
      </c>
      <c r="N243" s="412" t="s">
        <v>506</v>
      </c>
      <c r="O243" s="2160"/>
      <c r="P243" s="2162"/>
      <c r="Q243" s="2164"/>
      <c r="R243" s="960" t="s">
        <v>553</v>
      </c>
      <c r="S243" s="471" t="s">
        <v>529</v>
      </c>
      <c r="T243" s="961" t="s">
        <v>530</v>
      </c>
      <c r="V243" s="466" t="s">
        <v>13</v>
      </c>
      <c r="W243" s="466" t="s">
        <v>13</v>
      </c>
      <c r="X243" s="489" t="s">
        <v>13</v>
      </c>
      <c r="Y243" s="489" t="s">
        <v>13</v>
      </c>
      <c r="Z243" s="512" t="s">
        <v>595</v>
      </c>
      <c r="AA243" s="965" t="s">
        <v>532</v>
      </c>
      <c r="AB243" s="965" t="s">
        <v>13</v>
      </c>
      <c r="AC243" s="965" t="s">
        <v>533</v>
      </c>
      <c r="AD243" s="963" t="s">
        <v>534</v>
      </c>
      <c r="AF243" s="961" t="s">
        <v>535</v>
      </c>
      <c r="AG243" s="961" t="s">
        <v>532</v>
      </c>
      <c r="AH243" s="961" t="s">
        <v>13</v>
      </c>
      <c r="AI243" s="489" t="s">
        <v>533</v>
      </c>
      <c r="AJ243" s="963" t="s">
        <v>534</v>
      </c>
      <c r="AK243" s="472" t="s">
        <v>535</v>
      </c>
      <c r="AL243" s="472" t="s">
        <v>13</v>
      </c>
      <c r="AM243" s="472" t="s">
        <v>532</v>
      </c>
      <c r="AN243" s="472" t="s">
        <v>13</v>
      </c>
      <c r="AO243" s="472" t="s">
        <v>533</v>
      </c>
      <c r="AP243" s="963" t="s">
        <v>534</v>
      </c>
    </row>
    <row r="244" spans="11:53" ht="15.6" thickBot="1">
      <c r="K244" s="2124" t="s">
        <v>596</v>
      </c>
      <c r="L244" s="2125"/>
      <c r="M244" s="473">
        <v>18.5</v>
      </c>
      <c r="N244" s="494">
        <v>4.5</v>
      </c>
      <c r="O244" s="473">
        <v>16</v>
      </c>
      <c r="P244" s="513">
        <v>11</v>
      </c>
      <c r="Q244" s="514">
        <v>5</v>
      </c>
      <c r="R244" s="515">
        <v>18</v>
      </c>
      <c r="S244" s="474">
        <f>AD244+AJ244+AP244</f>
        <v>0.19308654412513879</v>
      </c>
      <c r="T244" s="419">
        <f>S244/W244</f>
        <v>1.0437110493250745E-2</v>
      </c>
      <c r="V244" s="475">
        <f>N244</f>
        <v>4.5</v>
      </c>
      <c r="W244" s="476">
        <f>M244</f>
        <v>18.5</v>
      </c>
      <c r="X244" s="477">
        <f>V244-1</f>
        <v>3.5</v>
      </c>
      <c r="Y244" s="477">
        <f>W244-1</f>
        <v>17.5</v>
      </c>
      <c r="Z244" s="478">
        <f>O244</f>
        <v>16</v>
      </c>
      <c r="AA244" s="479">
        <f>(PI()*P244/8*P244/8)/(4*144)</f>
        <v>1.0311759740786809E-2</v>
      </c>
      <c r="AB244" s="480">
        <f>Y244</f>
        <v>17.5</v>
      </c>
      <c r="AC244" s="479">
        <f>Z244*AA244*AB244</f>
        <v>2.8872927274203066</v>
      </c>
      <c r="AD244" s="481">
        <f>AC244/27</f>
        <v>0.10693676768223358</v>
      </c>
      <c r="AF244" s="482">
        <f>7+ROUNDUP((Y244-2)/(R244/12),0)</f>
        <v>18</v>
      </c>
      <c r="AG244" s="483">
        <f>(PI()*Q244/8*Q244/8)/(4*144)</f>
        <v>2.1305288720633907E-3</v>
      </c>
      <c r="AH244" s="484">
        <f>PI()*X244+26/12</f>
        <v>13.162240954230942</v>
      </c>
      <c r="AI244" s="485">
        <f>AF244*AG244*AH244</f>
        <v>0.50476561873279591</v>
      </c>
      <c r="AJ244" s="481">
        <f>AI244/27</f>
        <v>1.8695022916029477E-2</v>
      </c>
      <c r="AK244" s="486">
        <f>IF(V244&lt;4,4,ROUNDUP(V244,0))</f>
        <v>5</v>
      </c>
      <c r="AL244" s="487">
        <f>1.9/12</f>
        <v>0.15833333333333333</v>
      </c>
      <c r="AM244" s="487">
        <f>PI()*AL244*AL244/4</f>
        <v>1.968949562406103E-2</v>
      </c>
      <c r="AN244" s="487">
        <f>W244</f>
        <v>18.5</v>
      </c>
      <c r="AO244" s="488">
        <f>AK244*AM244*AN244</f>
        <v>1.8212783452256451</v>
      </c>
      <c r="AP244" s="481">
        <f>AO244/27</f>
        <v>6.7454753526875744E-2</v>
      </c>
    </row>
    <row r="246" spans="11:53">
      <c r="Q246" s="1065" t="s">
        <v>69</v>
      </c>
      <c r="R246" s="1981" t="s">
        <v>539</v>
      </c>
      <c r="S246" s="1981"/>
      <c r="T246" s="1981"/>
    </row>
    <row r="247" spans="11:53">
      <c r="Q247" s="427" t="s">
        <v>540</v>
      </c>
      <c r="R247" s="2109" t="s">
        <v>541</v>
      </c>
      <c r="S247" s="2109"/>
      <c r="T247" s="2109"/>
    </row>
    <row r="248" spans="11:53">
      <c r="Q248" s="966">
        <f>PI()*N244*N244*M244/108</f>
        <v>10.897399517139593</v>
      </c>
      <c r="R248" s="2126">
        <f>S244/Q248</f>
        <v>1.7718589083702895E-2</v>
      </c>
      <c r="S248" s="2126"/>
      <c r="T248" s="2126"/>
    </row>
    <row r="258" spans="11:52">
      <c r="K258" s="2112" t="s">
        <v>468</v>
      </c>
      <c r="L258" s="2113"/>
      <c r="M258" s="2114"/>
    </row>
    <row r="259" spans="11:52">
      <c r="K259" s="2115"/>
      <c r="L259" s="2116"/>
      <c r="M259" s="2117"/>
    </row>
    <row r="261" spans="11:52">
      <c r="K261" s="2100" t="s">
        <v>598</v>
      </c>
      <c r="L261" s="2101"/>
      <c r="M261" s="1981" t="s">
        <v>498</v>
      </c>
      <c r="N261" s="1981"/>
      <c r="O261" s="1981" t="s">
        <v>549</v>
      </c>
      <c r="P261" s="1981"/>
      <c r="Q261" s="2030" t="s">
        <v>589</v>
      </c>
      <c r="R261" s="2165"/>
      <c r="S261" s="2111" t="s">
        <v>551</v>
      </c>
      <c r="T261" s="1977"/>
      <c r="V261" s="1978" t="s">
        <v>69</v>
      </c>
      <c r="W261" s="1978"/>
      <c r="X261" s="1979" t="s">
        <v>502</v>
      </c>
      <c r="Y261" s="1979"/>
      <c r="Z261" s="1980" t="s">
        <v>590</v>
      </c>
      <c r="AA261" s="1980"/>
      <c r="AB261" s="1980"/>
      <c r="AC261" s="1980"/>
      <c r="AD261" s="1980"/>
      <c r="AF261" s="1981" t="s">
        <v>577</v>
      </c>
      <c r="AG261" s="1981"/>
      <c r="AH261" s="1981"/>
      <c r="AI261" s="1981"/>
      <c r="AJ261" s="1981"/>
      <c r="AK261" s="1982" t="s">
        <v>505</v>
      </c>
      <c r="AL261" s="1982"/>
      <c r="AM261" s="1982"/>
      <c r="AN261" s="1982"/>
      <c r="AO261" s="1982"/>
      <c r="AP261" s="1982"/>
    </row>
    <row r="262" spans="11:52" ht="15.6">
      <c r="K262" s="2102"/>
      <c r="L262" s="2103"/>
      <c r="M262" s="962" t="s">
        <v>513</v>
      </c>
      <c r="N262" s="962" t="s">
        <v>289</v>
      </c>
      <c r="O262" s="2159" t="s">
        <v>515</v>
      </c>
      <c r="P262" s="2161" t="s">
        <v>514</v>
      </c>
      <c r="Q262" s="2163" t="s">
        <v>560</v>
      </c>
      <c r="R262" s="960" t="s">
        <v>591</v>
      </c>
      <c r="S262" s="2106" t="s">
        <v>518</v>
      </c>
      <c r="T262" s="1975"/>
      <c r="V262" s="466" t="s">
        <v>519</v>
      </c>
      <c r="W262" s="466" t="s">
        <v>520</v>
      </c>
      <c r="X262" s="489" t="s">
        <v>513</v>
      </c>
      <c r="Y262" s="489" t="s">
        <v>592</v>
      </c>
      <c r="Z262" s="965" t="s">
        <v>521</v>
      </c>
      <c r="AA262" s="965" t="s">
        <v>522</v>
      </c>
      <c r="AB262" s="965" t="s">
        <v>289</v>
      </c>
      <c r="AC262" s="1976" t="s">
        <v>523</v>
      </c>
      <c r="AD262" s="1976"/>
      <c r="AF262" s="961" t="s">
        <v>521</v>
      </c>
      <c r="AG262" s="961" t="s">
        <v>522</v>
      </c>
      <c r="AH262" s="961" t="s">
        <v>289</v>
      </c>
      <c r="AI262" s="1976" t="s">
        <v>524</v>
      </c>
      <c r="AJ262" s="1976"/>
      <c r="AK262" s="472" t="s">
        <v>521</v>
      </c>
      <c r="AL262" s="472" t="s">
        <v>525</v>
      </c>
      <c r="AM262" s="472" t="s">
        <v>522</v>
      </c>
      <c r="AN262" s="472" t="s">
        <v>289</v>
      </c>
      <c r="AO262" s="1976" t="s">
        <v>526</v>
      </c>
      <c r="AP262" s="1976"/>
      <c r="AS262" s="2156" t="s">
        <v>598</v>
      </c>
      <c r="AT262" s="2157"/>
      <c r="AU262" s="2158"/>
      <c r="AV262" s="452"/>
      <c r="AW262" s="452"/>
      <c r="AX262" s="2156" t="s">
        <v>599</v>
      </c>
      <c r="AY262" s="2157"/>
      <c r="AZ262" s="2158"/>
    </row>
    <row r="263" spans="11:52" ht="13.8" thickBot="1">
      <c r="K263" s="2036" t="s">
        <v>600</v>
      </c>
      <c r="L263" s="2027"/>
      <c r="M263" s="412" t="s">
        <v>174</v>
      </c>
      <c r="N263" s="412" t="s">
        <v>601</v>
      </c>
      <c r="O263" s="2160"/>
      <c r="P263" s="2162"/>
      <c r="Q263" s="2164"/>
      <c r="R263" s="446" t="s">
        <v>553</v>
      </c>
      <c r="S263" s="471" t="s">
        <v>529</v>
      </c>
      <c r="T263" s="961" t="s">
        <v>530</v>
      </c>
      <c r="V263" s="466" t="s">
        <v>13</v>
      </c>
      <c r="W263" s="466" t="s">
        <v>13</v>
      </c>
      <c r="X263" s="489" t="s">
        <v>13</v>
      </c>
      <c r="Y263" s="489" t="s">
        <v>13</v>
      </c>
      <c r="Z263" s="512" t="s">
        <v>602</v>
      </c>
      <c r="AA263" s="965" t="s">
        <v>532</v>
      </c>
      <c r="AB263" s="965" t="s">
        <v>13</v>
      </c>
      <c r="AC263" s="965" t="s">
        <v>533</v>
      </c>
      <c r="AD263" s="963" t="s">
        <v>534</v>
      </c>
      <c r="AF263" s="961" t="s">
        <v>535</v>
      </c>
      <c r="AG263" s="961" t="s">
        <v>532</v>
      </c>
      <c r="AH263" s="961" t="s">
        <v>13</v>
      </c>
      <c r="AI263" s="489" t="s">
        <v>533</v>
      </c>
      <c r="AJ263" s="963" t="s">
        <v>534</v>
      </c>
      <c r="AK263" s="472" t="s">
        <v>535</v>
      </c>
      <c r="AL263" s="472" t="s">
        <v>13</v>
      </c>
      <c r="AM263" s="472" t="s">
        <v>532</v>
      </c>
      <c r="AN263" s="472" t="s">
        <v>13</v>
      </c>
      <c r="AO263" s="472" t="s">
        <v>533</v>
      </c>
      <c r="AP263" s="963" t="s">
        <v>534</v>
      </c>
      <c r="AS263" s="2156" t="s">
        <v>603</v>
      </c>
      <c r="AT263" s="2157"/>
      <c r="AU263" s="2158"/>
      <c r="AV263" s="452"/>
      <c r="AW263" s="452"/>
      <c r="AX263" s="2156" t="s">
        <v>603</v>
      </c>
      <c r="AY263" s="2157"/>
      <c r="AZ263" s="2158"/>
    </row>
    <row r="264" spans="11:52" ht="15.6" thickBot="1">
      <c r="K264" s="2133" t="s">
        <v>604</v>
      </c>
      <c r="L264" s="2134"/>
      <c r="M264" s="494">
        <v>4</v>
      </c>
      <c r="N264" s="473">
        <v>13</v>
      </c>
      <c r="O264" s="473">
        <v>14</v>
      </c>
      <c r="P264" s="513">
        <v>11</v>
      </c>
      <c r="Q264" s="514">
        <v>5</v>
      </c>
      <c r="R264" s="515">
        <v>18</v>
      </c>
      <c r="S264" s="474">
        <f>AD264+AJ264+AP264</f>
        <v>0.11488785604336405</v>
      </c>
      <c r="T264" s="520">
        <f>S264/W264</f>
        <v>8.8375273879510805E-3</v>
      </c>
      <c r="V264" s="475">
        <f>M264</f>
        <v>4</v>
      </c>
      <c r="W264" s="476">
        <f>N264</f>
        <v>13</v>
      </c>
      <c r="X264" s="477">
        <f>V264-1</f>
        <v>3</v>
      </c>
      <c r="Y264" s="477">
        <f>W264-1</f>
        <v>12</v>
      </c>
      <c r="Z264" s="478">
        <f>O264</f>
        <v>14</v>
      </c>
      <c r="AA264" s="479">
        <f>(PI()*P264/8*P264/8)/(4*144)</f>
        <v>1.0311759740786809E-2</v>
      </c>
      <c r="AB264" s="480">
        <f>Y264</f>
        <v>12</v>
      </c>
      <c r="AC264" s="479">
        <f>Z264*AA264*AB264</f>
        <v>1.7323756364521838</v>
      </c>
      <c r="AD264" s="481">
        <f>AC264/27</f>
        <v>6.4162060609340141E-2</v>
      </c>
      <c r="AF264" s="482">
        <f>7+ROUNDUP((Y264-2)/(R264/12),0)</f>
        <v>14</v>
      </c>
      <c r="AG264" s="483">
        <f>(PI()*Q264/8*Q264/8)/(4*144)</f>
        <v>2.1305288720633907E-3</v>
      </c>
      <c r="AH264" s="484">
        <f>PI()*X264+26/12</f>
        <v>11.591444627436045</v>
      </c>
      <c r="AI264" s="485">
        <f>AF264*AG264*AH264</f>
        <v>0.34574270426747195</v>
      </c>
      <c r="AJ264" s="481">
        <f>AI264/27</f>
        <v>1.2805285343239702E-2</v>
      </c>
      <c r="AK264" s="486">
        <f>IF(V264&lt;4,4,ROUNDUP(V264,0))</f>
        <v>4</v>
      </c>
      <c r="AL264" s="487">
        <f>1.9/12</f>
        <v>0.15833333333333333</v>
      </c>
      <c r="AM264" s="487">
        <f>PI()*AL264*AL264/4</f>
        <v>1.968949562406103E-2</v>
      </c>
      <c r="AN264" s="487">
        <f>W264</f>
        <v>13</v>
      </c>
      <c r="AO264" s="488">
        <f>AK264*AM264*AN264</f>
        <v>1.0238537724511736</v>
      </c>
      <c r="AP264" s="481">
        <f>AO264/27</f>
        <v>3.7920510090784204E-2</v>
      </c>
      <c r="AS264" s="516">
        <v>4</v>
      </c>
      <c r="AT264" s="516">
        <v>4.5</v>
      </c>
      <c r="AU264" s="516">
        <v>5</v>
      </c>
      <c r="AV264" s="452"/>
      <c r="AW264" s="452"/>
      <c r="AX264" s="452"/>
      <c r="AY264" s="452"/>
      <c r="AZ264" s="452"/>
    </row>
    <row r="265" spans="11:52">
      <c r="AR265" s="395">
        <v>4</v>
      </c>
      <c r="AS265" s="958">
        <v>1.8988238274782677E-2</v>
      </c>
      <c r="AT265" s="958"/>
      <c r="AU265" s="958"/>
      <c r="AV265" s="452"/>
      <c r="AW265" s="452"/>
      <c r="AX265" s="516">
        <v>4</v>
      </c>
      <c r="AY265" s="516">
        <v>4.5</v>
      </c>
      <c r="AZ265" s="516">
        <v>5</v>
      </c>
    </row>
    <row r="266" spans="11:52">
      <c r="Q266" s="1065" t="s">
        <v>69</v>
      </c>
      <c r="R266" s="1981" t="s">
        <v>539</v>
      </c>
      <c r="S266" s="1981"/>
      <c r="T266" s="1981"/>
      <c r="AR266" s="395">
        <v>4</v>
      </c>
      <c r="AS266" s="958">
        <v>1.8954893543515136E-2</v>
      </c>
      <c r="AT266" s="958"/>
      <c r="AU266" s="958"/>
      <c r="AV266" s="452"/>
      <c r="AW266" s="452">
        <v>4</v>
      </c>
      <c r="AX266" s="958">
        <v>1.9441754706833181E-2</v>
      </c>
      <c r="AY266" s="958"/>
      <c r="AZ266" s="958"/>
    </row>
    <row r="267" spans="11:52">
      <c r="Q267" s="427" t="s">
        <v>540</v>
      </c>
      <c r="R267" s="2109" t="s">
        <v>541</v>
      </c>
      <c r="S267" s="2109"/>
      <c r="T267" s="2109"/>
      <c r="AR267" s="395">
        <v>4.5</v>
      </c>
      <c r="AS267" s="958"/>
      <c r="AT267" s="958">
        <v>1.7678626671037881E-2</v>
      </c>
      <c r="AU267" s="958"/>
      <c r="AV267" s="452"/>
      <c r="AW267" s="452">
        <v>4</v>
      </c>
      <c r="AX267" s="958">
        <v>1.9461684493944063E-2</v>
      </c>
      <c r="AY267" s="958"/>
      <c r="AZ267" s="958"/>
    </row>
    <row r="268" spans="11:52">
      <c r="Q268" s="966">
        <f>PI()*M264*M264*N264/108</f>
        <v>6.0504747402470098</v>
      </c>
      <c r="R268" s="2126">
        <f>S264/Q268</f>
        <v>1.8988238274782677E-2</v>
      </c>
      <c r="S268" s="2126"/>
      <c r="T268" s="2126"/>
      <c r="AR268" s="395">
        <v>4</v>
      </c>
      <c r="AS268" s="958">
        <v>1.9040562092754312E-2</v>
      </c>
      <c r="AT268" s="958"/>
      <c r="AU268" s="958"/>
      <c r="AV268" s="452"/>
      <c r="AW268" s="452">
        <v>4.5</v>
      </c>
      <c r="AX268" s="958"/>
      <c r="AY268" s="958">
        <v>1.808977578653332E-2</v>
      </c>
      <c r="AZ268" s="958"/>
    </row>
    <row r="269" spans="11:52">
      <c r="AR269" s="395">
        <v>4</v>
      </c>
      <c r="AS269" s="958">
        <v>1.9002760929944532E-2</v>
      </c>
      <c r="AT269" s="958"/>
      <c r="AU269" s="958"/>
      <c r="AV269" s="452"/>
      <c r="AW269" s="452">
        <v>4.5</v>
      </c>
      <c r="AX269" s="958"/>
      <c r="AY269" s="958">
        <v>1.8119427457453041E-2</v>
      </c>
      <c r="AZ269" s="958"/>
    </row>
    <row r="270" spans="11:52" ht="15.9" customHeight="1">
      <c r="AR270" s="395">
        <v>4.5</v>
      </c>
      <c r="AS270" s="958"/>
      <c r="AT270" s="958">
        <v>1.7652711216595979E-2</v>
      </c>
      <c r="AU270" s="958"/>
      <c r="AV270" s="452"/>
      <c r="AW270" s="452">
        <v>4.5</v>
      </c>
      <c r="AX270" s="958"/>
      <c r="AY270" s="958">
        <v>1.8105590011023839E-2</v>
      </c>
      <c r="AZ270" s="958"/>
    </row>
    <row r="271" spans="11:52">
      <c r="K271" s="2100" t="s">
        <v>599</v>
      </c>
      <c r="L271" s="2101"/>
      <c r="M271" s="1981" t="s">
        <v>498</v>
      </c>
      <c r="N271" s="1981"/>
      <c r="O271" s="1981" t="s">
        <v>549</v>
      </c>
      <c r="P271" s="1981"/>
      <c r="Q271" s="2030" t="s">
        <v>589</v>
      </c>
      <c r="R271" s="2165"/>
      <c r="S271" s="2111" t="s">
        <v>551</v>
      </c>
      <c r="T271" s="1977"/>
      <c r="V271" s="1978" t="s">
        <v>69</v>
      </c>
      <c r="W271" s="1978"/>
      <c r="X271" s="1979" t="s">
        <v>502</v>
      </c>
      <c r="Y271" s="1979"/>
      <c r="Z271" s="1980" t="s">
        <v>590</v>
      </c>
      <c r="AA271" s="1980"/>
      <c r="AB271" s="1980"/>
      <c r="AC271" s="1980"/>
      <c r="AD271" s="1980"/>
      <c r="AF271" s="1981" t="s">
        <v>577</v>
      </c>
      <c r="AG271" s="1981"/>
      <c r="AH271" s="1981"/>
      <c r="AI271" s="1981"/>
      <c r="AJ271" s="1981"/>
      <c r="AK271" s="1982" t="s">
        <v>505</v>
      </c>
      <c r="AL271" s="1982"/>
      <c r="AM271" s="1982"/>
      <c r="AN271" s="1982"/>
      <c r="AO271" s="1982"/>
      <c r="AP271" s="1982"/>
      <c r="AR271" s="395">
        <v>4</v>
      </c>
      <c r="AS271" s="958">
        <v>1.9002760929944532E-2</v>
      </c>
      <c r="AT271" s="958"/>
      <c r="AU271" s="958"/>
      <c r="AV271" s="452"/>
      <c r="AW271" s="452">
        <v>4.5</v>
      </c>
      <c r="AX271" s="958"/>
      <c r="AY271" s="958">
        <v>1.8131636969008224E-2</v>
      </c>
      <c r="AZ271" s="958"/>
    </row>
    <row r="272" spans="11:52" ht="15.6">
      <c r="K272" s="2102"/>
      <c r="L272" s="2103"/>
      <c r="M272" s="962" t="s">
        <v>513</v>
      </c>
      <c r="N272" s="962" t="s">
        <v>289</v>
      </c>
      <c r="O272" s="2159" t="s">
        <v>515</v>
      </c>
      <c r="P272" s="2161" t="s">
        <v>514</v>
      </c>
      <c r="Q272" s="2163" t="s">
        <v>560</v>
      </c>
      <c r="R272" s="960" t="s">
        <v>591</v>
      </c>
      <c r="S272" s="2106" t="s">
        <v>518</v>
      </c>
      <c r="T272" s="1975"/>
      <c r="V272" s="466" t="s">
        <v>519</v>
      </c>
      <c r="W272" s="466" t="s">
        <v>520</v>
      </c>
      <c r="X272" s="489" t="s">
        <v>513</v>
      </c>
      <c r="Y272" s="489" t="s">
        <v>592</v>
      </c>
      <c r="Z272" s="965" t="s">
        <v>521</v>
      </c>
      <c r="AA272" s="965" t="s">
        <v>522</v>
      </c>
      <c r="AB272" s="965" t="s">
        <v>289</v>
      </c>
      <c r="AC272" s="1976" t="s">
        <v>523</v>
      </c>
      <c r="AD272" s="1976"/>
      <c r="AF272" s="961" t="s">
        <v>521</v>
      </c>
      <c r="AG272" s="961" t="s">
        <v>522</v>
      </c>
      <c r="AH272" s="961" t="s">
        <v>289</v>
      </c>
      <c r="AI272" s="1976" t="s">
        <v>524</v>
      </c>
      <c r="AJ272" s="1976"/>
      <c r="AK272" s="472" t="s">
        <v>521</v>
      </c>
      <c r="AL272" s="472" t="s">
        <v>525</v>
      </c>
      <c r="AM272" s="472" t="s">
        <v>522</v>
      </c>
      <c r="AN272" s="472" t="s">
        <v>289</v>
      </c>
      <c r="AO272" s="1976" t="s">
        <v>526</v>
      </c>
      <c r="AP272" s="1976"/>
      <c r="AR272" s="395">
        <v>4.5</v>
      </c>
      <c r="AS272" s="958"/>
      <c r="AT272" s="958">
        <v>1.7716765640617482E-2</v>
      </c>
      <c r="AU272" s="958"/>
      <c r="AV272" s="452"/>
      <c r="AW272" s="452">
        <v>5</v>
      </c>
      <c r="AX272" s="958"/>
      <c r="AY272" s="958"/>
      <c r="AZ272" s="958">
        <v>1.5885734419050897E-2</v>
      </c>
    </row>
    <row r="273" spans="2:75" ht="13.8" thickBot="1">
      <c r="K273" s="2036" t="s">
        <v>600</v>
      </c>
      <c r="L273" s="2027"/>
      <c r="M273" s="412" t="s">
        <v>174</v>
      </c>
      <c r="N273" s="412" t="s">
        <v>601</v>
      </c>
      <c r="O273" s="2160"/>
      <c r="P273" s="2162"/>
      <c r="Q273" s="2164"/>
      <c r="R273" s="446" t="s">
        <v>553</v>
      </c>
      <c r="S273" s="471" t="s">
        <v>529</v>
      </c>
      <c r="T273" s="961" t="s">
        <v>530</v>
      </c>
      <c r="V273" s="466" t="s">
        <v>13</v>
      </c>
      <c r="W273" s="466" t="s">
        <v>13</v>
      </c>
      <c r="X273" s="489" t="s">
        <v>13</v>
      </c>
      <c r="Y273" s="489" t="s">
        <v>13</v>
      </c>
      <c r="Z273" s="512" t="s">
        <v>602</v>
      </c>
      <c r="AA273" s="965" t="s">
        <v>532</v>
      </c>
      <c r="AB273" s="965" t="s">
        <v>13</v>
      </c>
      <c r="AC273" s="965" t="s">
        <v>533</v>
      </c>
      <c r="AD273" s="963" t="s">
        <v>534</v>
      </c>
      <c r="AF273" s="961" t="s">
        <v>535</v>
      </c>
      <c r="AG273" s="961" t="s">
        <v>532</v>
      </c>
      <c r="AH273" s="961" t="s">
        <v>13</v>
      </c>
      <c r="AI273" s="489" t="s">
        <v>533</v>
      </c>
      <c r="AJ273" s="963" t="s">
        <v>534</v>
      </c>
      <c r="AK273" s="472" t="s">
        <v>535</v>
      </c>
      <c r="AL273" s="472" t="s">
        <v>13</v>
      </c>
      <c r="AM273" s="472" t="s">
        <v>532</v>
      </c>
      <c r="AN273" s="472" t="s">
        <v>13</v>
      </c>
      <c r="AO273" s="472" t="s">
        <v>533</v>
      </c>
      <c r="AP273" s="963" t="s">
        <v>534</v>
      </c>
      <c r="AR273" s="395">
        <v>5</v>
      </c>
      <c r="AS273" s="518"/>
      <c r="AT273" s="518"/>
      <c r="AU273" s="518">
        <v>1.5513062653751577E-2</v>
      </c>
      <c r="AV273" s="452"/>
      <c r="AW273" s="452">
        <v>5</v>
      </c>
      <c r="AX273" s="518"/>
      <c r="AY273" s="518"/>
      <c r="AZ273" s="518">
        <v>1.5912721868189126E-2</v>
      </c>
    </row>
    <row r="274" spans="2:75" ht="15.6" thickBot="1">
      <c r="K274" s="2133" t="s">
        <v>604</v>
      </c>
      <c r="L274" s="2134"/>
      <c r="M274" s="494">
        <v>5</v>
      </c>
      <c r="N274" s="473">
        <v>20</v>
      </c>
      <c r="O274" s="473">
        <v>18</v>
      </c>
      <c r="P274" s="513">
        <v>11</v>
      </c>
      <c r="Q274" s="514">
        <v>5</v>
      </c>
      <c r="R274" s="515">
        <v>12</v>
      </c>
      <c r="S274" s="474">
        <f>AD274+AJ274+AP274</f>
        <v>0.23144115796166947</v>
      </c>
      <c r="T274" s="520">
        <f>S274/W274</f>
        <v>1.1572057898083474E-2</v>
      </c>
      <c r="V274" s="475">
        <f>M274</f>
        <v>5</v>
      </c>
      <c r="W274" s="476">
        <f>N274</f>
        <v>20</v>
      </c>
      <c r="X274" s="477">
        <f>V274-1</f>
        <v>4</v>
      </c>
      <c r="Y274" s="477">
        <f>W274-1</f>
        <v>19</v>
      </c>
      <c r="Z274" s="478">
        <f>O274</f>
        <v>18</v>
      </c>
      <c r="AA274" s="479">
        <f>(PI()*P274/8*P274/8)/(4*144)</f>
        <v>1.0311759740786809E-2</v>
      </c>
      <c r="AB274" s="480">
        <f>Y274</f>
        <v>19</v>
      </c>
      <c r="AC274" s="479">
        <f>Z274*AA274*AB274</f>
        <v>3.5266218313490887</v>
      </c>
      <c r="AD274" s="481">
        <f>AC274/27</f>
        <v>0.13061562338329957</v>
      </c>
      <c r="AF274" s="482">
        <f>7+ROUNDUP((Y274-2)/(R274/12),0)</f>
        <v>24</v>
      </c>
      <c r="AG274" s="483">
        <f>(PI()*Q274/8*Q274/8)/(4*144)</f>
        <v>2.1305288720633907E-3</v>
      </c>
      <c r="AH274" s="484">
        <f>PI()*X274+26/12</f>
        <v>14.733037281025839</v>
      </c>
      <c r="AI274" s="485">
        <f>AF274*AG274*AH274</f>
        <v>0.75333987120988477</v>
      </c>
      <c r="AJ274" s="481">
        <f>AI274/27</f>
        <v>2.7901476711477215E-2</v>
      </c>
      <c r="AK274" s="486">
        <f>IF(V274&lt;4,4,ROUNDUP(V274,0))</f>
        <v>5</v>
      </c>
      <c r="AL274" s="487">
        <f>1.9/12</f>
        <v>0.15833333333333333</v>
      </c>
      <c r="AM274" s="487">
        <f>PI()*AL274*AL274/4</f>
        <v>1.968949562406103E-2</v>
      </c>
      <c r="AN274" s="487">
        <f>W274</f>
        <v>20</v>
      </c>
      <c r="AO274" s="488">
        <f>AK274*AM274*AN274</f>
        <v>1.9689495624061029</v>
      </c>
      <c r="AP274" s="481">
        <f>AO274/27</f>
        <v>7.2924057866892697E-2</v>
      </c>
      <c r="AR274" s="440" t="s">
        <v>597</v>
      </c>
      <c r="AS274" s="521">
        <f>SUM(AS265:AS273)/5</f>
        <v>1.8997843154188239E-2</v>
      </c>
      <c r="AT274" s="521">
        <f>SUM(AT267:AT273)/3</f>
        <v>1.7682701176083782E-2</v>
      </c>
      <c r="AU274" s="521">
        <f>AU273</f>
        <v>1.5513062653751577E-2</v>
      </c>
      <c r="AV274" s="452"/>
      <c r="AW274" s="519" t="s">
        <v>597</v>
      </c>
      <c r="AX274" s="521">
        <f>SUM(AX266:AX267)/2</f>
        <v>1.945171960038862E-2</v>
      </c>
      <c r="AY274" s="521">
        <f>SUM(AY268:AY271)/4</f>
        <v>1.8111607556004605E-2</v>
      </c>
      <c r="AZ274" s="521">
        <f>SUM(AZ272:AZ273)/2</f>
        <v>1.5899228143620013E-2</v>
      </c>
    </row>
    <row r="276" spans="2:75">
      <c r="Q276" s="1065" t="s">
        <v>69</v>
      </c>
      <c r="R276" s="1981" t="s">
        <v>539</v>
      </c>
      <c r="S276" s="1981"/>
      <c r="T276" s="1981"/>
    </row>
    <row r="277" spans="2:75">
      <c r="Q277" s="427" t="s">
        <v>540</v>
      </c>
      <c r="R277" s="2109" t="s">
        <v>541</v>
      </c>
      <c r="S277" s="2109"/>
      <c r="T277" s="2109"/>
    </row>
    <row r="278" spans="2:75">
      <c r="Q278" s="966">
        <f>PI()*M274*M274*N274/108</f>
        <v>14.54441043328608</v>
      </c>
      <c r="R278" s="2126">
        <f>S274/Q278</f>
        <v>1.5912721868189126E-2</v>
      </c>
      <c r="S278" s="2126"/>
      <c r="T278" s="2126"/>
    </row>
    <row r="285" spans="2:75" ht="12.75" customHeight="1">
      <c r="H285" s="2166" t="s">
        <v>605</v>
      </c>
      <c r="I285" s="2037"/>
      <c r="J285" s="2037"/>
      <c r="K285" s="2037"/>
      <c r="L285" s="2037"/>
      <c r="M285" s="2037"/>
      <c r="N285" s="2037"/>
      <c r="O285" s="2037"/>
      <c r="P285" s="2037"/>
      <c r="Q285" s="2167"/>
      <c r="R285" s="2166" t="s">
        <v>606</v>
      </c>
      <c r="S285" s="2037"/>
      <c r="T285" s="2037"/>
      <c r="U285" s="2167"/>
      <c r="V285" s="2168" t="s">
        <v>529</v>
      </c>
      <c r="W285" s="2169"/>
      <c r="Z285" s="522"/>
    </row>
    <row r="286" spans="2:75" ht="15" customHeight="1">
      <c r="B286" s="2170" t="s">
        <v>607</v>
      </c>
      <c r="C286" s="2171"/>
      <c r="D286" s="2172" t="s">
        <v>29</v>
      </c>
      <c r="E286" s="2173"/>
      <c r="F286" s="2174" t="s">
        <v>549</v>
      </c>
      <c r="G286" s="2175"/>
      <c r="H286" s="2176" t="s">
        <v>608</v>
      </c>
      <c r="I286" s="2177"/>
      <c r="J286" s="2178" t="s">
        <v>609</v>
      </c>
      <c r="K286" s="1924"/>
      <c r="L286" s="2176" t="s">
        <v>610</v>
      </c>
      <c r="M286" s="2177"/>
      <c r="N286" s="2178" t="s">
        <v>611</v>
      </c>
      <c r="O286" s="2010"/>
      <c r="P286" s="2176" t="s">
        <v>612</v>
      </c>
      <c r="Q286" s="2177"/>
      <c r="R286" s="2179" t="s">
        <v>613</v>
      </c>
      <c r="S286" s="2180"/>
      <c r="T286" s="2181"/>
      <c r="U286" s="523" t="s">
        <v>614</v>
      </c>
      <c r="V286" s="2182" t="s">
        <v>435</v>
      </c>
      <c r="W286" s="2183"/>
      <c r="Z286" s="524" t="s">
        <v>615</v>
      </c>
      <c r="AA286" s="525"/>
      <c r="AB286" s="525"/>
      <c r="AC286" s="525"/>
    </row>
    <row r="287" spans="2:75" ht="15.75" customHeight="1">
      <c r="B287" s="2187" t="s">
        <v>616</v>
      </c>
      <c r="C287" s="2188"/>
      <c r="D287" s="2197" t="s">
        <v>233</v>
      </c>
      <c r="E287" s="1925" t="s">
        <v>617</v>
      </c>
      <c r="F287" s="2200" t="s">
        <v>618</v>
      </c>
      <c r="G287" s="1925" t="s">
        <v>514</v>
      </c>
      <c r="H287" s="1088" t="s">
        <v>619</v>
      </c>
      <c r="I287" s="1089" t="s">
        <v>620</v>
      </c>
      <c r="J287" s="1088" t="s">
        <v>621</v>
      </c>
      <c r="K287" s="1090" t="s">
        <v>620</v>
      </c>
      <c r="L287" s="1088" t="s">
        <v>622</v>
      </c>
      <c r="M287" s="1089" t="s">
        <v>620</v>
      </c>
      <c r="N287" s="1088" t="s">
        <v>623</v>
      </c>
      <c r="O287" s="1089" t="s">
        <v>620</v>
      </c>
      <c r="P287" s="1088" t="s">
        <v>624</v>
      </c>
      <c r="Q287" s="1089" t="s">
        <v>620</v>
      </c>
      <c r="R287" s="526" t="s">
        <v>275</v>
      </c>
      <c r="S287" s="1090"/>
      <c r="T287" s="1091" t="s">
        <v>625</v>
      </c>
      <c r="U287" s="527" t="s">
        <v>626</v>
      </c>
      <c r="V287" s="528" t="s">
        <v>482</v>
      </c>
      <c r="W287" s="529"/>
      <c r="X287" s="530" t="s">
        <v>484</v>
      </c>
      <c r="Z287" s="2192" t="s">
        <v>69</v>
      </c>
      <c r="AA287" s="2192"/>
      <c r="AB287" s="2193" t="s">
        <v>502</v>
      </c>
      <c r="AC287" s="2193"/>
      <c r="AD287" s="2194" t="s">
        <v>627</v>
      </c>
      <c r="AE287" s="2195"/>
      <c r="AF287" s="2195"/>
      <c r="AG287" s="2195"/>
      <c r="AH287" s="2195"/>
      <c r="AI287" s="2196"/>
      <c r="AJ287" s="2099" t="s">
        <v>628</v>
      </c>
      <c r="AK287" s="2099"/>
      <c r="AL287" s="2099"/>
      <c r="AM287" s="2099"/>
      <c r="AN287" s="2099"/>
      <c r="AO287" s="2099" t="s">
        <v>629</v>
      </c>
      <c r="AP287" s="2099"/>
      <c r="AQ287" s="2099"/>
      <c r="AR287" s="2099"/>
      <c r="AS287" s="2099"/>
      <c r="AT287" s="2099" t="s">
        <v>630</v>
      </c>
      <c r="AU287" s="2099"/>
      <c r="AV287" s="2099"/>
      <c r="AW287" s="2099"/>
      <c r="AX287" s="2099"/>
      <c r="AY287" s="2099" t="s">
        <v>631</v>
      </c>
      <c r="AZ287" s="2099"/>
      <c r="BA287" s="2099"/>
      <c r="BB287" s="2099"/>
      <c r="BC287" s="2099"/>
      <c r="BD287" s="2099" t="s">
        <v>632</v>
      </c>
      <c r="BE287" s="2099"/>
      <c r="BF287" s="2099"/>
      <c r="BG287" s="2099"/>
      <c r="BH287" s="2099"/>
      <c r="BI287" s="2206" t="s">
        <v>505</v>
      </c>
      <c r="BJ287" s="2206"/>
      <c r="BK287" s="2206"/>
      <c r="BL287" s="2206"/>
      <c r="BM287" s="2206"/>
      <c r="BN287" s="2206"/>
      <c r="BO287" s="2184" t="s">
        <v>633</v>
      </c>
      <c r="BP287" s="2184"/>
      <c r="BQ287" s="2184"/>
      <c r="BR287" s="2184"/>
      <c r="BS287" s="2184"/>
      <c r="BT287" s="428" t="s">
        <v>634</v>
      </c>
      <c r="BU287" s="1092" t="s">
        <v>69</v>
      </c>
      <c r="BV287" s="2185" t="s">
        <v>635</v>
      </c>
      <c r="BW287" s="2186"/>
    </row>
    <row r="288" spans="2:75" ht="14.25" customHeight="1">
      <c r="B288" s="2187" t="s">
        <v>636</v>
      </c>
      <c r="C288" s="2188"/>
      <c r="D288" s="2198"/>
      <c r="E288" s="2199"/>
      <c r="F288" s="2201"/>
      <c r="G288" s="2199"/>
      <c r="H288" s="1093" t="s">
        <v>637</v>
      </c>
      <c r="I288" s="1094" t="s">
        <v>625</v>
      </c>
      <c r="J288" s="1093" t="s">
        <v>637</v>
      </c>
      <c r="K288" s="1095" t="s">
        <v>625</v>
      </c>
      <c r="L288" s="1093" t="s">
        <v>637</v>
      </c>
      <c r="M288" s="1094" t="s">
        <v>625</v>
      </c>
      <c r="N288" s="1093" t="s">
        <v>637</v>
      </c>
      <c r="O288" s="1094" t="s">
        <v>625</v>
      </c>
      <c r="P288" s="1093" t="s">
        <v>637</v>
      </c>
      <c r="Q288" s="1094" t="s">
        <v>625</v>
      </c>
      <c r="R288" s="1093" t="s">
        <v>637</v>
      </c>
      <c r="S288" s="1095" t="s">
        <v>625</v>
      </c>
      <c r="T288" s="1096" t="s">
        <v>289</v>
      </c>
      <c r="U288" s="531" t="s">
        <v>638</v>
      </c>
      <c r="V288" s="2189" t="s">
        <v>639</v>
      </c>
      <c r="W288" s="2190"/>
      <c r="X288" s="532" t="s">
        <v>635</v>
      </c>
      <c r="Z288" s="533" t="s">
        <v>513</v>
      </c>
      <c r="AA288" s="533" t="s">
        <v>289</v>
      </c>
      <c r="AB288" s="534" t="s">
        <v>513</v>
      </c>
      <c r="AC288" s="534" t="s">
        <v>289</v>
      </c>
      <c r="AD288" s="535" t="s">
        <v>640</v>
      </c>
      <c r="AE288" s="535" t="s">
        <v>641</v>
      </c>
      <c r="AF288" s="535" t="s">
        <v>522</v>
      </c>
      <c r="AG288" s="535" t="s">
        <v>289</v>
      </c>
      <c r="AH288" s="2191" t="s">
        <v>523</v>
      </c>
      <c r="AI288" s="2191"/>
      <c r="AJ288" s="1090" t="s">
        <v>619</v>
      </c>
      <c r="AK288" s="1090" t="s">
        <v>522</v>
      </c>
      <c r="AL288" s="1090" t="s">
        <v>289</v>
      </c>
      <c r="AM288" s="2191" t="s">
        <v>642</v>
      </c>
      <c r="AN288" s="2191"/>
      <c r="AO288" s="1090" t="s">
        <v>621</v>
      </c>
      <c r="AP288" s="1090" t="s">
        <v>522</v>
      </c>
      <c r="AQ288" s="1090" t="s">
        <v>289</v>
      </c>
      <c r="AR288" s="2191" t="s">
        <v>643</v>
      </c>
      <c r="AS288" s="2191"/>
      <c r="AT288" s="1090" t="s">
        <v>622</v>
      </c>
      <c r="AU288" s="1090" t="s">
        <v>522</v>
      </c>
      <c r="AV288" s="1090" t="s">
        <v>289</v>
      </c>
      <c r="AW288" s="2191" t="s">
        <v>644</v>
      </c>
      <c r="AX288" s="2191"/>
      <c r="AY288" s="1090" t="s">
        <v>623</v>
      </c>
      <c r="AZ288" s="1090" t="s">
        <v>522</v>
      </c>
      <c r="BA288" s="1090" t="s">
        <v>289</v>
      </c>
      <c r="BB288" s="2191" t="s">
        <v>645</v>
      </c>
      <c r="BC288" s="2191"/>
      <c r="BD288" s="1090" t="s">
        <v>624</v>
      </c>
      <c r="BE288" s="1090" t="s">
        <v>522</v>
      </c>
      <c r="BF288" s="1090" t="s">
        <v>289</v>
      </c>
      <c r="BG288" s="2191" t="s">
        <v>646</v>
      </c>
      <c r="BH288" s="2191"/>
      <c r="BI288" s="544" t="s">
        <v>521</v>
      </c>
      <c r="BJ288" s="544" t="s">
        <v>525</v>
      </c>
      <c r="BK288" s="544" t="s">
        <v>522</v>
      </c>
      <c r="BL288" s="544" t="s">
        <v>289</v>
      </c>
      <c r="BM288" s="2191" t="s">
        <v>647</v>
      </c>
      <c r="BN288" s="2191"/>
      <c r="BO288" s="969" t="s">
        <v>275</v>
      </c>
      <c r="BP288" s="1090" t="s">
        <v>522</v>
      </c>
      <c r="BQ288" s="1090" t="s">
        <v>289</v>
      </c>
      <c r="BR288" s="2191" t="s">
        <v>648</v>
      </c>
      <c r="BS288" s="2191"/>
      <c r="BT288" s="536" t="s">
        <v>484</v>
      </c>
      <c r="BU288" s="537" t="s">
        <v>649</v>
      </c>
      <c r="BV288" s="2213" t="s">
        <v>650</v>
      </c>
      <c r="BW288" s="2136"/>
    </row>
    <row r="289" spans="2:76" ht="14.25" customHeight="1">
      <c r="B289" s="2204" t="s">
        <v>651</v>
      </c>
      <c r="C289" s="2205"/>
      <c r="D289" s="538" t="s">
        <v>13</v>
      </c>
      <c r="E289" s="539" t="s">
        <v>13</v>
      </c>
      <c r="F289" s="2202"/>
      <c r="G289" s="2203"/>
      <c r="H289" s="538" t="s">
        <v>652</v>
      </c>
      <c r="I289" s="539" t="s">
        <v>653</v>
      </c>
      <c r="J289" s="538" t="s">
        <v>652</v>
      </c>
      <c r="K289" s="970" t="s">
        <v>653</v>
      </c>
      <c r="L289" s="538" t="s">
        <v>652</v>
      </c>
      <c r="M289" s="539" t="s">
        <v>653</v>
      </c>
      <c r="N289" s="538" t="s">
        <v>652</v>
      </c>
      <c r="O289" s="539" t="s">
        <v>653</v>
      </c>
      <c r="P289" s="538" t="s">
        <v>652</v>
      </c>
      <c r="Q289" s="539" t="s">
        <v>653</v>
      </c>
      <c r="R289" s="538" t="s">
        <v>652</v>
      </c>
      <c r="S289" s="970" t="s">
        <v>653</v>
      </c>
      <c r="T289" s="540" t="s">
        <v>654</v>
      </c>
      <c r="U289" s="541" t="s">
        <v>655</v>
      </c>
      <c r="V289" s="968" t="s">
        <v>529</v>
      </c>
      <c r="W289" s="542" t="s">
        <v>530</v>
      </c>
      <c r="X289" s="543" t="s">
        <v>656</v>
      </c>
      <c r="Z289" s="533" t="s">
        <v>13</v>
      </c>
      <c r="AA289" s="533" t="s">
        <v>13</v>
      </c>
      <c r="AB289" s="534" t="s">
        <v>13</v>
      </c>
      <c r="AC289" s="534" t="s">
        <v>13</v>
      </c>
      <c r="AD289" s="535" t="s">
        <v>657</v>
      </c>
      <c r="AE289" s="535" t="s">
        <v>653</v>
      </c>
      <c r="AF289" s="535" t="s">
        <v>532</v>
      </c>
      <c r="AG289" s="535" t="s">
        <v>13</v>
      </c>
      <c r="AH289" s="535" t="s">
        <v>533</v>
      </c>
      <c r="AI289" s="972" t="s">
        <v>534</v>
      </c>
      <c r="AJ289" s="970" t="s">
        <v>652</v>
      </c>
      <c r="AK289" s="970" t="s">
        <v>532</v>
      </c>
      <c r="AL289" s="970" t="s">
        <v>13</v>
      </c>
      <c r="AM289" s="534" t="s">
        <v>533</v>
      </c>
      <c r="AN289" s="972" t="s">
        <v>534</v>
      </c>
      <c r="AO289" s="970" t="s">
        <v>652</v>
      </c>
      <c r="AP289" s="970" t="s">
        <v>532</v>
      </c>
      <c r="AQ289" s="970" t="s">
        <v>13</v>
      </c>
      <c r="AR289" s="534" t="s">
        <v>533</v>
      </c>
      <c r="AS289" s="972" t="s">
        <v>534</v>
      </c>
      <c r="AT289" s="970" t="s">
        <v>652</v>
      </c>
      <c r="AU289" s="970" t="s">
        <v>532</v>
      </c>
      <c r="AV289" s="970" t="s">
        <v>13</v>
      </c>
      <c r="AW289" s="534" t="s">
        <v>533</v>
      </c>
      <c r="AX289" s="972" t="s">
        <v>534</v>
      </c>
      <c r="AY289" s="970" t="s">
        <v>652</v>
      </c>
      <c r="AZ289" s="970" t="s">
        <v>532</v>
      </c>
      <c r="BA289" s="970" t="s">
        <v>13</v>
      </c>
      <c r="BB289" s="534" t="s">
        <v>533</v>
      </c>
      <c r="BC289" s="972" t="s">
        <v>534</v>
      </c>
      <c r="BD289" s="970" t="s">
        <v>652</v>
      </c>
      <c r="BE289" s="970" t="s">
        <v>532</v>
      </c>
      <c r="BF289" s="970" t="s">
        <v>13</v>
      </c>
      <c r="BG289" s="534" t="s">
        <v>533</v>
      </c>
      <c r="BH289" s="972" t="s">
        <v>534</v>
      </c>
      <c r="BI289" s="544" t="s">
        <v>535</v>
      </c>
      <c r="BJ289" s="544" t="s">
        <v>13</v>
      </c>
      <c r="BK289" s="544" t="s">
        <v>532</v>
      </c>
      <c r="BL289" s="544" t="s">
        <v>13</v>
      </c>
      <c r="BM289" s="544" t="s">
        <v>533</v>
      </c>
      <c r="BN289" s="972" t="s">
        <v>534</v>
      </c>
      <c r="BO289" s="970" t="s">
        <v>652</v>
      </c>
      <c r="BP289" s="970" t="s">
        <v>532</v>
      </c>
      <c r="BQ289" s="970" t="s">
        <v>13</v>
      </c>
      <c r="BR289" s="534" t="s">
        <v>533</v>
      </c>
      <c r="BS289" s="972" t="s">
        <v>534</v>
      </c>
      <c r="BT289" s="545" t="s">
        <v>655</v>
      </c>
      <c r="BU289" s="546" t="s">
        <v>540</v>
      </c>
      <c r="BV289" s="2074" t="s">
        <v>658</v>
      </c>
      <c r="BW289" s="2076"/>
    </row>
    <row r="290" spans="2:76" ht="15">
      <c r="B290" s="2207" t="s">
        <v>659</v>
      </c>
      <c r="C290" s="2208"/>
      <c r="D290" s="547">
        <v>5</v>
      </c>
      <c r="E290" s="548">
        <v>20</v>
      </c>
      <c r="F290" s="549">
        <v>18</v>
      </c>
      <c r="G290" s="550">
        <v>11</v>
      </c>
      <c r="H290" s="549">
        <v>12</v>
      </c>
      <c r="I290" s="551">
        <v>5</v>
      </c>
      <c r="J290" s="549">
        <v>12</v>
      </c>
      <c r="K290" s="552">
        <v>5</v>
      </c>
      <c r="L290" s="549">
        <v>12</v>
      </c>
      <c r="M290" s="551">
        <v>5</v>
      </c>
      <c r="N290" s="549">
        <v>12</v>
      </c>
      <c r="O290" s="551">
        <v>5</v>
      </c>
      <c r="P290" s="549">
        <v>12</v>
      </c>
      <c r="Q290" s="551">
        <v>5</v>
      </c>
      <c r="R290" s="553">
        <v>10</v>
      </c>
      <c r="S290" s="552">
        <v>8</v>
      </c>
      <c r="T290" s="554">
        <v>12</v>
      </c>
      <c r="U290" s="555">
        <v>2E-3</v>
      </c>
      <c r="V290" s="556">
        <f t="shared" ref="V290:V299" si="7">AI290+AN290+AS290+AX290+BC290+BH290+BN290+BS290</f>
        <v>0.29753405708436204</v>
      </c>
      <c r="W290" s="557">
        <f>IF(V290=0,0,V290/AA290)</f>
        <v>1.4876702854218101E-2</v>
      </c>
      <c r="X290" s="558">
        <f>IF(V290=0,0,BV290)</f>
        <v>2.0456934878806145E-2</v>
      </c>
      <c r="Y290" s="559" t="str">
        <f>B290</f>
        <v>A</v>
      </c>
      <c r="Z290" s="560">
        <f t="shared" ref="Z290:AA299" si="8">D290</f>
        <v>5</v>
      </c>
      <c r="AA290" s="561">
        <f t="shared" si="8"/>
        <v>20</v>
      </c>
      <c r="AB290" s="562">
        <f>Z290-1</f>
        <v>4</v>
      </c>
      <c r="AC290" s="563">
        <f>AA290-1</f>
        <v>19</v>
      </c>
      <c r="AD290" s="564">
        <f t="shared" ref="AD290:AE299" si="9">F290</f>
        <v>18</v>
      </c>
      <c r="AE290" s="565">
        <f t="shared" si="9"/>
        <v>11</v>
      </c>
      <c r="AF290" s="566">
        <f t="shared" ref="AF290:AF299" si="10">(PI()*G290/8*G290/8)/(4*144)</f>
        <v>1.0311759740786809E-2</v>
      </c>
      <c r="AG290" s="567">
        <f>AC290</f>
        <v>19</v>
      </c>
      <c r="AH290" s="566">
        <f>AD290*AF290*AG290</f>
        <v>3.5266218313490887</v>
      </c>
      <c r="AI290" s="568">
        <f>AH290/27</f>
        <v>0.13061562338329957</v>
      </c>
      <c r="AJ290" s="569">
        <f t="shared" ref="AJ290:AJ299" si="11">H290</f>
        <v>12</v>
      </c>
      <c r="AK290" s="570">
        <f t="shared" ref="AK290:AK299" si="12">(PI()*I290/8*I290/8)/(4*144)</f>
        <v>2.1305288720633907E-3</v>
      </c>
      <c r="AL290" s="571">
        <f>PI()*AB290+26/12</f>
        <v>14.733037281025839</v>
      </c>
      <c r="AM290" s="572">
        <f>AJ290*AK290*AL290</f>
        <v>0.37666993560494239</v>
      </c>
      <c r="AN290" s="573">
        <f>AM290/27</f>
        <v>1.3950738355738608E-2</v>
      </c>
      <c r="AO290" s="569">
        <f t="shared" ref="AO290:AO299" si="13">J290</f>
        <v>12</v>
      </c>
      <c r="AP290" s="570">
        <f t="shared" ref="AP290:AP299" si="14">(PI()*K290/8*K290/8)/(4*144)</f>
        <v>2.1305288720633907E-3</v>
      </c>
      <c r="AQ290" s="571">
        <f>PI()*AB290+26/12</f>
        <v>14.733037281025839</v>
      </c>
      <c r="AR290" s="572">
        <f>AO290*AP290*AQ290</f>
        <v>0.37666993560494239</v>
      </c>
      <c r="AS290" s="573">
        <f>AR290/27</f>
        <v>1.3950738355738608E-2</v>
      </c>
      <c r="AT290" s="569">
        <f t="shared" ref="AT290:AT299" si="15">L290</f>
        <v>12</v>
      </c>
      <c r="AU290" s="570">
        <f t="shared" ref="AU290:AU299" si="16">(PI()*M290/8*M290/8)/(4*144)</f>
        <v>2.1305288720633907E-3</v>
      </c>
      <c r="AV290" s="571">
        <f>PI()*AB290+26/12</f>
        <v>14.733037281025839</v>
      </c>
      <c r="AW290" s="572">
        <f>AT290*AU290*AV290</f>
        <v>0.37666993560494239</v>
      </c>
      <c r="AX290" s="573">
        <f>AW290/27</f>
        <v>1.3950738355738608E-2</v>
      </c>
      <c r="AY290" s="569">
        <f t="shared" ref="AY290:AY299" si="17">N290</f>
        <v>12</v>
      </c>
      <c r="AZ290" s="570">
        <f t="shared" ref="AZ290:AZ299" si="18">(PI()*O290/8*O290/8)/(4*144)</f>
        <v>2.1305288720633907E-3</v>
      </c>
      <c r="BA290" s="571">
        <f>PI()*AB290+26/12</f>
        <v>14.733037281025839</v>
      </c>
      <c r="BB290" s="572">
        <f>AY290*AZ290*BA290</f>
        <v>0.37666993560494239</v>
      </c>
      <c r="BC290" s="573">
        <f>BB290/27</f>
        <v>1.3950738355738608E-2</v>
      </c>
      <c r="BD290" s="569">
        <f t="shared" ref="BD290:BD299" si="19">P290</f>
        <v>12</v>
      </c>
      <c r="BE290" s="570">
        <f t="shared" ref="BE290:BE299" si="20">(PI()*Q290/8*Q290/8)/(4*144)</f>
        <v>2.1305288720633907E-3</v>
      </c>
      <c r="BF290" s="571">
        <f>PI()*AB290+26/12</f>
        <v>14.733037281025839</v>
      </c>
      <c r="BG290" s="572">
        <f>BD290*BE290*BF290</f>
        <v>0.37666993560494239</v>
      </c>
      <c r="BH290" s="573">
        <f>BG290/27</f>
        <v>1.3950738355738608E-2</v>
      </c>
      <c r="BI290" s="574">
        <f>IF(Z290&lt;4,4,ROUNDUP(Z290,0))</f>
        <v>5</v>
      </c>
      <c r="BJ290" s="575">
        <f>1.9/12</f>
        <v>0.15833333333333333</v>
      </c>
      <c r="BK290" s="575">
        <f>PI()*BJ290*BJ290/4</f>
        <v>1.968949562406103E-2</v>
      </c>
      <c r="BL290" s="575">
        <f>AA290</f>
        <v>20</v>
      </c>
      <c r="BM290" s="576">
        <f>BI290*BK290*BL290</f>
        <v>1.9689495624061029</v>
      </c>
      <c r="BN290" s="577">
        <f>BM290/27</f>
        <v>7.2924057866892697E-2</v>
      </c>
      <c r="BO290" s="569">
        <f t="shared" ref="BO290:BO299" si="21">R290</f>
        <v>10</v>
      </c>
      <c r="BP290" s="578">
        <f t="shared" ref="BP290:BP299" si="22">(PI()*S290/8*S290/8)/(4*144)</f>
        <v>5.4541539124822796E-3</v>
      </c>
      <c r="BQ290" s="579">
        <f t="shared" ref="BQ290:BQ299" si="23">T290</f>
        <v>12</v>
      </c>
      <c r="BR290" s="580">
        <f>BO290*BP290*BQ290</f>
        <v>0.6544984694978736</v>
      </c>
      <c r="BS290" s="577">
        <f>BR290/27</f>
        <v>2.4240684055476799E-2</v>
      </c>
      <c r="BT290" s="581">
        <f t="shared" ref="BT290:BT299" si="24">U290</f>
        <v>2E-3</v>
      </c>
      <c r="BU290" s="582">
        <f t="shared" ref="BU290:BU299" si="25">PI()*D290*D290*E290/108</f>
        <v>14.54441043328608</v>
      </c>
      <c r="BV290" s="2209">
        <f>IF(BU290=0,0,V290/BU290)</f>
        <v>2.0456934878806145E-2</v>
      </c>
      <c r="BW290" s="2210"/>
      <c r="BX290" s="559" t="str">
        <f>B290</f>
        <v>A</v>
      </c>
    </row>
    <row r="291" spans="2:76" ht="15">
      <c r="B291" s="2211" t="s">
        <v>660</v>
      </c>
      <c r="C291" s="2212"/>
      <c r="D291" s="547"/>
      <c r="E291" s="548"/>
      <c r="F291" s="549"/>
      <c r="G291" s="550"/>
      <c r="H291" s="549"/>
      <c r="I291" s="551"/>
      <c r="J291" s="549"/>
      <c r="K291" s="552"/>
      <c r="L291" s="549"/>
      <c r="M291" s="551"/>
      <c r="N291" s="549"/>
      <c r="O291" s="551"/>
      <c r="P291" s="549"/>
      <c r="Q291" s="551"/>
      <c r="R291" s="553"/>
      <c r="S291" s="552"/>
      <c r="T291" s="554"/>
      <c r="U291" s="583"/>
      <c r="V291" s="556">
        <f t="shared" si="7"/>
        <v>0</v>
      </c>
      <c r="W291" s="584">
        <f>IF(V291=0,0,V291/AA291)</f>
        <v>0</v>
      </c>
      <c r="X291" s="585">
        <f>IF(V291=0,0,BV291)</f>
        <v>0</v>
      </c>
      <c r="Y291" s="559" t="str">
        <f t="shared" ref="Y291:Y299" si="26">B291</f>
        <v>B</v>
      </c>
      <c r="Z291" s="586">
        <f t="shared" si="8"/>
        <v>0</v>
      </c>
      <c r="AA291" s="561">
        <f t="shared" si="8"/>
        <v>0</v>
      </c>
      <c r="AB291" s="587">
        <f t="shared" ref="AB291:AC299" si="27">Z291-1</f>
        <v>-1</v>
      </c>
      <c r="AC291" s="563">
        <f t="shared" si="27"/>
        <v>-1</v>
      </c>
      <c r="AD291" s="588">
        <f t="shared" si="9"/>
        <v>0</v>
      </c>
      <c r="AE291" s="565">
        <f t="shared" si="9"/>
        <v>0</v>
      </c>
      <c r="AF291" s="566">
        <f t="shared" si="10"/>
        <v>0</v>
      </c>
      <c r="AG291" s="567">
        <f t="shared" ref="AG291:AG299" si="28">AC291</f>
        <v>-1</v>
      </c>
      <c r="AH291" s="566">
        <f t="shared" ref="AH291:AH299" si="29">AD291*AF291*AG291</f>
        <v>0</v>
      </c>
      <c r="AI291" s="568">
        <f t="shared" ref="AI291:AI299" si="30">AH291/27</f>
        <v>0</v>
      </c>
      <c r="AJ291" s="589">
        <f t="shared" si="11"/>
        <v>0</v>
      </c>
      <c r="AK291" s="570">
        <f t="shared" si="12"/>
        <v>0</v>
      </c>
      <c r="AL291" s="571">
        <f t="shared" ref="AL291:AL299" si="31">PI()*AB291+26/12</f>
        <v>-0.9749259869231266</v>
      </c>
      <c r="AM291" s="572">
        <f t="shared" ref="AM291:AM299" si="32">AJ291*AK291*AL291</f>
        <v>0</v>
      </c>
      <c r="AN291" s="573">
        <f t="shared" ref="AN291:AN299" si="33">AM291/27</f>
        <v>0</v>
      </c>
      <c r="AO291" s="589">
        <f t="shared" si="13"/>
        <v>0</v>
      </c>
      <c r="AP291" s="570">
        <f t="shared" si="14"/>
        <v>0</v>
      </c>
      <c r="AQ291" s="571">
        <f t="shared" ref="AQ291:AQ299" si="34">PI()*AB291+26/12</f>
        <v>-0.9749259869231266</v>
      </c>
      <c r="AR291" s="572">
        <f t="shared" ref="AR291:AR299" si="35">AO291*AP291*AQ291</f>
        <v>0</v>
      </c>
      <c r="AS291" s="573">
        <f t="shared" ref="AS291:AS299" si="36">AR291/27</f>
        <v>0</v>
      </c>
      <c r="AT291" s="589">
        <f t="shared" si="15"/>
        <v>0</v>
      </c>
      <c r="AU291" s="570">
        <f t="shared" si="16"/>
        <v>0</v>
      </c>
      <c r="AV291" s="571">
        <f t="shared" ref="AV291:AV299" si="37">PI()*AB291+26/12</f>
        <v>-0.9749259869231266</v>
      </c>
      <c r="AW291" s="572">
        <f t="shared" ref="AW291:AW299" si="38">AT291*AU291*AV291</f>
        <v>0</v>
      </c>
      <c r="AX291" s="573">
        <f t="shared" ref="AX291:AX299" si="39">AW291/27</f>
        <v>0</v>
      </c>
      <c r="AY291" s="589">
        <f t="shared" si="17"/>
        <v>0</v>
      </c>
      <c r="AZ291" s="570">
        <f t="shared" si="18"/>
        <v>0</v>
      </c>
      <c r="BA291" s="571">
        <f t="shared" ref="BA291:BA299" si="40">PI()*AB291+26/12</f>
        <v>-0.9749259869231266</v>
      </c>
      <c r="BB291" s="572">
        <f t="shared" ref="BB291:BB299" si="41">AY291*AZ291*BA291</f>
        <v>0</v>
      </c>
      <c r="BC291" s="573">
        <f t="shared" ref="BC291:BC299" si="42">BB291/27</f>
        <v>0</v>
      </c>
      <c r="BD291" s="589">
        <f t="shared" si="19"/>
        <v>0</v>
      </c>
      <c r="BE291" s="570">
        <f t="shared" si="20"/>
        <v>0</v>
      </c>
      <c r="BF291" s="571">
        <f t="shared" ref="BF291:BF299" si="43">PI()*AB291+26/12</f>
        <v>-0.9749259869231266</v>
      </c>
      <c r="BG291" s="572">
        <f t="shared" ref="BG291:BG299" si="44">BD291*BE291*BF291</f>
        <v>0</v>
      </c>
      <c r="BH291" s="573">
        <f t="shared" ref="BH291:BH299" si="45">BG291/27</f>
        <v>0</v>
      </c>
      <c r="BI291" s="590">
        <f t="shared" ref="BI291:BI299" si="46">IF(Z291&lt;4,4,ROUNDUP(Z291,0))</f>
        <v>4</v>
      </c>
      <c r="BJ291" s="575">
        <f t="shared" ref="BJ291:BJ299" si="47">1.9/12</f>
        <v>0.15833333333333333</v>
      </c>
      <c r="BK291" s="575">
        <f t="shared" ref="BK291:BK299" si="48">PI()*BJ291*BJ291/4</f>
        <v>1.968949562406103E-2</v>
      </c>
      <c r="BL291" s="575">
        <f t="shared" ref="BL291:BL299" si="49">AA291</f>
        <v>0</v>
      </c>
      <c r="BM291" s="576">
        <f t="shared" ref="BM291:BM299" si="50">BI291*BK291*BL291</f>
        <v>0</v>
      </c>
      <c r="BN291" s="591">
        <f t="shared" ref="BN291:BN299" si="51">BM291/27</f>
        <v>0</v>
      </c>
      <c r="BO291" s="569">
        <f t="shared" si="21"/>
        <v>0</v>
      </c>
      <c r="BP291" s="578">
        <f t="shared" si="22"/>
        <v>0</v>
      </c>
      <c r="BQ291" s="579">
        <f t="shared" si="23"/>
        <v>0</v>
      </c>
      <c r="BR291" s="580">
        <f t="shared" ref="BR291:BR299" si="52">BO291*BP291*BQ291</f>
        <v>0</v>
      </c>
      <c r="BS291" s="577">
        <f t="shared" ref="BS291:BS299" si="53">BR291/27</f>
        <v>0</v>
      </c>
      <c r="BT291" s="581">
        <f t="shared" si="24"/>
        <v>0</v>
      </c>
      <c r="BU291" s="582">
        <f t="shared" si="25"/>
        <v>0</v>
      </c>
      <c r="BV291" s="2209">
        <f>IF(BU291=0,0,V291/BU291)</f>
        <v>0</v>
      </c>
      <c r="BW291" s="2210"/>
      <c r="BX291" s="559" t="str">
        <f t="shared" ref="BX291:BX299" si="54">B291</f>
        <v>B</v>
      </c>
    </row>
    <row r="292" spans="2:76" ht="15">
      <c r="B292" s="2211" t="s">
        <v>661</v>
      </c>
      <c r="C292" s="2212"/>
      <c r="D292" s="547"/>
      <c r="E292" s="548"/>
      <c r="F292" s="549"/>
      <c r="G292" s="550"/>
      <c r="H292" s="549"/>
      <c r="I292" s="551"/>
      <c r="J292" s="549"/>
      <c r="K292" s="552"/>
      <c r="L292" s="549"/>
      <c r="M292" s="551"/>
      <c r="N292" s="549"/>
      <c r="O292" s="551"/>
      <c r="P292" s="549"/>
      <c r="Q292" s="551"/>
      <c r="R292" s="553"/>
      <c r="S292" s="552"/>
      <c r="T292" s="554"/>
      <c r="U292" s="583"/>
      <c r="V292" s="556">
        <f t="shared" si="7"/>
        <v>0</v>
      </c>
      <c r="W292" s="584">
        <f>IF(V292=0,0,V292/AA292)</f>
        <v>0</v>
      </c>
      <c r="X292" s="585">
        <f t="shared" ref="X292:X299" si="55">IF(V292=0,0,BV292)</f>
        <v>0</v>
      </c>
      <c r="Y292" s="559" t="str">
        <f t="shared" si="26"/>
        <v>C</v>
      </c>
      <c r="Z292" s="586">
        <f t="shared" si="8"/>
        <v>0</v>
      </c>
      <c r="AA292" s="561">
        <f t="shared" si="8"/>
        <v>0</v>
      </c>
      <c r="AB292" s="587">
        <f t="shared" si="27"/>
        <v>-1</v>
      </c>
      <c r="AC292" s="563">
        <f t="shared" si="27"/>
        <v>-1</v>
      </c>
      <c r="AD292" s="588">
        <f t="shared" si="9"/>
        <v>0</v>
      </c>
      <c r="AE292" s="565">
        <f t="shared" si="9"/>
        <v>0</v>
      </c>
      <c r="AF292" s="566">
        <f t="shared" si="10"/>
        <v>0</v>
      </c>
      <c r="AG292" s="567">
        <f t="shared" si="28"/>
        <v>-1</v>
      </c>
      <c r="AH292" s="566">
        <f t="shared" si="29"/>
        <v>0</v>
      </c>
      <c r="AI292" s="568">
        <f t="shared" si="30"/>
        <v>0</v>
      </c>
      <c r="AJ292" s="589">
        <f t="shared" si="11"/>
        <v>0</v>
      </c>
      <c r="AK292" s="570">
        <f t="shared" si="12"/>
        <v>0</v>
      </c>
      <c r="AL292" s="571">
        <f t="shared" si="31"/>
        <v>-0.9749259869231266</v>
      </c>
      <c r="AM292" s="572">
        <f t="shared" si="32"/>
        <v>0</v>
      </c>
      <c r="AN292" s="573">
        <f t="shared" si="33"/>
        <v>0</v>
      </c>
      <c r="AO292" s="589">
        <f t="shared" si="13"/>
        <v>0</v>
      </c>
      <c r="AP292" s="570">
        <f t="shared" si="14"/>
        <v>0</v>
      </c>
      <c r="AQ292" s="571">
        <f t="shared" si="34"/>
        <v>-0.9749259869231266</v>
      </c>
      <c r="AR292" s="572">
        <f t="shared" si="35"/>
        <v>0</v>
      </c>
      <c r="AS292" s="573">
        <f t="shared" si="36"/>
        <v>0</v>
      </c>
      <c r="AT292" s="589">
        <f t="shared" si="15"/>
        <v>0</v>
      </c>
      <c r="AU292" s="570">
        <f t="shared" si="16"/>
        <v>0</v>
      </c>
      <c r="AV292" s="571">
        <f t="shared" si="37"/>
        <v>-0.9749259869231266</v>
      </c>
      <c r="AW292" s="572">
        <f t="shared" si="38"/>
        <v>0</v>
      </c>
      <c r="AX292" s="573">
        <f t="shared" si="39"/>
        <v>0</v>
      </c>
      <c r="AY292" s="589">
        <f t="shared" si="17"/>
        <v>0</v>
      </c>
      <c r="AZ292" s="570">
        <f t="shared" si="18"/>
        <v>0</v>
      </c>
      <c r="BA292" s="571">
        <f t="shared" si="40"/>
        <v>-0.9749259869231266</v>
      </c>
      <c r="BB292" s="572">
        <f t="shared" si="41"/>
        <v>0</v>
      </c>
      <c r="BC292" s="573">
        <f t="shared" si="42"/>
        <v>0</v>
      </c>
      <c r="BD292" s="589">
        <f t="shared" si="19"/>
        <v>0</v>
      </c>
      <c r="BE292" s="570">
        <f t="shared" si="20"/>
        <v>0</v>
      </c>
      <c r="BF292" s="571">
        <f t="shared" si="43"/>
        <v>-0.9749259869231266</v>
      </c>
      <c r="BG292" s="572">
        <f t="shared" si="44"/>
        <v>0</v>
      </c>
      <c r="BH292" s="573">
        <f t="shared" si="45"/>
        <v>0</v>
      </c>
      <c r="BI292" s="590">
        <f t="shared" si="46"/>
        <v>4</v>
      </c>
      <c r="BJ292" s="575">
        <f t="shared" si="47"/>
        <v>0.15833333333333333</v>
      </c>
      <c r="BK292" s="575">
        <f t="shared" si="48"/>
        <v>1.968949562406103E-2</v>
      </c>
      <c r="BL292" s="575">
        <f t="shared" si="49"/>
        <v>0</v>
      </c>
      <c r="BM292" s="576">
        <f t="shared" si="50"/>
        <v>0</v>
      </c>
      <c r="BN292" s="591">
        <f t="shared" si="51"/>
        <v>0</v>
      </c>
      <c r="BO292" s="569">
        <f t="shared" si="21"/>
        <v>0</v>
      </c>
      <c r="BP292" s="578">
        <f t="shared" si="22"/>
        <v>0</v>
      </c>
      <c r="BQ292" s="579">
        <f t="shared" si="23"/>
        <v>0</v>
      </c>
      <c r="BR292" s="580">
        <f t="shared" si="52"/>
        <v>0</v>
      </c>
      <c r="BS292" s="577">
        <f t="shared" si="53"/>
        <v>0</v>
      </c>
      <c r="BT292" s="581">
        <f t="shared" si="24"/>
        <v>0</v>
      </c>
      <c r="BU292" s="582">
        <f t="shared" si="25"/>
        <v>0</v>
      </c>
      <c r="BV292" s="2209">
        <f t="shared" ref="BV292:BV299" si="56">IF(BU292=0,0,V292/BU292)</f>
        <v>0</v>
      </c>
      <c r="BW292" s="2210"/>
      <c r="BX292" s="559" t="str">
        <f t="shared" si="54"/>
        <v>C</v>
      </c>
    </row>
    <row r="293" spans="2:76" ht="15">
      <c r="B293" s="2211" t="s">
        <v>662</v>
      </c>
      <c r="C293" s="2212"/>
      <c r="D293" s="547"/>
      <c r="E293" s="548"/>
      <c r="F293" s="549"/>
      <c r="G293" s="550"/>
      <c r="H293" s="549"/>
      <c r="I293" s="551"/>
      <c r="J293" s="549"/>
      <c r="K293" s="552"/>
      <c r="L293" s="549"/>
      <c r="M293" s="551"/>
      <c r="N293" s="549"/>
      <c r="O293" s="551"/>
      <c r="P293" s="549"/>
      <c r="Q293" s="551"/>
      <c r="R293" s="553"/>
      <c r="S293" s="552"/>
      <c r="T293" s="554"/>
      <c r="U293" s="583"/>
      <c r="V293" s="556">
        <f t="shared" si="7"/>
        <v>0</v>
      </c>
      <c r="W293" s="584">
        <f t="shared" ref="W293:W299" si="57">IF(V293=0,0,V293/AA293)</f>
        <v>0</v>
      </c>
      <c r="X293" s="585">
        <f t="shared" si="55"/>
        <v>0</v>
      </c>
      <c r="Y293" s="559" t="str">
        <f t="shared" si="26"/>
        <v>D</v>
      </c>
      <c r="Z293" s="586">
        <f t="shared" si="8"/>
        <v>0</v>
      </c>
      <c r="AA293" s="561">
        <f t="shared" si="8"/>
        <v>0</v>
      </c>
      <c r="AB293" s="587">
        <f t="shared" si="27"/>
        <v>-1</v>
      </c>
      <c r="AC293" s="563">
        <f t="shared" si="27"/>
        <v>-1</v>
      </c>
      <c r="AD293" s="588">
        <f t="shared" si="9"/>
        <v>0</v>
      </c>
      <c r="AE293" s="565">
        <f t="shared" si="9"/>
        <v>0</v>
      </c>
      <c r="AF293" s="566">
        <f t="shared" si="10"/>
        <v>0</v>
      </c>
      <c r="AG293" s="567">
        <f t="shared" si="28"/>
        <v>-1</v>
      </c>
      <c r="AH293" s="566">
        <f t="shared" si="29"/>
        <v>0</v>
      </c>
      <c r="AI293" s="568">
        <f t="shared" si="30"/>
        <v>0</v>
      </c>
      <c r="AJ293" s="589">
        <f t="shared" si="11"/>
        <v>0</v>
      </c>
      <c r="AK293" s="570">
        <f t="shared" si="12"/>
        <v>0</v>
      </c>
      <c r="AL293" s="571">
        <f t="shared" si="31"/>
        <v>-0.9749259869231266</v>
      </c>
      <c r="AM293" s="572">
        <f t="shared" si="32"/>
        <v>0</v>
      </c>
      <c r="AN293" s="573">
        <f t="shared" si="33"/>
        <v>0</v>
      </c>
      <c r="AO293" s="589">
        <f t="shared" si="13"/>
        <v>0</v>
      </c>
      <c r="AP293" s="570">
        <f t="shared" si="14"/>
        <v>0</v>
      </c>
      <c r="AQ293" s="571">
        <f t="shared" si="34"/>
        <v>-0.9749259869231266</v>
      </c>
      <c r="AR293" s="572">
        <f t="shared" si="35"/>
        <v>0</v>
      </c>
      <c r="AS293" s="573">
        <f t="shared" si="36"/>
        <v>0</v>
      </c>
      <c r="AT293" s="589">
        <f t="shared" si="15"/>
        <v>0</v>
      </c>
      <c r="AU293" s="570">
        <f t="shared" si="16"/>
        <v>0</v>
      </c>
      <c r="AV293" s="571">
        <f t="shared" si="37"/>
        <v>-0.9749259869231266</v>
      </c>
      <c r="AW293" s="572">
        <f t="shared" si="38"/>
        <v>0</v>
      </c>
      <c r="AX293" s="573">
        <f t="shared" si="39"/>
        <v>0</v>
      </c>
      <c r="AY293" s="589">
        <f t="shared" si="17"/>
        <v>0</v>
      </c>
      <c r="AZ293" s="570">
        <f t="shared" si="18"/>
        <v>0</v>
      </c>
      <c r="BA293" s="571">
        <f t="shared" si="40"/>
        <v>-0.9749259869231266</v>
      </c>
      <c r="BB293" s="572">
        <f t="shared" si="41"/>
        <v>0</v>
      </c>
      <c r="BC293" s="573">
        <f t="shared" si="42"/>
        <v>0</v>
      </c>
      <c r="BD293" s="589">
        <f t="shared" si="19"/>
        <v>0</v>
      </c>
      <c r="BE293" s="570">
        <f t="shared" si="20"/>
        <v>0</v>
      </c>
      <c r="BF293" s="571">
        <f t="shared" si="43"/>
        <v>-0.9749259869231266</v>
      </c>
      <c r="BG293" s="572">
        <f t="shared" si="44"/>
        <v>0</v>
      </c>
      <c r="BH293" s="573">
        <f t="shared" si="45"/>
        <v>0</v>
      </c>
      <c r="BI293" s="590">
        <f t="shared" si="46"/>
        <v>4</v>
      </c>
      <c r="BJ293" s="575">
        <f t="shared" si="47"/>
        <v>0.15833333333333333</v>
      </c>
      <c r="BK293" s="575">
        <f t="shared" si="48"/>
        <v>1.968949562406103E-2</v>
      </c>
      <c r="BL293" s="575">
        <f t="shared" si="49"/>
        <v>0</v>
      </c>
      <c r="BM293" s="576">
        <f t="shared" si="50"/>
        <v>0</v>
      </c>
      <c r="BN293" s="591">
        <f t="shared" si="51"/>
        <v>0</v>
      </c>
      <c r="BO293" s="569">
        <f t="shared" si="21"/>
        <v>0</v>
      </c>
      <c r="BP293" s="578">
        <f t="shared" si="22"/>
        <v>0</v>
      </c>
      <c r="BQ293" s="579">
        <f t="shared" si="23"/>
        <v>0</v>
      </c>
      <c r="BR293" s="580">
        <f t="shared" si="52"/>
        <v>0</v>
      </c>
      <c r="BS293" s="577">
        <f t="shared" si="53"/>
        <v>0</v>
      </c>
      <c r="BT293" s="581">
        <f t="shared" si="24"/>
        <v>0</v>
      </c>
      <c r="BU293" s="582">
        <f t="shared" si="25"/>
        <v>0</v>
      </c>
      <c r="BV293" s="2209">
        <f t="shared" si="56"/>
        <v>0</v>
      </c>
      <c r="BW293" s="2210"/>
      <c r="BX293" s="559" t="str">
        <f t="shared" si="54"/>
        <v>D</v>
      </c>
    </row>
    <row r="294" spans="2:76" ht="15">
      <c r="B294" s="2211" t="s">
        <v>663</v>
      </c>
      <c r="C294" s="2212"/>
      <c r="D294" s="547"/>
      <c r="E294" s="548"/>
      <c r="F294" s="549"/>
      <c r="G294" s="550"/>
      <c r="H294" s="549"/>
      <c r="I294" s="551"/>
      <c r="J294" s="549"/>
      <c r="K294" s="552"/>
      <c r="L294" s="549"/>
      <c r="M294" s="551"/>
      <c r="N294" s="549"/>
      <c r="O294" s="551"/>
      <c r="P294" s="549"/>
      <c r="Q294" s="551"/>
      <c r="R294" s="553"/>
      <c r="S294" s="552"/>
      <c r="T294" s="554"/>
      <c r="U294" s="583"/>
      <c r="V294" s="556">
        <f t="shared" si="7"/>
        <v>0</v>
      </c>
      <c r="W294" s="584">
        <f t="shared" si="57"/>
        <v>0</v>
      </c>
      <c r="X294" s="585">
        <f t="shared" si="55"/>
        <v>0</v>
      </c>
      <c r="Y294" s="559" t="str">
        <f t="shared" si="26"/>
        <v>E</v>
      </c>
      <c r="Z294" s="586">
        <f t="shared" si="8"/>
        <v>0</v>
      </c>
      <c r="AA294" s="561">
        <f t="shared" si="8"/>
        <v>0</v>
      </c>
      <c r="AB294" s="587">
        <f t="shared" si="27"/>
        <v>-1</v>
      </c>
      <c r="AC294" s="563">
        <f t="shared" si="27"/>
        <v>-1</v>
      </c>
      <c r="AD294" s="588">
        <f t="shared" si="9"/>
        <v>0</v>
      </c>
      <c r="AE294" s="565">
        <f t="shared" si="9"/>
        <v>0</v>
      </c>
      <c r="AF294" s="566">
        <f t="shared" si="10"/>
        <v>0</v>
      </c>
      <c r="AG294" s="567">
        <f t="shared" si="28"/>
        <v>-1</v>
      </c>
      <c r="AH294" s="566">
        <f t="shared" si="29"/>
        <v>0</v>
      </c>
      <c r="AI294" s="568">
        <f t="shared" si="30"/>
        <v>0</v>
      </c>
      <c r="AJ294" s="589">
        <f t="shared" si="11"/>
        <v>0</v>
      </c>
      <c r="AK294" s="570">
        <f t="shared" si="12"/>
        <v>0</v>
      </c>
      <c r="AL294" s="571">
        <f t="shared" si="31"/>
        <v>-0.9749259869231266</v>
      </c>
      <c r="AM294" s="572">
        <f t="shared" si="32"/>
        <v>0</v>
      </c>
      <c r="AN294" s="573">
        <f t="shared" si="33"/>
        <v>0</v>
      </c>
      <c r="AO294" s="589">
        <f t="shared" si="13"/>
        <v>0</v>
      </c>
      <c r="AP294" s="570">
        <f t="shared" si="14"/>
        <v>0</v>
      </c>
      <c r="AQ294" s="571">
        <f t="shared" si="34"/>
        <v>-0.9749259869231266</v>
      </c>
      <c r="AR294" s="572">
        <f t="shared" si="35"/>
        <v>0</v>
      </c>
      <c r="AS294" s="573">
        <f t="shared" si="36"/>
        <v>0</v>
      </c>
      <c r="AT294" s="589">
        <f t="shared" si="15"/>
        <v>0</v>
      </c>
      <c r="AU294" s="570">
        <f t="shared" si="16"/>
        <v>0</v>
      </c>
      <c r="AV294" s="571">
        <f t="shared" si="37"/>
        <v>-0.9749259869231266</v>
      </c>
      <c r="AW294" s="572">
        <f t="shared" si="38"/>
        <v>0</v>
      </c>
      <c r="AX294" s="573">
        <f t="shared" si="39"/>
        <v>0</v>
      </c>
      <c r="AY294" s="589">
        <f t="shared" si="17"/>
        <v>0</v>
      </c>
      <c r="AZ294" s="570">
        <f t="shared" si="18"/>
        <v>0</v>
      </c>
      <c r="BA294" s="571">
        <f t="shared" si="40"/>
        <v>-0.9749259869231266</v>
      </c>
      <c r="BB294" s="572">
        <f t="shared" si="41"/>
        <v>0</v>
      </c>
      <c r="BC294" s="573">
        <f t="shared" si="42"/>
        <v>0</v>
      </c>
      <c r="BD294" s="589">
        <f t="shared" si="19"/>
        <v>0</v>
      </c>
      <c r="BE294" s="570">
        <f t="shared" si="20"/>
        <v>0</v>
      </c>
      <c r="BF294" s="571">
        <f t="shared" si="43"/>
        <v>-0.9749259869231266</v>
      </c>
      <c r="BG294" s="572">
        <f t="shared" si="44"/>
        <v>0</v>
      </c>
      <c r="BH294" s="573">
        <f t="shared" si="45"/>
        <v>0</v>
      </c>
      <c r="BI294" s="590">
        <f t="shared" si="46"/>
        <v>4</v>
      </c>
      <c r="BJ294" s="575">
        <f t="shared" si="47"/>
        <v>0.15833333333333333</v>
      </c>
      <c r="BK294" s="575">
        <f t="shared" si="48"/>
        <v>1.968949562406103E-2</v>
      </c>
      <c r="BL294" s="575">
        <f t="shared" si="49"/>
        <v>0</v>
      </c>
      <c r="BM294" s="576">
        <f t="shared" si="50"/>
        <v>0</v>
      </c>
      <c r="BN294" s="591">
        <f t="shared" si="51"/>
        <v>0</v>
      </c>
      <c r="BO294" s="569">
        <f t="shared" si="21"/>
        <v>0</v>
      </c>
      <c r="BP294" s="578">
        <f t="shared" si="22"/>
        <v>0</v>
      </c>
      <c r="BQ294" s="579">
        <f t="shared" si="23"/>
        <v>0</v>
      </c>
      <c r="BR294" s="580">
        <f t="shared" si="52"/>
        <v>0</v>
      </c>
      <c r="BS294" s="577">
        <f t="shared" si="53"/>
        <v>0</v>
      </c>
      <c r="BT294" s="581">
        <f t="shared" si="24"/>
        <v>0</v>
      </c>
      <c r="BU294" s="582">
        <f t="shared" si="25"/>
        <v>0</v>
      </c>
      <c r="BV294" s="2209">
        <f t="shared" si="56"/>
        <v>0</v>
      </c>
      <c r="BW294" s="2210"/>
      <c r="BX294" s="559" t="str">
        <f t="shared" si="54"/>
        <v>E</v>
      </c>
    </row>
    <row r="295" spans="2:76" ht="15">
      <c r="B295" s="2211" t="s">
        <v>664</v>
      </c>
      <c r="C295" s="2212"/>
      <c r="D295" s="547"/>
      <c r="E295" s="548"/>
      <c r="F295" s="549"/>
      <c r="G295" s="550"/>
      <c r="H295" s="549"/>
      <c r="I295" s="551"/>
      <c r="J295" s="549"/>
      <c r="K295" s="552"/>
      <c r="L295" s="549"/>
      <c r="M295" s="551"/>
      <c r="N295" s="549"/>
      <c r="O295" s="551"/>
      <c r="P295" s="549"/>
      <c r="Q295" s="551"/>
      <c r="R295" s="553"/>
      <c r="S295" s="552"/>
      <c r="T295" s="554"/>
      <c r="U295" s="583"/>
      <c r="V295" s="556">
        <f t="shared" si="7"/>
        <v>0</v>
      </c>
      <c r="W295" s="584">
        <f t="shared" si="57"/>
        <v>0</v>
      </c>
      <c r="X295" s="585">
        <f t="shared" si="55"/>
        <v>0</v>
      </c>
      <c r="Y295" s="559" t="str">
        <f t="shared" si="26"/>
        <v>F</v>
      </c>
      <c r="Z295" s="586">
        <f t="shared" si="8"/>
        <v>0</v>
      </c>
      <c r="AA295" s="561">
        <f t="shared" si="8"/>
        <v>0</v>
      </c>
      <c r="AB295" s="587">
        <f t="shared" si="27"/>
        <v>-1</v>
      </c>
      <c r="AC295" s="563">
        <f t="shared" si="27"/>
        <v>-1</v>
      </c>
      <c r="AD295" s="588">
        <f t="shared" si="9"/>
        <v>0</v>
      </c>
      <c r="AE295" s="565">
        <f t="shared" si="9"/>
        <v>0</v>
      </c>
      <c r="AF295" s="566">
        <f t="shared" si="10"/>
        <v>0</v>
      </c>
      <c r="AG295" s="567">
        <f t="shared" si="28"/>
        <v>-1</v>
      </c>
      <c r="AH295" s="566">
        <f t="shared" si="29"/>
        <v>0</v>
      </c>
      <c r="AI295" s="568">
        <f t="shared" si="30"/>
        <v>0</v>
      </c>
      <c r="AJ295" s="589">
        <f t="shared" si="11"/>
        <v>0</v>
      </c>
      <c r="AK295" s="570">
        <f t="shared" si="12"/>
        <v>0</v>
      </c>
      <c r="AL295" s="571">
        <f t="shared" si="31"/>
        <v>-0.9749259869231266</v>
      </c>
      <c r="AM295" s="572">
        <f t="shared" si="32"/>
        <v>0</v>
      </c>
      <c r="AN295" s="573">
        <f t="shared" si="33"/>
        <v>0</v>
      </c>
      <c r="AO295" s="589">
        <f t="shared" si="13"/>
        <v>0</v>
      </c>
      <c r="AP295" s="570">
        <f t="shared" si="14"/>
        <v>0</v>
      </c>
      <c r="AQ295" s="571">
        <f t="shared" si="34"/>
        <v>-0.9749259869231266</v>
      </c>
      <c r="AR295" s="572">
        <f t="shared" si="35"/>
        <v>0</v>
      </c>
      <c r="AS295" s="573">
        <f t="shared" si="36"/>
        <v>0</v>
      </c>
      <c r="AT295" s="589">
        <f t="shared" si="15"/>
        <v>0</v>
      </c>
      <c r="AU295" s="570">
        <f t="shared" si="16"/>
        <v>0</v>
      </c>
      <c r="AV295" s="571">
        <f t="shared" si="37"/>
        <v>-0.9749259869231266</v>
      </c>
      <c r="AW295" s="572">
        <f t="shared" si="38"/>
        <v>0</v>
      </c>
      <c r="AX295" s="573">
        <f t="shared" si="39"/>
        <v>0</v>
      </c>
      <c r="AY295" s="589">
        <f t="shared" si="17"/>
        <v>0</v>
      </c>
      <c r="AZ295" s="570">
        <f t="shared" si="18"/>
        <v>0</v>
      </c>
      <c r="BA295" s="571">
        <f t="shared" si="40"/>
        <v>-0.9749259869231266</v>
      </c>
      <c r="BB295" s="572">
        <f t="shared" si="41"/>
        <v>0</v>
      </c>
      <c r="BC295" s="573">
        <f t="shared" si="42"/>
        <v>0</v>
      </c>
      <c r="BD295" s="589">
        <f t="shared" si="19"/>
        <v>0</v>
      </c>
      <c r="BE295" s="570">
        <f t="shared" si="20"/>
        <v>0</v>
      </c>
      <c r="BF295" s="571">
        <f t="shared" si="43"/>
        <v>-0.9749259869231266</v>
      </c>
      <c r="BG295" s="572">
        <f t="shared" si="44"/>
        <v>0</v>
      </c>
      <c r="BH295" s="573">
        <f t="shared" si="45"/>
        <v>0</v>
      </c>
      <c r="BI295" s="590">
        <f t="shared" si="46"/>
        <v>4</v>
      </c>
      <c r="BJ295" s="575">
        <f t="shared" si="47"/>
        <v>0.15833333333333333</v>
      </c>
      <c r="BK295" s="575">
        <f t="shared" si="48"/>
        <v>1.968949562406103E-2</v>
      </c>
      <c r="BL295" s="575">
        <f t="shared" si="49"/>
        <v>0</v>
      </c>
      <c r="BM295" s="576">
        <f t="shared" si="50"/>
        <v>0</v>
      </c>
      <c r="BN295" s="591">
        <f t="shared" si="51"/>
        <v>0</v>
      </c>
      <c r="BO295" s="569">
        <f t="shared" si="21"/>
        <v>0</v>
      </c>
      <c r="BP295" s="578">
        <f t="shared" si="22"/>
        <v>0</v>
      </c>
      <c r="BQ295" s="579">
        <f t="shared" si="23"/>
        <v>0</v>
      </c>
      <c r="BR295" s="580">
        <f t="shared" si="52"/>
        <v>0</v>
      </c>
      <c r="BS295" s="577">
        <f t="shared" si="53"/>
        <v>0</v>
      </c>
      <c r="BT295" s="581">
        <f t="shared" si="24"/>
        <v>0</v>
      </c>
      <c r="BU295" s="582">
        <f t="shared" si="25"/>
        <v>0</v>
      </c>
      <c r="BV295" s="2209">
        <f t="shared" si="56"/>
        <v>0</v>
      </c>
      <c r="BW295" s="2210"/>
      <c r="BX295" s="559" t="str">
        <f t="shared" si="54"/>
        <v>F</v>
      </c>
    </row>
    <row r="296" spans="2:76" ht="15">
      <c r="B296" s="2211" t="s">
        <v>665</v>
      </c>
      <c r="C296" s="2212"/>
      <c r="D296" s="547"/>
      <c r="E296" s="548"/>
      <c r="F296" s="549"/>
      <c r="G296" s="550"/>
      <c r="H296" s="549"/>
      <c r="I296" s="551"/>
      <c r="J296" s="549"/>
      <c r="K296" s="552"/>
      <c r="L296" s="549"/>
      <c r="M296" s="551"/>
      <c r="N296" s="549"/>
      <c r="O296" s="551"/>
      <c r="P296" s="549"/>
      <c r="Q296" s="551"/>
      <c r="R296" s="553"/>
      <c r="S296" s="552"/>
      <c r="T296" s="554"/>
      <c r="U296" s="583"/>
      <c r="V296" s="556">
        <f t="shared" si="7"/>
        <v>0</v>
      </c>
      <c r="W296" s="584">
        <f t="shared" si="57"/>
        <v>0</v>
      </c>
      <c r="X296" s="585">
        <f t="shared" si="55"/>
        <v>0</v>
      </c>
      <c r="Y296" s="559" t="str">
        <f t="shared" si="26"/>
        <v>G</v>
      </c>
      <c r="Z296" s="586">
        <f t="shared" si="8"/>
        <v>0</v>
      </c>
      <c r="AA296" s="561">
        <f t="shared" si="8"/>
        <v>0</v>
      </c>
      <c r="AB296" s="587">
        <f t="shared" si="27"/>
        <v>-1</v>
      </c>
      <c r="AC296" s="563">
        <f t="shared" si="27"/>
        <v>-1</v>
      </c>
      <c r="AD296" s="588">
        <f t="shared" si="9"/>
        <v>0</v>
      </c>
      <c r="AE296" s="565">
        <f t="shared" si="9"/>
        <v>0</v>
      </c>
      <c r="AF296" s="566">
        <f t="shared" si="10"/>
        <v>0</v>
      </c>
      <c r="AG296" s="567">
        <f t="shared" si="28"/>
        <v>-1</v>
      </c>
      <c r="AH296" s="566">
        <f t="shared" si="29"/>
        <v>0</v>
      </c>
      <c r="AI296" s="568">
        <f t="shared" si="30"/>
        <v>0</v>
      </c>
      <c r="AJ296" s="589">
        <f t="shared" si="11"/>
        <v>0</v>
      </c>
      <c r="AK296" s="570">
        <f t="shared" si="12"/>
        <v>0</v>
      </c>
      <c r="AL296" s="571">
        <f t="shared" si="31"/>
        <v>-0.9749259869231266</v>
      </c>
      <c r="AM296" s="572">
        <f t="shared" si="32"/>
        <v>0</v>
      </c>
      <c r="AN296" s="573">
        <f t="shared" si="33"/>
        <v>0</v>
      </c>
      <c r="AO296" s="589">
        <f t="shared" si="13"/>
        <v>0</v>
      </c>
      <c r="AP296" s="570">
        <f t="shared" si="14"/>
        <v>0</v>
      </c>
      <c r="AQ296" s="571">
        <f t="shared" si="34"/>
        <v>-0.9749259869231266</v>
      </c>
      <c r="AR296" s="572">
        <f t="shared" si="35"/>
        <v>0</v>
      </c>
      <c r="AS296" s="573">
        <f t="shared" si="36"/>
        <v>0</v>
      </c>
      <c r="AT296" s="589">
        <f t="shared" si="15"/>
        <v>0</v>
      </c>
      <c r="AU296" s="570">
        <f t="shared" si="16"/>
        <v>0</v>
      </c>
      <c r="AV296" s="571">
        <f t="shared" si="37"/>
        <v>-0.9749259869231266</v>
      </c>
      <c r="AW296" s="572">
        <f t="shared" si="38"/>
        <v>0</v>
      </c>
      <c r="AX296" s="573">
        <f t="shared" si="39"/>
        <v>0</v>
      </c>
      <c r="AY296" s="589">
        <f t="shared" si="17"/>
        <v>0</v>
      </c>
      <c r="AZ296" s="570">
        <f t="shared" si="18"/>
        <v>0</v>
      </c>
      <c r="BA296" s="571">
        <f t="shared" si="40"/>
        <v>-0.9749259869231266</v>
      </c>
      <c r="BB296" s="572">
        <f t="shared" si="41"/>
        <v>0</v>
      </c>
      <c r="BC296" s="573">
        <f t="shared" si="42"/>
        <v>0</v>
      </c>
      <c r="BD296" s="589">
        <f t="shared" si="19"/>
        <v>0</v>
      </c>
      <c r="BE296" s="570">
        <f t="shared" si="20"/>
        <v>0</v>
      </c>
      <c r="BF296" s="571">
        <f t="shared" si="43"/>
        <v>-0.9749259869231266</v>
      </c>
      <c r="BG296" s="572">
        <f t="shared" si="44"/>
        <v>0</v>
      </c>
      <c r="BH296" s="573">
        <f t="shared" si="45"/>
        <v>0</v>
      </c>
      <c r="BI296" s="590">
        <f t="shared" si="46"/>
        <v>4</v>
      </c>
      <c r="BJ296" s="575">
        <f t="shared" si="47"/>
        <v>0.15833333333333333</v>
      </c>
      <c r="BK296" s="575">
        <f t="shared" si="48"/>
        <v>1.968949562406103E-2</v>
      </c>
      <c r="BL296" s="575">
        <f t="shared" si="49"/>
        <v>0</v>
      </c>
      <c r="BM296" s="576">
        <f t="shared" si="50"/>
        <v>0</v>
      </c>
      <c r="BN296" s="591">
        <f t="shared" si="51"/>
        <v>0</v>
      </c>
      <c r="BO296" s="569">
        <f t="shared" si="21"/>
        <v>0</v>
      </c>
      <c r="BP296" s="578">
        <f t="shared" si="22"/>
        <v>0</v>
      </c>
      <c r="BQ296" s="579">
        <f t="shared" si="23"/>
        <v>0</v>
      </c>
      <c r="BR296" s="580">
        <f t="shared" si="52"/>
        <v>0</v>
      </c>
      <c r="BS296" s="577">
        <f t="shared" si="53"/>
        <v>0</v>
      </c>
      <c r="BT296" s="581">
        <f t="shared" si="24"/>
        <v>0</v>
      </c>
      <c r="BU296" s="582">
        <f t="shared" si="25"/>
        <v>0</v>
      </c>
      <c r="BV296" s="2209">
        <f t="shared" si="56"/>
        <v>0</v>
      </c>
      <c r="BW296" s="2210"/>
      <c r="BX296" s="559" t="str">
        <f t="shared" si="54"/>
        <v>G</v>
      </c>
    </row>
    <row r="297" spans="2:76" ht="15">
      <c r="B297" s="2211" t="s">
        <v>666</v>
      </c>
      <c r="C297" s="2212"/>
      <c r="D297" s="547"/>
      <c r="E297" s="548"/>
      <c r="F297" s="549"/>
      <c r="G297" s="550"/>
      <c r="H297" s="549"/>
      <c r="I297" s="551"/>
      <c r="J297" s="549"/>
      <c r="K297" s="552"/>
      <c r="L297" s="549"/>
      <c r="M297" s="551"/>
      <c r="N297" s="549"/>
      <c r="O297" s="551"/>
      <c r="P297" s="549"/>
      <c r="Q297" s="551"/>
      <c r="R297" s="553"/>
      <c r="S297" s="552"/>
      <c r="T297" s="554"/>
      <c r="U297" s="583"/>
      <c r="V297" s="556">
        <f t="shared" si="7"/>
        <v>0</v>
      </c>
      <c r="W297" s="584">
        <f t="shared" si="57"/>
        <v>0</v>
      </c>
      <c r="X297" s="585">
        <f t="shared" si="55"/>
        <v>0</v>
      </c>
      <c r="Y297" s="559" t="str">
        <f t="shared" si="26"/>
        <v>H</v>
      </c>
      <c r="Z297" s="586">
        <f t="shared" si="8"/>
        <v>0</v>
      </c>
      <c r="AA297" s="561">
        <f t="shared" si="8"/>
        <v>0</v>
      </c>
      <c r="AB297" s="587">
        <f t="shared" si="27"/>
        <v>-1</v>
      </c>
      <c r="AC297" s="563">
        <f t="shared" si="27"/>
        <v>-1</v>
      </c>
      <c r="AD297" s="588">
        <f t="shared" si="9"/>
        <v>0</v>
      </c>
      <c r="AE297" s="565">
        <f t="shared" si="9"/>
        <v>0</v>
      </c>
      <c r="AF297" s="566">
        <f t="shared" si="10"/>
        <v>0</v>
      </c>
      <c r="AG297" s="567">
        <f t="shared" si="28"/>
        <v>-1</v>
      </c>
      <c r="AH297" s="566">
        <f t="shared" si="29"/>
        <v>0</v>
      </c>
      <c r="AI297" s="568">
        <f t="shared" si="30"/>
        <v>0</v>
      </c>
      <c r="AJ297" s="589">
        <f t="shared" si="11"/>
        <v>0</v>
      </c>
      <c r="AK297" s="570">
        <f t="shared" si="12"/>
        <v>0</v>
      </c>
      <c r="AL297" s="571">
        <f t="shared" si="31"/>
        <v>-0.9749259869231266</v>
      </c>
      <c r="AM297" s="572">
        <f t="shared" si="32"/>
        <v>0</v>
      </c>
      <c r="AN297" s="573">
        <f t="shared" si="33"/>
        <v>0</v>
      </c>
      <c r="AO297" s="589">
        <f t="shared" si="13"/>
        <v>0</v>
      </c>
      <c r="AP297" s="570">
        <f t="shared" si="14"/>
        <v>0</v>
      </c>
      <c r="AQ297" s="571">
        <f t="shared" si="34"/>
        <v>-0.9749259869231266</v>
      </c>
      <c r="AR297" s="572">
        <f t="shared" si="35"/>
        <v>0</v>
      </c>
      <c r="AS297" s="573">
        <f t="shared" si="36"/>
        <v>0</v>
      </c>
      <c r="AT297" s="589">
        <f t="shared" si="15"/>
        <v>0</v>
      </c>
      <c r="AU297" s="570">
        <f t="shared" si="16"/>
        <v>0</v>
      </c>
      <c r="AV297" s="571">
        <f t="shared" si="37"/>
        <v>-0.9749259869231266</v>
      </c>
      <c r="AW297" s="572">
        <f t="shared" si="38"/>
        <v>0</v>
      </c>
      <c r="AX297" s="573">
        <f t="shared" si="39"/>
        <v>0</v>
      </c>
      <c r="AY297" s="589">
        <f t="shared" si="17"/>
        <v>0</v>
      </c>
      <c r="AZ297" s="570">
        <f t="shared" si="18"/>
        <v>0</v>
      </c>
      <c r="BA297" s="571">
        <f t="shared" si="40"/>
        <v>-0.9749259869231266</v>
      </c>
      <c r="BB297" s="572">
        <f t="shared" si="41"/>
        <v>0</v>
      </c>
      <c r="BC297" s="573">
        <f t="shared" si="42"/>
        <v>0</v>
      </c>
      <c r="BD297" s="589">
        <f t="shared" si="19"/>
        <v>0</v>
      </c>
      <c r="BE297" s="570">
        <f t="shared" si="20"/>
        <v>0</v>
      </c>
      <c r="BF297" s="571">
        <f t="shared" si="43"/>
        <v>-0.9749259869231266</v>
      </c>
      <c r="BG297" s="572">
        <f t="shared" si="44"/>
        <v>0</v>
      </c>
      <c r="BH297" s="573">
        <f t="shared" si="45"/>
        <v>0</v>
      </c>
      <c r="BI297" s="590">
        <f t="shared" si="46"/>
        <v>4</v>
      </c>
      <c r="BJ297" s="575">
        <f t="shared" si="47"/>
        <v>0.15833333333333333</v>
      </c>
      <c r="BK297" s="575">
        <f t="shared" si="48"/>
        <v>1.968949562406103E-2</v>
      </c>
      <c r="BL297" s="575">
        <f t="shared" si="49"/>
        <v>0</v>
      </c>
      <c r="BM297" s="576">
        <f t="shared" si="50"/>
        <v>0</v>
      </c>
      <c r="BN297" s="591">
        <f t="shared" si="51"/>
        <v>0</v>
      </c>
      <c r="BO297" s="569">
        <f t="shared" si="21"/>
        <v>0</v>
      </c>
      <c r="BP297" s="578">
        <f t="shared" si="22"/>
        <v>0</v>
      </c>
      <c r="BQ297" s="579">
        <f t="shared" si="23"/>
        <v>0</v>
      </c>
      <c r="BR297" s="580">
        <f t="shared" si="52"/>
        <v>0</v>
      </c>
      <c r="BS297" s="577">
        <f t="shared" si="53"/>
        <v>0</v>
      </c>
      <c r="BT297" s="581">
        <f t="shared" si="24"/>
        <v>0</v>
      </c>
      <c r="BU297" s="582">
        <f t="shared" si="25"/>
        <v>0</v>
      </c>
      <c r="BV297" s="2209">
        <f t="shared" si="56"/>
        <v>0</v>
      </c>
      <c r="BW297" s="2210"/>
      <c r="BX297" s="559" t="str">
        <f t="shared" si="54"/>
        <v>H</v>
      </c>
    </row>
    <row r="298" spans="2:76" ht="15">
      <c r="B298" s="2211" t="s">
        <v>667</v>
      </c>
      <c r="C298" s="2212"/>
      <c r="D298" s="547"/>
      <c r="E298" s="548"/>
      <c r="F298" s="549"/>
      <c r="G298" s="550"/>
      <c r="H298" s="549"/>
      <c r="I298" s="551"/>
      <c r="J298" s="549"/>
      <c r="K298" s="552"/>
      <c r="L298" s="549"/>
      <c r="M298" s="551"/>
      <c r="N298" s="549"/>
      <c r="O298" s="551"/>
      <c r="P298" s="549"/>
      <c r="Q298" s="551"/>
      <c r="R298" s="553"/>
      <c r="S298" s="552"/>
      <c r="T298" s="554"/>
      <c r="U298" s="583"/>
      <c r="V298" s="556">
        <f t="shared" si="7"/>
        <v>0</v>
      </c>
      <c r="W298" s="584">
        <f t="shared" si="57"/>
        <v>0</v>
      </c>
      <c r="X298" s="585">
        <f t="shared" si="55"/>
        <v>0</v>
      </c>
      <c r="Y298" s="559" t="str">
        <f t="shared" si="26"/>
        <v>I</v>
      </c>
      <c r="Z298" s="586">
        <f t="shared" si="8"/>
        <v>0</v>
      </c>
      <c r="AA298" s="561">
        <f t="shared" si="8"/>
        <v>0</v>
      </c>
      <c r="AB298" s="587">
        <f t="shared" si="27"/>
        <v>-1</v>
      </c>
      <c r="AC298" s="563">
        <f t="shared" si="27"/>
        <v>-1</v>
      </c>
      <c r="AD298" s="588">
        <f t="shared" si="9"/>
        <v>0</v>
      </c>
      <c r="AE298" s="565">
        <f t="shared" si="9"/>
        <v>0</v>
      </c>
      <c r="AF298" s="566">
        <f t="shared" si="10"/>
        <v>0</v>
      </c>
      <c r="AG298" s="567">
        <f t="shared" si="28"/>
        <v>-1</v>
      </c>
      <c r="AH298" s="566">
        <f t="shared" si="29"/>
        <v>0</v>
      </c>
      <c r="AI298" s="568">
        <f t="shared" si="30"/>
        <v>0</v>
      </c>
      <c r="AJ298" s="589">
        <f t="shared" si="11"/>
        <v>0</v>
      </c>
      <c r="AK298" s="570">
        <f t="shared" si="12"/>
        <v>0</v>
      </c>
      <c r="AL298" s="571">
        <f t="shared" si="31"/>
        <v>-0.9749259869231266</v>
      </c>
      <c r="AM298" s="572">
        <f t="shared" si="32"/>
        <v>0</v>
      </c>
      <c r="AN298" s="573">
        <f t="shared" si="33"/>
        <v>0</v>
      </c>
      <c r="AO298" s="589">
        <f t="shared" si="13"/>
        <v>0</v>
      </c>
      <c r="AP298" s="570">
        <f t="shared" si="14"/>
        <v>0</v>
      </c>
      <c r="AQ298" s="571">
        <f t="shared" si="34"/>
        <v>-0.9749259869231266</v>
      </c>
      <c r="AR298" s="572">
        <f t="shared" si="35"/>
        <v>0</v>
      </c>
      <c r="AS298" s="573">
        <f t="shared" si="36"/>
        <v>0</v>
      </c>
      <c r="AT298" s="589">
        <f t="shared" si="15"/>
        <v>0</v>
      </c>
      <c r="AU298" s="570">
        <f t="shared" si="16"/>
        <v>0</v>
      </c>
      <c r="AV298" s="571">
        <f t="shared" si="37"/>
        <v>-0.9749259869231266</v>
      </c>
      <c r="AW298" s="572">
        <f t="shared" si="38"/>
        <v>0</v>
      </c>
      <c r="AX298" s="573">
        <f t="shared" si="39"/>
        <v>0</v>
      </c>
      <c r="AY298" s="589">
        <f t="shared" si="17"/>
        <v>0</v>
      </c>
      <c r="AZ298" s="570">
        <f t="shared" si="18"/>
        <v>0</v>
      </c>
      <c r="BA298" s="571">
        <f t="shared" si="40"/>
        <v>-0.9749259869231266</v>
      </c>
      <c r="BB298" s="572">
        <f t="shared" si="41"/>
        <v>0</v>
      </c>
      <c r="BC298" s="573">
        <f t="shared" si="42"/>
        <v>0</v>
      </c>
      <c r="BD298" s="589">
        <f t="shared" si="19"/>
        <v>0</v>
      </c>
      <c r="BE298" s="570">
        <f t="shared" si="20"/>
        <v>0</v>
      </c>
      <c r="BF298" s="571">
        <f t="shared" si="43"/>
        <v>-0.9749259869231266</v>
      </c>
      <c r="BG298" s="572">
        <f t="shared" si="44"/>
        <v>0</v>
      </c>
      <c r="BH298" s="573">
        <f t="shared" si="45"/>
        <v>0</v>
      </c>
      <c r="BI298" s="590">
        <f t="shared" si="46"/>
        <v>4</v>
      </c>
      <c r="BJ298" s="575">
        <f t="shared" si="47"/>
        <v>0.15833333333333333</v>
      </c>
      <c r="BK298" s="575">
        <f t="shared" si="48"/>
        <v>1.968949562406103E-2</v>
      </c>
      <c r="BL298" s="575">
        <f t="shared" si="49"/>
        <v>0</v>
      </c>
      <c r="BM298" s="576">
        <f t="shared" si="50"/>
        <v>0</v>
      </c>
      <c r="BN298" s="591">
        <f t="shared" si="51"/>
        <v>0</v>
      </c>
      <c r="BO298" s="569">
        <f t="shared" si="21"/>
        <v>0</v>
      </c>
      <c r="BP298" s="578">
        <f t="shared" si="22"/>
        <v>0</v>
      </c>
      <c r="BQ298" s="579">
        <f t="shared" si="23"/>
        <v>0</v>
      </c>
      <c r="BR298" s="580">
        <f t="shared" si="52"/>
        <v>0</v>
      </c>
      <c r="BS298" s="577">
        <f t="shared" si="53"/>
        <v>0</v>
      </c>
      <c r="BT298" s="581">
        <f t="shared" si="24"/>
        <v>0</v>
      </c>
      <c r="BU298" s="582">
        <f t="shared" si="25"/>
        <v>0</v>
      </c>
      <c r="BV298" s="2209">
        <f t="shared" si="56"/>
        <v>0</v>
      </c>
      <c r="BW298" s="2210"/>
      <c r="BX298" s="559" t="str">
        <f t="shared" si="54"/>
        <v>I</v>
      </c>
    </row>
    <row r="299" spans="2:76" ht="15">
      <c r="B299" s="2211" t="s">
        <v>668</v>
      </c>
      <c r="C299" s="2212"/>
      <c r="D299" s="547"/>
      <c r="E299" s="548"/>
      <c r="F299" s="549"/>
      <c r="G299" s="550"/>
      <c r="H299" s="549"/>
      <c r="I299" s="551"/>
      <c r="J299" s="549"/>
      <c r="K299" s="552"/>
      <c r="L299" s="549"/>
      <c r="M299" s="551"/>
      <c r="N299" s="549"/>
      <c r="O299" s="551"/>
      <c r="P299" s="549"/>
      <c r="Q299" s="551"/>
      <c r="R299" s="553"/>
      <c r="S299" s="552"/>
      <c r="T299" s="554"/>
      <c r="U299" s="583"/>
      <c r="V299" s="556">
        <f t="shared" si="7"/>
        <v>0</v>
      </c>
      <c r="W299" s="584">
        <f t="shared" si="57"/>
        <v>0</v>
      </c>
      <c r="X299" s="585">
        <f t="shared" si="55"/>
        <v>0</v>
      </c>
      <c r="Y299" s="559" t="str">
        <f t="shared" si="26"/>
        <v>J</v>
      </c>
      <c r="Z299" s="592">
        <f t="shared" si="8"/>
        <v>0</v>
      </c>
      <c r="AA299" s="561">
        <f t="shared" si="8"/>
        <v>0</v>
      </c>
      <c r="AB299" s="593">
        <f t="shared" si="27"/>
        <v>-1</v>
      </c>
      <c r="AC299" s="563">
        <f t="shared" si="27"/>
        <v>-1</v>
      </c>
      <c r="AD299" s="594">
        <f t="shared" si="9"/>
        <v>0</v>
      </c>
      <c r="AE299" s="565">
        <f t="shared" si="9"/>
        <v>0</v>
      </c>
      <c r="AF299" s="566">
        <f t="shared" si="10"/>
        <v>0</v>
      </c>
      <c r="AG299" s="567">
        <f t="shared" si="28"/>
        <v>-1</v>
      </c>
      <c r="AH299" s="566">
        <f t="shared" si="29"/>
        <v>0</v>
      </c>
      <c r="AI299" s="568">
        <f t="shared" si="30"/>
        <v>0</v>
      </c>
      <c r="AJ299" s="589">
        <f t="shared" si="11"/>
        <v>0</v>
      </c>
      <c r="AK299" s="570">
        <f t="shared" si="12"/>
        <v>0</v>
      </c>
      <c r="AL299" s="571">
        <f t="shared" si="31"/>
        <v>-0.9749259869231266</v>
      </c>
      <c r="AM299" s="572">
        <f t="shared" si="32"/>
        <v>0</v>
      </c>
      <c r="AN299" s="573">
        <f t="shared" si="33"/>
        <v>0</v>
      </c>
      <c r="AO299" s="589">
        <f t="shared" si="13"/>
        <v>0</v>
      </c>
      <c r="AP299" s="570">
        <f t="shared" si="14"/>
        <v>0</v>
      </c>
      <c r="AQ299" s="571">
        <f t="shared" si="34"/>
        <v>-0.9749259869231266</v>
      </c>
      <c r="AR299" s="572">
        <f t="shared" si="35"/>
        <v>0</v>
      </c>
      <c r="AS299" s="573">
        <f t="shared" si="36"/>
        <v>0</v>
      </c>
      <c r="AT299" s="589">
        <f t="shared" si="15"/>
        <v>0</v>
      </c>
      <c r="AU299" s="570">
        <f t="shared" si="16"/>
        <v>0</v>
      </c>
      <c r="AV299" s="571">
        <f t="shared" si="37"/>
        <v>-0.9749259869231266</v>
      </c>
      <c r="AW299" s="572">
        <f t="shared" si="38"/>
        <v>0</v>
      </c>
      <c r="AX299" s="573">
        <f t="shared" si="39"/>
        <v>0</v>
      </c>
      <c r="AY299" s="589">
        <f t="shared" si="17"/>
        <v>0</v>
      </c>
      <c r="AZ299" s="570">
        <f t="shared" si="18"/>
        <v>0</v>
      </c>
      <c r="BA299" s="571">
        <f t="shared" si="40"/>
        <v>-0.9749259869231266</v>
      </c>
      <c r="BB299" s="572">
        <f t="shared" si="41"/>
        <v>0</v>
      </c>
      <c r="BC299" s="573">
        <f t="shared" si="42"/>
        <v>0</v>
      </c>
      <c r="BD299" s="589">
        <f t="shared" si="19"/>
        <v>0</v>
      </c>
      <c r="BE299" s="570">
        <f t="shared" si="20"/>
        <v>0</v>
      </c>
      <c r="BF299" s="571">
        <f t="shared" si="43"/>
        <v>-0.9749259869231266</v>
      </c>
      <c r="BG299" s="572">
        <f t="shared" si="44"/>
        <v>0</v>
      </c>
      <c r="BH299" s="573">
        <f t="shared" si="45"/>
        <v>0</v>
      </c>
      <c r="BI299" s="590">
        <f t="shared" si="46"/>
        <v>4</v>
      </c>
      <c r="BJ299" s="575">
        <f t="shared" si="47"/>
        <v>0.15833333333333333</v>
      </c>
      <c r="BK299" s="575">
        <f t="shared" si="48"/>
        <v>1.968949562406103E-2</v>
      </c>
      <c r="BL299" s="575">
        <f t="shared" si="49"/>
        <v>0</v>
      </c>
      <c r="BM299" s="576">
        <f t="shared" si="50"/>
        <v>0</v>
      </c>
      <c r="BN299" s="591">
        <f t="shared" si="51"/>
        <v>0</v>
      </c>
      <c r="BO299" s="569">
        <f t="shared" si="21"/>
        <v>0</v>
      </c>
      <c r="BP299" s="578">
        <f t="shared" si="22"/>
        <v>0</v>
      </c>
      <c r="BQ299" s="579">
        <f t="shared" si="23"/>
        <v>0</v>
      </c>
      <c r="BR299" s="580">
        <f t="shared" si="52"/>
        <v>0</v>
      </c>
      <c r="BS299" s="577">
        <f t="shared" si="53"/>
        <v>0</v>
      </c>
      <c r="BT299" s="581">
        <f t="shared" si="24"/>
        <v>0</v>
      </c>
      <c r="BU299" s="582">
        <f t="shared" si="25"/>
        <v>0</v>
      </c>
      <c r="BV299" s="2209">
        <f t="shared" si="56"/>
        <v>0</v>
      </c>
      <c r="BW299" s="2210"/>
      <c r="BX299" s="559" t="str">
        <f t="shared" si="54"/>
        <v>J</v>
      </c>
    </row>
    <row r="305" ht="15.75" customHeight="1"/>
    <row r="306" ht="12.75" customHeight="1"/>
  </sheetData>
  <sheetProtection algorithmName="SHA-512" hashValue="5Mafj6Y4vqeTti9bES75aPNsUpNUZj9asdW5dUhu2AHTNFrAZR1QNVZfXfGZ3GAfVSXvdAhM8/s6psgcR3QC4A==" saltValue="2ZszPxsJ471+ulYSPHOS/A==" spinCount="100000" sheet="1" selectLockedCells="1"/>
  <mergeCells count="519">
    <mergeCell ref="B299:C299"/>
    <mergeCell ref="BV299:BW299"/>
    <mergeCell ref="B296:C296"/>
    <mergeCell ref="BV296:BW296"/>
    <mergeCell ref="B297:C297"/>
    <mergeCell ref="BV297:BW297"/>
    <mergeCell ref="B298:C298"/>
    <mergeCell ref="BV298:BW298"/>
    <mergeCell ref="B293:C293"/>
    <mergeCell ref="BV293:BW293"/>
    <mergeCell ref="B294:C294"/>
    <mergeCell ref="BV294:BW294"/>
    <mergeCell ref="B295:C295"/>
    <mergeCell ref="BV295:BW295"/>
    <mergeCell ref="B290:C290"/>
    <mergeCell ref="BV290:BW290"/>
    <mergeCell ref="B291:C291"/>
    <mergeCell ref="BV291:BW291"/>
    <mergeCell ref="B292:C292"/>
    <mergeCell ref="BV292:BW292"/>
    <mergeCell ref="AW288:AX288"/>
    <mergeCell ref="BB288:BC288"/>
    <mergeCell ref="BG288:BH288"/>
    <mergeCell ref="BM288:BN288"/>
    <mergeCell ref="BR288:BS288"/>
    <mergeCell ref="BV288:BW288"/>
    <mergeCell ref="BO287:BS287"/>
    <mergeCell ref="BV287:BW287"/>
    <mergeCell ref="B288:C288"/>
    <mergeCell ref="V288:W288"/>
    <mergeCell ref="AH288:AI288"/>
    <mergeCell ref="AM288:AN288"/>
    <mergeCell ref="AR288:AS288"/>
    <mergeCell ref="Z287:AA287"/>
    <mergeCell ref="AB287:AC287"/>
    <mergeCell ref="AD287:AI287"/>
    <mergeCell ref="AJ287:AN287"/>
    <mergeCell ref="AO287:AS287"/>
    <mergeCell ref="AT287:AX287"/>
    <mergeCell ref="B287:C287"/>
    <mergeCell ref="D287:D288"/>
    <mergeCell ref="E287:E288"/>
    <mergeCell ref="F287:F289"/>
    <mergeCell ref="G287:G289"/>
    <mergeCell ref="B289:C289"/>
    <mergeCell ref="AY287:BC287"/>
    <mergeCell ref="BD287:BH287"/>
    <mergeCell ref="BI287:BN287"/>
    <mergeCell ref="BV289:BW289"/>
    <mergeCell ref="R278:T278"/>
    <mergeCell ref="H285:Q285"/>
    <mergeCell ref="R285:U285"/>
    <mergeCell ref="V285:W285"/>
    <mergeCell ref="B286:C286"/>
    <mergeCell ref="D286:E286"/>
    <mergeCell ref="F286:G286"/>
    <mergeCell ref="H286:I286"/>
    <mergeCell ref="J286:K286"/>
    <mergeCell ref="L286:M286"/>
    <mergeCell ref="N286:O286"/>
    <mergeCell ref="P286:Q286"/>
    <mergeCell ref="R286:T286"/>
    <mergeCell ref="V286:W286"/>
    <mergeCell ref="AI272:AJ272"/>
    <mergeCell ref="AO272:AP272"/>
    <mergeCell ref="K273:L273"/>
    <mergeCell ref="K274:L274"/>
    <mergeCell ref="R276:T276"/>
    <mergeCell ref="R277:T277"/>
    <mergeCell ref="V271:W271"/>
    <mergeCell ref="X271:Y271"/>
    <mergeCell ref="Z271:AD271"/>
    <mergeCell ref="AF271:AJ271"/>
    <mergeCell ref="AK271:AP271"/>
    <mergeCell ref="O272:O273"/>
    <mergeCell ref="P272:P273"/>
    <mergeCell ref="Q272:Q273"/>
    <mergeCell ref="S272:T272"/>
    <mergeCell ref="AC272:AD272"/>
    <mergeCell ref="K264:L264"/>
    <mergeCell ref="R266:T266"/>
    <mergeCell ref="R267:T267"/>
    <mergeCell ref="R268:T268"/>
    <mergeCell ref="K271:L272"/>
    <mergeCell ref="M271:N271"/>
    <mergeCell ref="O271:P271"/>
    <mergeCell ref="Q271:R271"/>
    <mergeCell ref="S271:T271"/>
    <mergeCell ref="AI262:AJ262"/>
    <mergeCell ref="AO262:AP262"/>
    <mergeCell ref="AS262:AU262"/>
    <mergeCell ref="AX262:AZ262"/>
    <mergeCell ref="K263:L263"/>
    <mergeCell ref="AS263:AU263"/>
    <mergeCell ref="AX263:AZ263"/>
    <mergeCell ref="V261:W261"/>
    <mergeCell ref="X261:Y261"/>
    <mergeCell ref="Z261:AD261"/>
    <mergeCell ref="AF261:AJ261"/>
    <mergeCell ref="AK261:AP261"/>
    <mergeCell ref="O262:O263"/>
    <mergeCell ref="P262:P263"/>
    <mergeCell ref="Q262:Q263"/>
    <mergeCell ref="S262:T262"/>
    <mergeCell ref="AC262:AD262"/>
    <mergeCell ref="R247:T247"/>
    <mergeCell ref="R248:T248"/>
    <mergeCell ref="K258:M259"/>
    <mergeCell ref="K261:L262"/>
    <mergeCell ref="M261:N261"/>
    <mergeCell ref="O261:P261"/>
    <mergeCell ref="Q261:R261"/>
    <mergeCell ref="S261:T261"/>
    <mergeCell ref="AC242:AD242"/>
    <mergeCell ref="AI242:AJ242"/>
    <mergeCell ref="AO242:AP242"/>
    <mergeCell ref="K243:L243"/>
    <mergeCell ref="K244:L244"/>
    <mergeCell ref="R246:T246"/>
    <mergeCell ref="V241:W241"/>
    <mergeCell ref="X241:Y241"/>
    <mergeCell ref="Z241:AD241"/>
    <mergeCell ref="AF241:AJ241"/>
    <mergeCell ref="AK241:AP241"/>
    <mergeCell ref="K242:L242"/>
    <mergeCell ref="O242:O243"/>
    <mergeCell ref="P242:P243"/>
    <mergeCell ref="Q242:Q243"/>
    <mergeCell ref="S242:T242"/>
    <mergeCell ref="K234:L234"/>
    <mergeCell ref="R236:T236"/>
    <mergeCell ref="R237:T237"/>
    <mergeCell ref="R238:T238"/>
    <mergeCell ref="K241:L241"/>
    <mergeCell ref="M241:N241"/>
    <mergeCell ref="O241:P241"/>
    <mergeCell ref="Q241:R241"/>
    <mergeCell ref="S241:T241"/>
    <mergeCell ref="AI232:AJ232"/>
    <mergeCell ref="AO232:AP232"/>
    <mergeCell ref="AS232:AU232"/>
    <mergeCell ref="AY232:BA232"/>
    <mergeCell ref="K233:L233"/>
    <mergeCell ref="AS233:AU233"/>
    <mergeCell ref="AY233:BA233"/>
    <mergeCell ref="X231:Y231"/>
    <mergeCell ref="Z231:AD231"/>
    <mergeCell ref="AF231:AJ231"/>
    <mergeCell ref="AK231:AP231"/>
    <mergeCell ref="K232:L232"/>
    <mergeCell ref="O232:O233"/>
    <mergeCell ref="P232:P233"/>
    <mergeCell ref="Q232:Q233"/>
    <mergeCell ref="S232:T232"/>
    <mergeCell ref="AC232:AD232"/>
    <mergeCell ref="K231:L231"/>
    <mergeCell ref="M231:N231"/>
    <mergeCell ref="O231:P231"/>
    <mergeCell ref="Q231:R231"/>
    <mergeCell ref="S231:T231"/>
    <mergeCell ref="V231:W231"/>
    <mergeCell ref="K213:L213"/>
    <mergeCell ref="K214:L214"/>
    <mergeCell ref="R216:T216"/>
    <mergeCell ref="R217:T217"/>
    <mergeCell ref="R218:T218"/>
    <mergeCell ref="K228:M229"/>
    <mergeCell ref="X211:Y211"/>
    <mergeCell ref="Z211:AD211"/>
    <mergeCell ref="AF211:AJ211"/>
    <mergeCell ref="AK211:AP211"/>
    <mergeCell ref="K212:L212"/>
    <mergeCell ref="S212:T212"/>
    <mergeCell ref="AC212:AD212"/>
    <mergeCell ref="AI212:AJ212"/>
    <mergeCell ref="AO212:AP212"/>
    <mergeCell ref="K211:L211"/>
    <mergeCell ref="M211:N211"/>
    <mergeCell ref="O211:P211"/>
    <mergeCell ref="Q211:R211"/>
    <mergeCell ref="S211:T211"/>
    <mergeCell ref="V211:W211"/>
    <mergeCell ref="R207:T207"/>
    <mergeCell ref="R208:T208"/>
    <mergeCell ref="K209:L210"/>
    <mergeCell ref="AF201:AJ201"/>
    <mergeCell ref="AK201:AP201"/>
    <mergeCell ref="K202:L202"/>
    <mergeCell ref="S202:T202"/>
    <mergeCell ref="AC202:AD202"/>
    <mergeCell ref="AI202:AJ202"/>
    <mergeCell ref="AO202:AP202"/>
    <mergeCell ref="O201:P201"/>
    <mergeCell ref="Q201:R201"/>
    <mergeCell ref="S201:T201"/>
    <mergeCell ref="V201:W201"/>
    <mergeCell ref="X201:Y201"/>
    <mergeCell ref="Z201:AD201"/>
    <mergeCell ref="K196:M197"/>
    <mergeCell ref="K199:L200"/>
    <mergeCell ref="BA200:BG204"/>
    <mergeCell ref="BJ200:CC202"/>
    <mergeCell ref="K201:L201"/>
    <mergeCell ref="M201:N201"/>
    <mergeCell ref="K203:L203"/>
    <mergeCell ref="K204:L204"/>
    <mergeCell ref="R206:T206"/>
    <mergeCell ref="CB182:CB183"/>
    <mergeCell ref="CC182:CC183"/>
    <mergeCell ref="R183:T183"/>
    <mergeCell ref="R184:T184"/>
    <mergeCell ref="BG184:BG187"/>
    <mergeCell ref="BR184:BR186"/>
    <mergeCell ref="CC184:CC185"/>
    <mergeCell ref="R185:T185"/>
    <mergeCell ref="CC186:CC190"/>
    <mergeCell ref="BR187:BR193"/>
    <mergeCell ref="BG188:BG194"/>
    <mergeCell ref="CC191:CC193"/>
    <mergeCell ref="BR194:BR196"/>
    <mergeCell ref="BG195:BG197"/>
    <mergeCell ref="K180:L180"/>
    <mergeCell ref="K181:L181"/>
    <mergeCell ref="BF182:BF183"/>
    <mergeCell ref="BG182:BG183"/>
    <mergeCell ref="BQ182:BQ183"/>
    <mergeCell ref="BR182:BR183"/>
    <mergeCell ref="V178:W178"/>
    <mergeCell ref="X178:Y178"/>
    <mergeCell ref="Z178:AD178"/>
    <mergeCell ref="AF178:AJ178"/>
    <mergeCell ref="AK178:AP178"/>
    <mergeCell ref="K179:L179"/>
    <mergeCell ref="S179:T179"/>
    <mergeCell ref="AC179:AD179"/>
    <mergeCell ref="AI179:AJ179"/>
    <mergeCell ref="AO179:AP179"/>
    <mergeCell ref="R163:T163"/>
    <mergeCell ref="R164:T164"/>
    <mergeCell ref="R165:T165"/>
    <mergeCell ref="S174:Z175"/>
    <mergeCell ref="K175:M176"/>
    <mergeCell ref="K178:L178"/>
    <mergeCell ref="M178:N178"/>
    <mergeCell ref="O178:P178"/>
    <mergeCell ref="Q178:R178"/>
    <mergeCell ref="S178:T178"/>
    <mergeCell ref="AO159:AP159"/>
    <mergeCell ref="K160:L160"/>
    <mergeCell ref="Q160:R160"/>
    <mergeCell ref="K161:L161"/>
    <mergeCell ref="Q161:R161"/>
    <mergeCell ref="AF162:AP162"/>
    <mergeCell ref="V158:W158"/>
    <mergeCell ref="X158:Y158"/>
    <mergeCell ref="Z158:AD158"/>
    <mergeCell ref="AF158:AJ158"/>
    <mergeCell ref="AK158:AP158"/>
    <mergeCell ref="K159:L159"/>
    <mergeCell ref="Q159:R159"/>
    <mergeCell ref="S159:T159"/>
    <mergeCell ref="AC159:AD159"/>
    <mergeCell ref="AI159:AJ159"/>
    <mergeCell ref="K150:L150"/>
    <mergeCell ref="K151:L151"/>
    <mergeCell ref="R153:T153"/>
    <mergeCell ref="R154:T154"/>
    <mergeCell ref="R155:T155"/>
    <mergeCell ref="K158:L158"/>
    <mergeCell ref="M158:N158"/>
    <mergeCell ref="O158:P158"/>
    <mergeCell ref="Q158:R158"/>
    <mergeCell ref="S158:T158"/>
    <mergeCell ref="AF148:AJ148"/>
    <mergeCell ref="AK148:AP148"/>
    <mergeCell ref="K149:L149"/>
    <mergeCell ref="S149:T149"/>
    <mergeCell ref="AC149:AD149"/>
    <mergeCell ref="AI149:AJ149"/>
    <mergeCell ref="AO149:AP149"/>
    <mergeCell ref="BX146:BX147"/>
    <mergeCell ref="BY146:BZ146"/>
    <mergeCell ref="K148:L148"/>
    <mergeCell ref="M148:N148"/>
    <mergeCell ref="O148:P148"/>
    <mergeCell ref="Q148:R148"/>
    <mergeCell ref="S148:T148"/>
    <mergeCell ref="V148:W148"/>
    <mergeCell ref="X148:Y148"/>
    <mergeCell ref="Z148:AD148"/>
    <mergeCell ref="K145:M146"/>
    <mergeCell ref="V145:AP146"/>
    <mergeCell ref="BA145:BB146"/>
    <mergeCell ref="BN145:BO145"/>
    <mergeCell ref="BU145:BV146"/>
    <mergeCell ref="BW145:BX145"/>
    <mergeCell ref="BY145:BZ145"/>
    <mergeCell ref="BC146:BC147"/>
    <mergeCell ref="BD146:BD147"/>
    <mergeCell ref="BL146:BL147"/>
    <mergeCell ref="BM146:BM147"/>
    <mergeCell ref="BN146:BO146"/>
    <mergeCell ref="BW146:BW147"/>
    <mergeCell ref="BC145:BD145"/>
    <mergeCell ref="BJ145:BK146"/>
    <mergeCell ref="BL145:BM145"/>
    <mergeCell ref="P126:S129"/>
    <mergeCell ref="V126:X126"/>
    <mergeCell ref="Y126:Z126"/>
    <mergeCell ref="AA126:AB126"/>
    <mergeCell ref="M142:R142"/>
    <mergeCell ref="AZ142:CC143"/>
    <mergeCell ref="P123:S125"/>
    <mergeCell ref="V123:X123"/>
    <mergeCell ref="Y123:Z123"/>
    <mergeCell ref="AA123:AB123"/>
    <mergeCell ref="V124:X124"/>
    <mergeCell ref="Y124:Z124"/>
    <mergeCell ref="AA124:AB124"/>
    <mergeCell ref="V125:X125"/>
    <mergeCell ref="Y125:Z125"/>
    <mergeCell ref="AA125:AB125"/>
    <mergeCell ref="AA113:AA114"/>
    <mergeCell ref="AB113:AB114"/>
    <mergeCell ref="O115:S117"/>
    <mergeCell ref="O118:S121"/>
    <mergeCell ref="AA119:AB119"/>
    <mergeCell ref="V121:X122"/>
    <mergeCell ref="Y121:Z122"/>
    <mergeCell ref="AA121:AB122"/>
    <mergeCell ref="V110:AB110"/>
    <mergeCell ref="V111:AB111"/>
    <mergeCell ref="V112:X112"/>
    <mergeCell ref="Y112:Z112"/>
    <mergeCell ref="AA112:AB112"/>
    <mergeCell ref="V113:V114"/>
    <mergeCell ref="W113:W114"/>
    <mergeCell ref="X113:X114"/>
    <mergeCell ref="Y113:Y114"/>
    <mergeCell ref="Z113:Z114"/>
    <mergeCell ref="CE71:CF71"/>
    <mergeCell ref="U96:AE96"/>
    <mergeCell ref="U98:V99"/>
    <mergeCell ref="X98:Y99"/>
    <mergeCell ref="AA98:AB99"/>
    <mergeCell ref="AD98:AE99"/>
    <mergeCell ref="AG99:AH99"/>
    <mergeCell ref="CV68:CW68"/>
    <mergeCell ref="CX68:DB68"/>
    <mergeCell ref="DD68:DH68"/>
    <mergeCell ref="DJ68:DO68"/>
    <mergeCell ref="CQ69:CR69"/>
    <mergeCell ref="DA69:DB69"/>
    <mergeCell ref="DG69:DH69"/>
    <mergeCell ref="DN69:DO69"/>
    <mergeCell ref="CE68:CF70"/>
    <mergeCell ref="CG68:CG69"/>
    <mergeCell ref="CH68:CH69"/>
    <mergeCell ref="CO68:CO69"/>
    <mergeCell ref="CQ68:CR68"/>
    <mergeCell ref="CT68:CU68"/>
    <mergeCell ref="CE61:CF61"/>
    <mergeCell ref="CE66:CF67"/>
    <mergeCell ref="CG66:CH67"/>
    <mergeCell ref="CI66:CJ66"/>
    <mergeCell ref="CK66:CO66"/>
    <mergeCell ref="CI67:CJ67"/>
    <mergeCell ref="CK67:CO67"/>
    <mergeCell ref="CV58:CW58"/>
    <mergeCell ref="CX58:DB58"/>
    <mergeCell ref="DD58:DH58"/>
    <mergeCell ref="DJ58:DO58"/>
    <mergeCell ref="CQ59:CR59"/>
    <mergeCell ref="DA59:DB59"/>
    <mergeCell ref="DG59:DH59"/>
    <mergeCell ref="DN59:DO59"/>
    <mergeCell ref="CE58:CF60"/>
    <mergeCell ref="CG58:CG59"/>
    <mergeCell ref="CH58:CH59"/>
    <mergeCell ref="CO58:CO59"/>
    <mergeCell ref="CQ58:CR58"/>
    <mergeCell ref="CT58:CU58"/>
    <mergeCell ref="CE51:CF51"/>
    <mergeCell ref="CE56:CF57"/>
    <mergeCell ref="CG56:CH57"/>
    <mergeCell ref="CI56:CJ56"/>
    <mergeCell ref="CK56:CO56"/>
    <mergeCell ref="CI57:CJ57"/>
    <mergeCell ref="CK57:CO57"/>
    <mergeCell ref="CT48:CU48"/>
    <mergeCell ref="CV48:CW48"/>
    <mergeCell ref="CX48:DB48"/>
    <mergeCell ref="DD48:DH48"/>
    <mergeCell ref="DJ48:DO48"/>
    <mergeCell ref="CQ49:CR49"/>
    <mergeCell ref="DA49:DB49"/>
    <mergeCell ref="DG49:DH49"/>
    <mergeCell ref="DN49:DO49"/>
    <mergeCell ref="CE48:CF50"/>
    <mergeCell ref="CG48:CG49"/>
    <mergeCell ref="CH48:CH49"/>
    <mergeCell ref="CK48:CL48"/>
    <mergeCell ref="CO48:CO49"/>
    <mergeCell ref="CQ48:CR48"/>
    <mergeCell ref="CE38:CF40"/>
    <mergeCell ref="CG38:CG39"/>
    <mergeCell ref="CH38:CH39"/>
    <mergeCell ref="CK38:CL38"/>
    <mergeCell ref="CO38:CO39"/>
    <mergeCell ref="CQ38:CR38"/>
    <mergeCell ref="CE41:CF41"/>
    <mergeCell ref="CE46:CF47"/>
    <mergeCell ref="CG46:CH47"/>
    <mergeCell ref="CI46:CJ46"/>
    <mergeCell ref="CK46:CO46"/>
    <mergeCell ref="CI47:CJ47"/>
    <mergeCell ref="CK47:CO47"/>
    <mergeCell ref="DD28:DI28"/>
    <mergeCell ref="DJ28:DO28"/>
    <mergeCell ref="CX38:DB38"/>
    <mergeCell ref="DD38:DH38"/>
    <mergeCell ref="DJ38:DO38"/>
    <mergeCell ref="CQ39:CR39"/>
    <mergeCell ref="DA39:DB39"/>
    <mergeCell ref="DG39:DH39"/>
    <mergeCell ref="DN39:DO39"/>
    <mergeCell ref="CT38:CU38"/>
    <mergeCell ref="CV38:CW38"/>
    <mergeCell ref="CO28:CO29"/>
    <mergeCell ref="CQ28:CR28"/>
    <mergeCell ref="CT28:CU28"/>
    <mergeCell ref="CV28:CW28"/>
    <mergeCell ref="CX28:DB28"/>
    <mergeCell ref="CE31:CF31"/>
    <mergeCell ref="CE36:CF37"/>
    <mergeCell ref="CG36:CH37"/>
    <mergeCell ref="CI36:CJ36"/>
    <mergeCell ref="CK36:CO36"/>
    <mergeCell ref="CI37:CJ37"/>
    <mergeCell ref="CK37:CO37"/>
    <mergeCell ref="CE21:CF21"/>
    <mergeCell ref="E22:H22"/>
    <mergeCell ref="Q25:Q28"/>
    <mergeCell ref="CE26:CF27"/>
    <mergeCell ref="CG26:CH27"/>
    <mergeCell ref="ED18:EK46"/>
    <mergeCell ref="EM18:EU50"/>
    <mergeCell ref="EW18:FE49"/>
    <mergeCell ref="CI26:CJ26"/>
    <mergeCell ref="CK26:CO26"/>
    <mergeCell ref="R27:U27"/>
    <mergeCell ref="CI27:CJ27"/>
    <mergeCell ref="CK27:CO27"/>
    <mergeCell ref="R28:U32"/>
    <mergeCell ref="CE28:CF30"/>
    <mergeCell ref="CG28:CG29"/>
    <mergeCell ref="CH28:CH29"/>
    <mergeCell ref="CK28:CL28"/>
    <mergeCell ref="Q29:Q30"/>
    <mergeCell ref="CQ29:CR29"/>
    <mergeCell ref="DA29:DB29"/>
    <mergeCell ref="DH29:DI29"/>
    <mergeCell ref="DN29:DO29"/>
    <mergeCell ref="CM28:CN28"/>
    <mergeCell ref="FG18:FO48"/>
    <mergeCell ref="E19:G19"/>
    <mergeCell ref="CQ19:CR19"/>
    <mergeCell ref="DA19:DB19"/>
    <mergeCell ref="DG19:DH19"/>
    <mergeCell ref="DN19:DO19"/>
    <mergeCell ref="E20:G20"/>
    <mergeCell ref="CQ18:CR18"/>
    <mergeCell ref="CT18:CU18"/>
    <mergeCell ref="CV18:CW18"/>
    <mergeCell ref="CX18:DB18"/>
    <mergeCell ref="DD18:DH18"/>
    <mergeCell ref="DJ18:DO18"/>
    <mergeCell ref="I17:K21"/>
    <mergeCell ref="CI17:CJ17"/>
    <mergeCell ref="CK17:CO17"/>
    <mergeCell ref="E18:G18"/>
    <mergeCell ref="CE18:CF20"/>
    <mergeCell ref="CG18:CG19"/>
    <mergeCell ref="CH18:CH19"/>
    <mergeCell ref="CK18:CL18"/>
    <mergeCell ref="CM18:CN18"/>
    <mergeCell ref="CO18:CO19"/>
    <mergeCell ref="E21:G21"/>
    <mergeCell ref="B14:E14"/>
    <mergeCell ref="D15:D17"/>
    <mergeCell ref="CG15:CL15"/>
    <mergeCell ref="CM15:CN15"/>
    <mergeCell ref="B16:B17"/>
    <mergeCell ref="C16:C17"/>
    <mergeCell ref="CE16:CF17"/>
    <mergeCell ref="CG16:CH17"/>
    <mergeCell ref="CI16:CJ16"/>
    <mergeCell ref="CK16:CO16"/>
    <mergeCell ref="L6:L7"/>
    <mergeCell ref="N6:O6"/>
    <mergeCell ref="N7:O7"/>
    <mergeCell ref="B9:C9"/>
    <mergeCell ref="H10:K13"/>
    <mergeCell ref="B13:D13"/>
    <mergeCell ref="B6:C8"/>
    <mergeCell ref="D6:D7"/>
    <mergeCell ref="E6:E7"/>
    <mergeCell ref="G6:G7"/>
    <mergeCell ref="H6:I6"/>
    <mergeCell ref="J6:K6"/>
    <mergeCell ref="B3:C3"/>
    <mergeCell ref="D3:I3"/>
    <mergeCell ref="J3:K3"/>
    <mergeCell ref="B4:C5"/>
    <mergeCell ref="D4:E5"/>
    <mergeCell ref="F4:G4"/>
    <mergeCell ref="H4:L4"/>
    <mergeCell ref="F5:G5"/>
    <mergeCell ref="H5:L5"/>
  </mergeCells>
  <conditionalFormatting sqref="D3:I3">
    <cfRule type="expression" dxfId="109" priority="2">
      <formula>$D$3=""</formula>
    </cfRule>
  </conditionalFormatting>
  <conditionalFormatting sqref="G9">
    <cfRule type="expression" dxfId="108" priority="11">
      <formula>OR($B$4=CQ78,$B$4=CQ79)</formula>
    </cfRule>
  </conditionalFormatting>
  <conditionalFormatting sqref="H9">
    <cfRule type="expression" dxfId="107" priority="3">
      <formula>$B$4=CQ80</formula>
    </cfRule>
    <cfRule type="expression" dxfId="106" priority="4">
      <formula>$H$8=""</formula>
    </cfRule>
  </conditionalFormatting>
  <conditionalFormatting sqref="I9">
    <cfRule type="expression" dxfId="105" priority="5">
      <formula>$B$4=CQ80</formula>
    </cfRule>
    <cfRule type="expression" dxfId="104" priority="6">
      <formula>$I$8=""</formula>
    </cfRule>
  </conditionalFormatting>
  <conditionalFormatting sqref="J9">
    <cfRule type="expression" dxfId="103" priority="7">
      <formula>$B$4=CQ80</formula>
    </cfRule>
    <cfRule type="expression" dxfId="102" priority="8">
      <formula>$J$8=""</formula>
    </cfRule>
  </conditionalFormatting>
  <conditionalFormatting sqref="J3:K3">
    <cfRule type="expression" dxfId="101" priority="1">
      <formula>$J$3=""</formula>
    </cfRule>
  </conditionalFormatting>
  <conditionalFormatting sqref="K9">
    <cfRule type="expression" dxfId="100" priority="9">
      <formula>$B$4=CQ80</formula>
    </cfRule>
    <cfRule type="expression" dxfId="99" priority="10">
      <formula>$K$8=""</formula>
    </cfRule>
  </conditionalFormatting>
  <dataValidations count="2">
    <dataValidation type="list" allowBlank="1" showInputMessage="1" prompt="If the user wants to adjust the Max. Plotted Shaft Length (ft), use either the Drop-Down menu list or manually input a value. " sqref="Q29:Q30" xr:uid="{00000000-0002-0000-0800-000000000000}">
      <formula1>$BA$104:$BA$118</formula1>
    </dataValidation>
    <dataValidation type="list" allowBlank="1" showInputMessage="1" showErrorMessage="1" sqref="B4" xr:uid="{00000000-0002-0000-0800-000001000000}">
      <formula1>$CQ$74:$CQ$81</formula1>
    </dataValidation>
  </dataValidations>
  <pageMargins left="0.7" right="0.7" top="0.75" bottom="0.75" header="0.3" footer="0.3"/>
  <pageSetup scale="50" orientation="portrait" r:id="rId1"/>
  <drawing r:id="rId2"/>
  <legacyDrawing r:id="rId3"/>
  <extLst>
    <ext xmlns:x14="http://schemas.microsoft.com/office/spreadsheetml/2009/9/main" uri="{CCE6A557-97BC-4b89-ADB6-D9C93CAAB3DF}">
      <x14:dataValidations xmlns:xm="http://schemas.microsoft.com/office/excel/2006/main" count="1">
        <x14:dataValidation type="list" allowBlank="1" showInputMessage="1" xr:uid="{00000000-0002-0000-0800-000002000000}">
          <x14:formula1>
            <xm:f>List!$I$26</xm:f>
          </x14:formula1>
          <xm:sqref>L9</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Unknown Document Type" ma:contentTypeID="0x010104" ma:contentTypeVersion="0" ma:contentTypeDescription="" ma:contentTypeScope="" ma:versionID="05d83ceaa0bbd2e3bc716e6e66bd857a">
  <xsd:schema xmlns:xsd="http://www.w3.org/2001/XMLSchema" xmlns:xs="http://www.w3.org/2001/XMLSchema" xmlns:p="http://schemas.microsoft.com/office/2006/metadata/properties" targetNamespace="http://schemas.microsoft.com/office/2006/metadata/properties" ma:root="true" ma:fieldsID="b3d69fe45253d5ff147bb69036b756a7">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DBCC9CF0-0F69-4663-8409-6F893CFB9B6A}">
  <ds:schemaRefs>
    <ds:schemaRef ds:uri="http://purl.org/dc/elements/1.1/"/>
    <ds:schemaRef ds:uri="http://www.w3.org/XML/1998/namespace"/>
    <ds:schemaRef ds:uri="http://schemas.microsoft.com/office/infopath/2007/PartnerControls"/>
    <ds:schemaRef ds:uri="http://schemas.microsoft.com/office/2006/documentManagement/types"/>
    <ds:schemaRef ds:uri="http://schemas.openxmlformats.org/package/2006/metadata/core-properties"/>
    <ds:schemaRef ds:uri="http://schemas.microsoft.com/office/2006/metadata/properties"/>
    <ds:schemaRef ds:uri="http://purl.org/dc/dcmitype/"/>
    <ds:schemaRef ds:uri="http://purl.org/dc/terms/"/>
  </ds:schemaRefs>
</ds:datastoreItem>
</file>

<file path=customXml/itemProps2.xml><?xml version="1.0" encoding="utf-8"?>
<ds:datastoreItem xmlns:ds="http://schemas.openxmlformats.org/officeDocument/2006/customXml" ds:itemID="{B47EB69B-8ABF-4DB4-B45D-661D5CD190AC}">
  <ds:schemaRefs>
    <ds:schemaRef ds:uri="http://schemas.microsoft.com/sharepoint/v3/contenttype/forms"/>
  </ds:schemaRefs>
</ds:datastoreItem>
</file>

<file path=customXml/itemProps3.xml><?xml version="1.0" encoding="utf-8"?>
<ds:datastoreItem xmlns:ds="http://schemas.openxmlformats.org/officeDocument/2006/customXml" ds:itemID="{A8A4978B-C5D4-4A90-ABD2-6FC2669F26D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45</vt:i4>
      </vt:variant>
    </vt:vector>
  </HeadingPairs>
  <TitlesOfParts>
    <vt:vector size="71" baseType="lpstr">
      <vt:lpstr>Instructions</vt:lpstr>
      <vt:lpstr>DS Log Pg 1</vt:lpstr>
      <vt:lpstr>DS Log Pg 2</vt:lpstr>
      <vt:lpstr>Opt. DS Log Pg 3</vt:lpstr>
      <vt:lpstr>Opt. DS Log Pg 4</vt:lpstr>
      <vt:lpstr>Fluid-Slurry</vt:lpstr>
      <vt:lpstr>Opt Fluid-Slurry</vt:lpstr>
      <vt:lpstr>rein.&amp;spacers</vt:lpstr>
      <vt:lpstr>Est Steel Vol</vt:lpstr>
      <vt:lpstr>Concr. Pg 1</vt:lpstr>
      <vt:lpstr>Concr. Pg 2</vt:lpstr>
      <vt:lpstr>Concr. Pg 3</vt:lpstr>
      <vt:lpstr>Concr. Curve</vt:lpstr>
      <vt:lpstr>Blank Curve</vt:lpstr>
      <vt:lpstr>Pay Summary</vt:lpstr>
      <vt:lpstr>Tubes grouting</vt:lpstr>
      <vt:lpstr>addl. exc.comments</vt:lpstr>
      <vt:lpstr>addl.exc. comments #2</vt:lpstr>
      <vt:lpstr>addl. concr. &amp; reinf. comme</vt:lpstr>
      <vt:lpstr>addl.concr. &amp; reinf.comme#2</vt:lpstr>
      <vt:lpstr>Attachments</vt:lpstr>
      <vt:lpstr>List</vt:lpstr>
      <vt:lpstr>Vol. Calculator</vt:lpstr>
      <vt:lpstr>Sheet1</vt:lpstr>
      <vt:lpstr>Sheet2</vt:lpstr>
      <vt:lpstr>Sheet3</vt:lpstr>
      <vt:lpstr>'Fluid-Slurry'!att</vt:lpstr>
      <vt:lpstr>'Opt Fluid-Slurry'!att</vt:lpstr>
      <vt:lpstr>'Fluid-Slurry'!baroid</vt:lpstr>
      <vt:lpstr>'Opt Fluid-Slurry'!baroid</vt:lpstr>
      <vt:lpstr>'Fluid-Slurry'!bent</vt:lpstr>
      <vt:lpstr>'Opt Fluid-Slurry'!bent</vt:lpstr>
      <vt:lpstr>'Fluid-Slurry'!cetco</vt:lpstr>
      <vt:lpstr>'Opt Fluid-Slurry'!cetco</vt:lpstr>
      <vt:lpstr>'Fluid-Slurry'!KBI</vt:lpstr>
      <vt:lpstr>'Opt Fluid-Slurry'!KBI</vt:lpstr>
      <vt:lpstr>'Fluid-Slurry'!matrix</vt:lpstr>
      <vt:lpstr>'Opt Fluid-Slurry'!matrix</vt:lpstr>
      <vt:lpstr>'Opt Fluid-Slurry'!NS</vt:lpstr>
      <vt:lpstr>NS</vt:lpstr>
      <vt:lpstr>'Fluid-Slurry'!PB</vt:lpstr>
      <vt:lpstr>'Opt Fluid-Slurry'!PB</vt:lpstr>
      <vt:lpstr>'Fluid-Slurry'!PC</vt:lpstr>
      <vt:lpstr>'Opt Fluid-Slurry'!PC</vt:lpstr>
      <vt:lpstr>'Fluid-Slurry'!PK</vt:lpstr>
      <vt:lpstr>'Opt Fluid-Slurry'!PK</vt:lpstr>
      <vt:lpstr>'Fluid-Slurry'!PM</vt:lpstr>
      <vt:lpstr>'Opt Fluid-Slurry'!PM</vt:lpstr>
      <vt:lpstr>'addl. concr. &amp; reinf. comme'!Print_Area</vt:lpstr>
      <vt:lpstr>'addl. exc.comments'!Print_Area</vt:lpstr>
      <vt:lpstr>'addl.concr. &amp; reinf.comme#2'!Print_Area</vt:lpstr>
      <vt:lpstr>'addl.exc. comments #2'!Print_Area</vt:lpstr>
      <vt:lpstr>Attachments!Print_Area</vt:lpstr>
      <vt:lpstr>'Blank Curve'!Print_Area</vt:lpstr>
      <vt:lpstr>'Concr. Curve'!Print_Area</vt:lpstr>
      <vt:lpstr>'Concr. Pg 1'!Print_Area</vt:lpstr>
      <vt:lpstr>'Concr. Pg 2'!Print_Area</vt:lpstr>
      <vt:lpstr>'Concr. Pg 3'!Print_Area</vt:lpstr>
      <vt:lpstr>'DS Log Pg 1'!Print_Area</vt:lpstr>
      <vt:lpstr>'DS Log Pg 2'!Print_Area</vt:lpstr>
      <vt:lpstr>'Est Steel Vol'!Print_Area</vt:lpstr>
      <vt:lpstr>'Fluid-Slurry'!Print_Area</vt:lpstr>
      <vt:lpstr>'Opt Fluid-Slurry'!Print_Area</vt:lpstr>
      <vt:lpstr>'Opt. DS Log Pg 3'!Print_Area</vt:lpstr>
      <vt:lpstr>'Opt. DS Log Pg 4'!Print_Area</vt:lpstr>
      <vt:lpstr>'Pay Summary'!Print_Area</vt:lpstr>
      <vt:lpstr>'rein.&amp;spacers'!Print_Area</vt:lpstr>
      <vt:lpstr>'Tubes grouting'!Print_Area</vt:lpstr>
      <vt:lpstr>'Vol. Calculator'!Print_Area</vt:lpstr>
      <vt:lpstr>'Opt Fluid-Slurry'!W</vt:lpstr>
      <vt:lpstr>W</vt:lpstr>
    </vt:vector>
  </TitlesOfParts>
  <Company>FDOT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Bob Hipworth;Juan Castellanos</dc:creator>
  <cp:lastModifiedBy>Lange, Patrick</cp:lastModifiedBy>
  <cp:lastPrinted>2023-09-29T00:07:00Z</cp:lastPrinted>
  <dcterms:created xsi:type="dcterms:W3CDTF">2010-07-12T12:43:43Z</dcterms:created>
  <dcterms:modified xsi:type="dcterms:W3CDTF">2023-10-04T18:02:29Z</dcterms:modified>
</cp:coreProperties>
</file>